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/>
  <mc:AlternateContent xmlns:mc="http://schemas.openxmlformats.org/markup-compatibility/2006">
    <mc:Choice Requires="x15">
      <x15ac:absPath xmlns:x15ac="http://schemas.microsoft.com/office/spreadsheetml/2010/11/ac" url="G:\Workspace\DungeonTycoon\Documents\"/>
    </mc:Choice>
  </mc:AlternateContent>
  <xr:revisionPtr revIDLastSave="0" documentId="13_ncr:1_{4BED89B9-9913-413D-9C55-35D8A28144A0}" xr6:coauthVersionLast="45" xr6:coauthVersionMax="45" xr10:uidLastSave="{00000000-0000-0000-0000-000000000000}"/>
  <bookViews>
    <workbookView xWindow="-108" yWindow="-108" windowWidth="30936" windowHeight="16896" tabRatio="487" activeTab="3" xr2:uid="{00000000-000D-0000-FFFF-FFFF00000000}"/>
  </bookViews>
  <sheets>
    <sheet name="일선 모험가(표준)" sheetId="7" r:id="rId1"/>
    <sheet name="일선 모험가(개별)" sheetId="10" r:id="rId2"/>
    <sheet name="관광객" sheetId="2" r:id="rId3"/>
    <sheet name="모험가" sheetId="1" r:id="rId4"/>
    <sheet name="몬스터" sheetId="3" r:id="rId5"/>
    <sheet name="보스 몬스터" sheetId="11" r:id="rId6"/>
    <sheet name="상수" sheetId="5" r:id="rId7"/>
    <sheet name="규칙" sheetId="6" r:id="rId8"/>
    <sheet name="계산기" sheetId="9" r:id="rId9"/>
  </sheets>
  <externalReferences>
    <externalReference r:id="rId10"/>
  </externalReferences>
  <definedNames>
    <definedName name="HP">계산기!$H:$H</definedName>
    <definedName name="방어력">'일선 모험가(표준)'!$D:$D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7" i="3" l="1"/>
  <c r="I7" i="3"/>
  <c r="H7" i="3"/>
  <c r="G7" i="3"/>
  <c r="O7" i="3" s="1"/>
  <c r="E7" i="3"/>
  <c r="P7" i="3" s="1"/>
  <c r="C7" i="3"/>
  <c r="E10" i="11" l="1"/>
  <c r="P10" i="11" s="1"/>
  <c r="H10" i="11"/>
  <c r="O10" i="11" s="1"/>
  <c r="I9" i="11"/>
  <c r="E9" i="11"/>
  <c r="P9" i="11" s="1"/>
  <c r="G9" i="11"/>
  <c r="N10" i="11"/>
  <c r="I10" i="11"/>
  <c r="C10" i="11"/>
  <c r="N9" i="11"/>
  <c r="H9" i="11"/>
  <c r="C9" i="11"/>
  <c r="E8" i="11"/>
  <c r="D8" i="11"/>
  <c r="H8" i="11"/>
  <c r="G8" i="11"/>
  <c r="C8" i="11"/>
  <c r="N8" i="11"/>
  <c r="I8" i="11"/>
  <c r="C7" i="11"/>
  <c r="E7" i="11"/>
  <c r="P7" i="11" s="1"/>
  <c r="E6" i="3"/>
  <c r="E6" i="11"/>
  <c r="N7" i="11"/>
  <c r="I7" i="11"/>
  <c r="H7" i="11"/>
  <c r="O7" i="11" s="1"/>
  <c r="G6" i="11"/>
  <c r="P6" i="11"/>
  <c r="N6" i="11"/>
  <c r="C6" i="11"/>
  <c r="I6" i="11"/>
  <c r="H6" i="11"/>
  <c r="N5" i="11"/>
  <c r="G5" i="11"/>
  <c r="O5" i="11" s="1"/>
  <c r="H5" i="11"/>
  <c r="E5" i="11"/>
  <c r="D29" i="1"/>
  <c r="D5" i="11"/>
  <c r="C5" i="11"/>
  <c r="I5" i="11"/>
  <c r="C11" i="3"/>
  <c r="O9" i="11" l="1"/>
  <c r="O8" i="11"/>
  <c r="P8" i="11"/>
  <c r="O6" i="11"/>
  <c r="P5" i="11"/>
  <c r="B106" i="7"/>
  <c r="B107" i="7"/>
  <c r="B108" i="7"/>
  <c r="B109" i="7"/>
  <c r="B110" i="7"/>
  <c r="B111" i="7"/>
  <c r="B112" i="7"/>
  <c r="B113" i="7"/>
  <c r="B114" i="7"/>
  <c r="B105" i="7"/>
  <c r="C114" i="7"/>
  <c r="D114" i="7"/>
  <c r="F114" i="7"/>
  <c r="N114" i="7" s="1"/>
  <c r="G114" i="7"/>
  <c r="H114" i="7"/>
  <c r="L114" i="7"/>
  <c r="M114" i="7"/>
  <c r="C105" i="7"/>
  <c r="D105" i="7"/>
  <c r="F105" i="7"/>
  <c r="G105" i="7"/>
  <c r="H105" i="7"/>
  <c r="L105" i="7"/>
  <c r="M105" i="7"/>
  <c r="C106" i="7"/>
  <c r="D106" i="7"/>
  <c r="F106" i="7"/>
  <c r="G106" i="7"/>
  <c r="H106" i="7"/>
  <c r="L106" i="7"/>
  <c r="M106" i="7"/>
  <c r="C107" i="7"/>
  <c r="D107" i="7"/>
  <c r="F107" i="7"/>
  <c r="G107" i="7"/>
  <c r="H107" i="7"/>
  <c r="L107" i="7"/>
  <c r="M107" i="7"/>
  <c r="C108" i="7"/>
  <c r="D108" i="7"/>
  <c r="F108" i="7"/>
  <c r="G108" i="7"/>
  <c r="H108" i="7"/>
  <c r="L108" i="7"/>
  <c r="M108" i="7"/>
  <c r="C109" i="7"/>
  <c r="D109" i="7"/>
  <c r="O109" i="7" s="1"/>
  <c r="F109" i="7"/>
  <c r="G109" i="7"/>
  <c r="H109" i="7"/>
  <c r="L109" i="7"/>
  <c r="M109" i="7"/>
  <c r="C110" i="7"/>
  <c r="D110" i="7"/>
  <c r="F110" i="7"/>
  <c r="G110" i="7"/>
  <c r="H110" i="7"/>
  <c r="L110" i="7"/>
  <c r="M110" i="7"/>
  <c r="O110" i="7"/>
  <c r="C111" i="7"/>
  <c r="D111" i="7"/>
  <c r="F111" i="7"/>
  <c r="G111" i="7"/>
  <c r="H111" i="7"/>
  <c r="L111" i="7"/>
  <c r="M111" i="7"/>
  <c r="C112" i="7"/>
  <c r="D112" i="7"/>
  <c r="F112" i="7"/>
  <c r="G112" i="7"/>
  <c r="H112" i="7"/>
  <c r="L112" i="7"/>
  <c r="M112" i="7"/>
  <c r="C113" i="7"/>
  <c r="D113" i="7"/>
  <c r="F113" i="7"/>
  <c r="G113" i="7"/>
  <c r="H113" i="7"/>
  <c r="L113" i="7"/>
  <c r="M113" i="7"/>
  <c r="B106" i="1"/>
  <c r="B107" i="1"/>
  <c r="B108" i="1"/>
  <c r="B109" i="1"/>
  <c r="B110" i="1"/>
  <c r="B111" i="1"/>
  <c r="B112" i="1"/>
  <c r="B113" i="1"/>
  <c r="B114" i="1"/>
  <c r="B105" i="1"/>
  <c r="B104" i="1"/>
  <c r="C104" i="1"/>
  <c r="C105" i="1"/>
  <c r="D105" i="1"/>
  <c r="E105" i="1"/>
  <c r="O105" i="1" s="1"/>
  <c r="P105" i="1" s="1"/>
  <c r="F105" i="1"/>
  <c r="N105" i="1" s="1"/>
  <c r="G105" i="1"/>
  <c r="H105" i="1"/>
  <c r="L105" i="1"/>
  <c r="M105" i="1"/>
  <c r="C106" i="1"/>
  <c r="D106" i="1"/>
  <c r="E106" i="1"/>
  <c r="F106" i="1"/>
  <c r="G106" i="1"/>
  <c r="H106" i="1"/>
  <c r="L106" i="1"/>
  <c r="M106" i="1"/>
  <c r="N106" i="1"/>
  <c r="C107" i="1"/>
  <c r="D107" i="1"/>
  <c r="E107" i="1"/>
  <c r="O107" i="1" s="1"/>
  <c r="F107" i="1"/>
  <c r="G107" i="1"/>
  <c r="H107" i="1"/>
  <c r="L107" i="1"/>
  <c r="M107" i="1"/>
  <c r="C108" i="1"/>
  <c r="D108" i="1"/>
  <c r="E108" i="1"/>
  <c r="F108" i="1"/>
  <c r="N108" i="1" s="1"/>
  <c r="G108" i="1"/>
  <c r="H108" i="1"/>
  <c r="L108" i="1"/>
  <c r="M108" i="1"/>
  <c r="C109" i="1"/>
  <c r="D109" i="1"/>
  <c r="E109" i="1"/>
  <c r="O109" i="1" s="1"/>
  <c r="F109" i="1"/>
  <c r="N109" i="1" s="1"/>
  <c r="G109" i="1"/>
  <c r="H109" i="1"/>
  <c r="L109" i="1"/>
  <c r="M109" i="1"/>
  <c r="C110" i="1"/>
  <c r="D110" i="1"/>
  <c r="E110" i="1"/>
  <c r="F110" i="1"/>
  <c r="G110" i="1"/>
  <c r="H110" i="1"/>
  <c r="L110" i="1"/>
  <c r="M110" i="1"/>
  <c r="N110" i="1"/>
  <c r="C111" i="1"/>
  <c r="D111" i="1"/>
  <c r="E111" i="1"/>
  <c r="O111" i="1" s="1"/>
  <c r="F111" i="1"/>
  <c r="N111" i="1" s="1"/>
  <c r="G111" i="1"/>
  <c r="H111" i="1"/>
  <c r="L111" i="1"/>
  <c r="M111" i="1"/>
  <c r="C112" i="1"/>
  <c r="D112" i="1"/>
  <c r="E112" i="1"/>
  <c r="F112" i="1"/>
  <c r="N112" i="1" s="1"/>
  <c r="G112" i="1"/>
  <c r="H112" i="1"/>
  <c r="L112" i="1"/>
  <c r="M112" i="1"/>
  <c r="C113" i="1"/>
  <c r="D113" i="1"/>
  <c r="E113" i="1"/>
  <c r="O113" i="1" s="1"/>
  <c r="F113" i="1"/>
  <c r="N113" i="1" s="1"/>
  <c r="G113" i="1"/>
  <c r="H113" i="1"/>
  <c r="L113" i="1"/>
  <c r="M113" i="1"/>
  <c r="C114" i="1"/>
  <c r="D114" i="1"/>
  <c r="E114" i="1"/>
  <c r="F114" i="1"/>
  <c r="G114" i="1"/>
  <c r="H114" i="1"/>
  <c r="L114" i="1"/>
  <c r="M114" i="1"/>
  <c r="N114" i="1"/>
  <c r="G100" i="1"/>
  <c r="P113" i="1" l="1"/>
  <c r="N107" i="1"/>
  <c r="P107" i="1" s="1"/>
  <c r="N105" i="7"/>
  <c r="O114" i="7"/>
  <c r="N106" i="7"/>
  <c r="O112" i="1"/>
  <c r="P112" i="1" s="1"/>
  <c r="O108" i="1"/>
  <c r="P108" i="1" s="1"/>
  <c r="P109" i="1"/>
  <c r="O114" i="1"/>
  <c r="P114" i="1" s="1"/>
  <c r="O110" i="1"/>
  <c r="P110" i="1" s="1"/>
  <c r="O106" i="1"/>
  <c r="P106" i="1" s="1"/>
  <c r="P114" i="7"/>
  <c r="O111" i="7"/>
  <c r="N109" i="7"/>
  <c r="P109" i="7" s="1"/>
  <c r="O107" i="7"/>
  <c r="O106" i="7"/>
  <c r="P106" i="7" s="1"/>
  <c r="N113" i="7"/>
  <c r="N110" i="7"/>
  <c r="P110" i="7"/>
  <c r="N112" i="7"/>
  <c r="O113" i="7"/>
  <c r="O112" i="7"/>
  <c r="N111" i="7"/>
  <c r="O108" i="7"/>
  <c r="O105" i="7"/>
  <c r="P105" i="7" s="1"/>
  <c r="N108" i="7"/>
  <c r="N107" i="7"/>
  <c r="P111" i="1"/>
  <c r="G6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5" i="3"/>
  <c r="H5" i="3"/>
  <c r="H6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5" i="1"/>
  <c r="P107" i="7" l="1"/>
  <c r="P111" i="7"/>
  <c r="P113" i="7"/>
  <c r="P112" i="7"/>
  <c r="P108" i="7"/>
  <c r="F419" i="10"/>
  <c r="C1055" i="10" l="1"/>
  <c r="C1056" i="10"/>
  <c r="C1057" i="10"/>
  <c r="C1058" i="10"/>
  <c r="C1059" i="10"/>
  <c r="C1060" i="10"/>
  <c r="C1061" i="10"/>
  <c r="C1062" i="10"/>
  <c r="C1063" i="10"/>
  <c r="C1064" i="10"/>
  <c r="C1065" i="10"/>
  <c r="C1066" i="10"/>
  <c r="C1067" i="10"/>
  <c r="C1068" i="10"/>
  <c r="C1069" i="10"/>
  <c r="O1069" i="10" s="1"/>
  <c r="C1070" i="10"/>
  <c r="C1071" i="10"/>
  <c r="C1072" i="10"/>
  <c r="C1073" i="10"/>
  <c r="C1074" i="10"/>
  <c r="C1075" i="10"/>
  <c r="C1076" i="10"/>
  <c r="C1077" i="10"/>
  <c r="O1077" i="10" s="1"/>
  <c r="C1078" i="10"/>
  <c r="C1079" i="10"/>
  <c r="C1080" i="10"/>
  <c r="C1081" i="10"/>
  <c r="C1082" i="10"/>
  <c r="C1083" i="10"/>
  <c r="C1084" i="10"/>
  <c r="C1085" i="10"/>
  <c r="C1086" i="10"/>
  <c r="C1087" i="10"/>
  <c r="C1088" i="10"/>
  <c r="C1089" i="10"/>
  <c r="C1090" i="10"/>
  <c r="C1091" i="10"/>
  <c r="C1092" i="10"/>
  <c r="C1093" i="10"/>
  <c r="C1094" i="10"/>
  <c r="C1095" i="10"/>
  <c r="C1096" i="10"/>
  <c r="C1097" i="10"/>
  <c r="C1098" i="10"/>
  <c r="C1099" i="10"/>
  <c r="C1100" i="10"/>
  <c r="C1101" i="10"/>
  <c r="O1101" i="10" s="1"/>
  <c r="C1102" i="10"/>
  <c r="C1103" i="10"/>
  <c r="C1104" i="10"/>
  <c r="C1105" i="10"/>
  <c r="C1106" i="10"/>
  <c r="C1107" i="10"/>
  <c r="C1108" i="10"/>
  <c r="C1109" i="10"/>
  <c r="O1109" i="10" s="1"/>
  <c r="C1110" i="10"/>
  <c r="C1111" i="10"/>
  <c r="C1112" i="10"/>
  <c r="C1113" i="10"/>
  <c r="C1114" i="10"/>
  <c r="C1115" i="10"/>
  <c r="C1116" i="10"/>
  <c r="C1117" i="10"/>
  <c r="O1117" i="10" s="1"/>
  <c r="C1118" i="10"/>
  <c r="C1119" i="10"/>
  <c r="C1120" i="10"/>
  <c r="C1121" i="10"/>
  <c r="C1122" i="10"/>
  <c r="C1123" i="10"/>
  <c r="C1124" i="10"/>
  <c r="C1125" i="10"/>
  <c r="O1125" i="10" s="1"/>
  <c r="C1126" i="10"/>
  <c r="C1127" i="10"/>
  <c r="C1128" i="10"/>
  <c r="C1129" i="10"/>
  <c r="C1130" i="10"/>
  <c r="C1131" i="10"/>
  <c r="C1132" i="10"/>
  <c r="C1133" i="10"/>
  <c r="O1133" i="10" s="1"/>
  <c r="C1134" i="10"/>
  <c r="C1135" i="10"/>
  <c r="C1136" i="10"/>
  <c r="C1137" i="10"/>
  <c r="C1138" i="10"/>
  <c r="C1139" i="10"/>
  <c r="C1140" i="10"/>
  <c r="C1141" i="10"/>
  <c r="O1141" i="10" s="1"/>
  <c r="C1142" i="10"/>
  <c r="C1143" i="10"/>
  <c r="C1144" i="10"/>
  <c r="C1145" i="10"/>
  <c r="C1146" i="10"/>
  <c r="C1147" i="10"/>
  <c r="C1148" i="10"/>
  <c r="O1148" i="10" s="1"/>
  <c r="C1149" i="10"/>
  <c r="O1149" i="10" s="1"/>
  <c r="C1150" i="10"/>
  <c r="O1150" i="10" s="1"/>
  <c r="C1151" i="10"/>
  <c r="C1152" i="10"/>
  <c r="C1153" i="10"/>
  <c r="C1154" i="10"/>
  <c r="O1124" i="10"/>
  <c r="O1153" i="10"/>
  <c r="M1154" i="10"/>
  <c r="H1154" i="10"/>
  <c r="G1154" i="10"/>
  <c r="F1154" i="10"/>
  <c r="D1154" i="10"/>
  <c r="O1154" i="10" s="1"/>
  <c r="B1154" i="10"/>
  <c r="M1153" i="10"/>
  <c r="H1153" i="10"/>
  <c r="G1153" i="10"/>
  <c r="F1153" i="10"/>
  <c r="D1153" i="10"/>
  <c r="B1153" i="10"/>
  <c r="M1152" i="10"/>
  <c r="H1152" i="10"/>
  <c r="G1152" i="10"/>
  <c r="N1152" i="10" s="1"/>
  <c r="F1152" i="10"/>
  <c r="D1152" i="10"/>
  <c r="O1152" i="10" s="1"/>
  <c r="B1152" i="10"/>
  <c r="M1151" i="10"/>
  <c r="H1151" i="10"/>
  <c r="G1151" i="10"/>
  <c r="F1151" i="10"/>
  <c r="D1151" i="10"/>
  <c r="B1151" i="10"/>
  <c r="M1150" i="10"/>
  <c r="H1150" i="10"/>
  <c r="G1150" i="10"/>
  <c r="F1150" i="10"/>
  <c r="D1150" i="10"/>
  <c r="B1150" i="10"/>
  <c r="M1149" i="10"/>
  <c r="H1149" i="10"/>
  <c r="G1149" i="10"/>
  <c r="F1149" i="10"/>
  <c r="D1149" i="10"/>
  <c r="B1149" i="10"/>
  <c r="M1148" i="10"/>
  <c r="H1148" i="10"/>
  <c r="G1148" i="10"/>
  <c r="F1148" i="10"/>
  <c r="D1148" i="10"/>
  <c r="B1148" i="10"/>
  <c r="M1147" i="10"/>
  <c r="H1147" i="10"/>
  <c r="G1147" i="10"/>
  <c r="F1147" i="10"/>
  <c r="D1147" i="10"/>
  <c r="O1147" i="10" s="1"/>
  <c r="B1147" i="10"/>
  <c r="M1146" i="10"/>
  <c r="H1146" i="10"/>
  <c r="G1146" i="10"/>
  <c r="F1146" i="10"/>
  <c r="D1146" i="10"/>
  <c r="O1146" i="10" s="1"/>
  <c r="B1146" i="10"/>
  <c r="M1145" i="10"/>
  <c r="H1145" i="10"/>
  <c r="G1145" i="10"/>
  <c r="F1145" i="10"/>
  <c r="D1145" i="10"/>
  <c r="O1145" i="10" s="1"/>
  <c r="B1145" i="10"/>
  <c r="M1144" i="10"/>
  <c r="H1144" i="10"/>
  <c r="G1144" i="10"/>
  <c r="F1144" i="10"/>
  <c r="D1144" i="10"/>
  <c r="O1144" i="10" s="1"/>
  <c r="B1144" i="10"/>
  <c r="M1143" i="10"/>
  <c r="H1143" i="10"/>
  <c r="G1143" i="10"/>
  <c r="F1143" i="10"/>
  <c r="D1143" i="10"/>
  <c r="B1143" i="10"/>
  <c r="M1142" i="10"/>
  <c r="H1142" i="10"/>
  <c r="G1142" i="10"/>
  <c r="N1142" i="10" s="1"/>
  <c r="F1142" i="10"/>
  <c r="D1142" i="10"/>
  <c r="B1142" i="10"/>
  <c r="M1141" i="10"/>
  <c r="H1141" i="10"/>
  <c r="G1141" i="10"/>
  <c r="F1141" i="10"/>
  <c r="D1141" i="10"/>
  <c r="B1141" i="10"/>
  <c r="M1140" i="10"/>
  <c r="H1140" i="10"/>
  <c r="G1140" i="10"/>
  <c r="F1140" i="10"/>
  <c r="D1140" i="10"/>
  <c r="B1140" i="10"/>
  <c r="M1139" i="10"/>
  <c r="H1139" i="10"/>
  <c r="G1139" i="10"/>
  <c r="F1139" i="10"/>
  <c r="D1139" i="10"/>
  <c r="O1139" i="10" s="1"/>
  <c r="B1139" i="10"/>
  <c r="M1138" i="10"/>
  <c r="H1138" i="10"/>
  <c r="G1138" i="10"/>
  <c r="F1138" i="10"/>
  <c r="D1138" i="10"/>
  <c r="O1138" i="10" s="1"/>
  <c r="B1138" i="10"/>
  <c r="M1137" i="10"/>
  <c r="H1137" i="10"/>
  <c r="G1137" i="10"/>
  <c r="F1137" i="10"/>
  <c r="D1137" i="10"/>
  <c r="O1137" i="10" s="1"/>
  <c r="B1137" i="10"/>
  <c r="M1136" i="10"/>
  <c r="H1136" i="10"/>
  <c r="G1136" i="10"/>
  <c r="F1136" i="10"/>
  <c r="D1136" i="10"/>
  <c r="O1136" i="10" s="1"/>
  <c r="B1136" i="10"/>
  <c r="M1135" i="10"/>
  <c r="H1135" i="10"/>
  <c r="G1135" i="10"/>
  <c r="F1135" i="10"/>
  <c r="D1135" i="10"/>
  <c r="B1135" i="10"/>
  <c r="M1134" i="10"/>
  <c r="H1134" i="10"/>
  <c r="G1134" i="10"/>
  <c r="F1134" i="10"/>
  <c r="D1134" i="10"/>
  <c r="B1134" i="10"/>
  <c r="M1133" i="10"/>
  <c r="H1133" i="10"/>
  <c r="G1133" i="10"/>
  <c r="F1133" i="10"/>
  <c r="D1133" i="10"/>
  <c r="B1133" i="10"/>
  <c r="M1132" i="10"/>
  <c r="H1132" i="10"/>
  <c r="G1132" i="10"/>
  <c r="F1132" i="10"/>
  <c r="D1132" i="10"/>
  <c r="B1132" i="10"/>
  <c r="M1131" i="10"/>
  <c r="H1131" i="10"/>
  <c r="G1131" i="10"/>
  <c r="F1131" i="10"/>
  <c r="D1131" i="10"/>
  <c r="O1131" i="10" s="1"/>
  <c r="B1131" i="10"/>
  <c r="M1130" i="10"/>
  <c r="H1130" i="10"/>
  <c r="G1130" i="10"/>
  <c r="F1130" i="10"/>
  <c r="D1130" i="10"/>
  <c r="O1130" i="10" s="1"/>
  <c r="B1130" i="10"/>
  <c r="M1129" i="10"/>
  <c r="H1129" i="10"/>
  <c r="G1129" i="10"/>
  <c r="F1129" i="10"/>
  <c r="D1129" i="10"/>
  <c r="O1129" i="10" s="1"/>
  <c r="B1129" i="10"/>
  <c r="M1128" i="10"/>
  <c r="H1128" i="10"/>
  <c r="G1128" i="10"/>
  <c r="F1128" i="10"/>
  <c r="D1128" i="10"/>
  <c r="O1128" i="10" s="1"/>
  <c r="B1128" i="10"/>
  <c r="M1127" i="10"/>
  <c r="H1127" i="10"/>
  <c r="G1127" i="10"/>
  <c r="F1127" i="10"/>
  <c r="D1127" i="10"/>
  <c r="B1127" i="10"/>
  <c r="M1126" i="10"/>
  <c r="H1126" i="10"/>
  <c r="G1126" i="10"/>
  <c r="F1126" i="10"/>
  <c r="D1126" i="10"/>
  <c r="O1126" i="10" s="1"/>
  <c r="B1126" i="10"/>
  <c r="M1125" i="10"/>
  <c r="H1125" i="10"/>
  <c r="G1125" i="10"/>
  <c r="F1125" i="10"/>
  <c r="D1125" i="10"/>
  <c r="B1125" i="10"/>
  <c r="M1124" i="10"/>
  <c r="H1124" i="10"/>
  <c r="G1124" i="10"/>
  <c r="F1124" i="10"/>
  <c r="D1124" i="10"/>
  <c r="B1124" i="10"/>
  <c r="M1123" i="10"/>
  <c r="H1123" i="10"/>
  <c r="G1123" i="10"/>
  <c r="F1123" i="10"/>
  <c r="D1123" i="10"/>
  <c r="O1123" i="10" s="1"/>
  <c r="B1123" i="10"/>
  <c r="M1122" i="10"/>
  <c r="H1122" i="10"/>
  <c r="G1122" i="10"/>
  <c r="F1122" i="10"/>
  <c r="D1122" i="10"/>
  <c r="O1122" i="10" s="1"/>
  <c r="B1122" i="10"/>
  <c r="M1121" i="10"/>
  <c r="H1121" i="10"/>
  <c r="G1121" i="10"/>
  <c r="F1121" i="10"/>
  <c r="D1121" i="10"/>
  <c r="O1121" i="10" s="1"/>
  <c r="B1121" i="10"/>
  <c r="M1120" i="10"/>
  <c r="H1120" i="10"/>
  <c r="G1120" i="10"/>
  <c r="F1120" i="10"/>
  <c r="D1120" i="10"/>
  <c r="O1120" i="10" s="1"/>
  <c r="B1120" i="10"/>
  <c r="M1119" i="10"/>
  <c r="H1119" i="10"/>
  <c r="G1119" i="10"/>
  <c r="F1119" i="10"/>
  <c r="D1119" i="10"/>
  <c r="B1119" i="10"/>
  <c r="M1118" i="10"/>
  <c r="H1118" i="10"/>
  <c r="G1118" i="10"/>
  <c r="F1118" i="10"/>
  <c r="D1118" i="10"/>
  <c r="B1118" i="10"/>
  <c r="M1117" i="10"/>
  <c r="H1117" i="10"/>
  <c r="G1117" i="10"/>
  <c r="F1117" i="10"/>
  <c r="D1117" i="10"/>
  <c r="B1117" i="10"/>
  <c r="M1116" i="10"/>
  <c r="H1116" i="10"/>
  <c r="G1116" i="10"/>
  <c r="F1116" i="10"/>
  <c r="D1116" i="10"/>
  <c r="O1116" i="10" s="1"/>
  <c r="B1116" i="10"/>
  <c r="M1115" i="10"/>
  <c r="H1115" i="10"/>
  <c r="G1115" i="10"/>
  <c r="F1115" i="10"/>
  <c r="D1115" i="10"/>
  <c r="O1115" i="10" s="1"/>
  <c r="B1115" i="10"/>
  <c r="M1114" i="10"/>
  <c r="H1114" i="10"/>
  <c r="G1114" i="10"/>
  <c r="F1114" i="10"/>
  <c r="D1114" i="10"/>
  <c r="O1114" i="10" s="1"/>
  <c r="B1114" i="10"/>
  <c r="M1113" i="10"/>
  <c r="H1113" i="10"/>
  <c r="G1113" i="10"/>
  <c r="F1113" i="10"/>
  <c r="D1113" i="10"/>
  <c r="O1113" i="10" s="1"/>
  <c r="B1113" i="10"/>
  <c r="M1112" i="10"/>
  <c r="H1112" i="10"/>
  <c r="G1112" i="10"/>
  <c r="F1112" i="10"/>
  <c r="D1112" i="10"/>
  <c r="O1112" i="10" s="1"/>
  <c r="B1112" i="10"/>
  <c r="M1111" i="10"/>
  <c r="H1111" i="10"/>
  <c r="G1111" i="10"/>
  <c r="F1111" i="10"/>
  <c r="D1111" i="10"/>
  <c r="B1111" i="10"/>
  <c r="M1110" i="10"/>
  <c r="H1110" i="10"/>
  <c r="G1110" i="10"/>
  <c r="F1110" i="10"/>
  <c r="D1110" i="10"/>
  <c r="B1110" i="10"/>
  <c r="M1109" i="10"/>
  <c r="H1109" i="10"/>
  <c r="G1109" i="10"/>
  <c r="F1109" i="10"/>
  <c r="D1109" i="10"/>
  <c r="B1109" i="10"/>
  <c r="M1108" i="10"/>
  <c r="H1108" i="10"/>
  <c r="G1108" i="10"/>
  <c r="F1108" i="10"/>
  <c r="D1108" i="10"/>
  <c r="B1108" i="10"/>
  <c r="M1107" i="10"/>
  <c r="H1107" i="10"/>
  <c r="G1107" i="10"/>
  <c r="F1107" i="10"/>
  <c r="D1107" i="10"/>
  <c r="O1107" i="10" s="1"/>
  <c r="B1107" i="10"/>
  <c r="M1106" i="10"/>
  <c r="H1106" i="10"/>
  <c r="G1106" i="10"/>
  <c r="F1106" i="10"/>
  <c r="N1106" i="10" s="1"/>
  <c r="D1106" i="10"/>
  <c r="O1106" i="10" s="1"/>
  <c r="B1106" i="10"/>
  <c r="M1105" i="10"/>
  <c r="H1105" i="10"/>
  <c r="G1105" i="10"/>
  <c r="F1105" i="10"/>
  <c r="D1105" i="10"/>
  <c r="O1105" i="10"/>
  <c r="B1105" i="10"/>
  <c r="M1104" i="10"/>
  <c r="H1104" i="10"/>
  <c r="G1104" i="10"/>
  <c r="F1104" i="10"/>
  <c r="D1104" i="10"/>
  <c r="O1104" i="10"/>
  <c r="B1104" i="10"/>
  <c r="M1103" i="10"/>
  <c r="H1103" i="10"/>
  <c r="G1103" i="10"/>
  <c r="F1103" i="10"/>
  <c r="D1103" i="10"/>
  <c r="B1103" i="10"/>
  <c r="M1102" i="10"/>
  <c r="H1102" i="10"/>
  <c r="N1102" i="10" s="1"/>
  <c r="G1102" i="10"/>
  <c r="F1102" i="10"/>
  <c r="D1102" i="10"/>
  <c r="B1102" i="10"/>
  <c r="M1101" i="10"/>
  <c r="H1101" i="10"/>
  <c r="G1101" i="10"/>
  <c r="F1101" i="10"/>
  <c r="D1101" i="10"/>
  <c r="B1101" i="10"/>
  <c r="M1100" i="10"/>
  <c r="H1100" i="10"/>
  <c r="G1100" i="10"/>
  <c r="F1100" i="10"/>
  <c r="D1100" i="10"/>
  <c r="B1100" i="10"/>
  <c r="M1099" i="10"/>
  <c r="H1099" i="10"/>
  <c r="G1099" i="10"/>
  <c r="F1099" i="10"/>
  <c r="D1099" i="10"/>
  <c r="O1099" i="10" s="1"/>
  <c r="B1099" i="10"/>
  <c r="M1098" i="10"/>
  <c r="H1098" i="10"/>
  <c r="G1098" i="10"/>
  <c r="F1098" i="10"/>
  <c r="D1098" i="10"/>
  <c r="O1098" i="10" s="1"/>
  <c r="B1098" i="10"/>
  <c r="M1097" i="10"/>
  <c r="H1097" i="10"/>
  <c r="G1097" i="10"/>
  <c r="F1097" i="10"/>
  <c r="D1097" i="10"/>
  <c r="O1097" i="10" s="1"/>
  <c r="B1097" i="10"/>
  <c r="M1096" i="10"/>
  <c r="H1096" i="10"/>
  <c r="G1096" i="10"/>
  <c r="F1096" i="10"/>
  <c r="N1096" i="10" s="1"/>
  <c r="D1096" i="10"/>
  <c r="O1096" i="10" s="1"/>
  <c r="B1096" i="10"/>
  <c r="M1095" i="10"/>
  <c r="H1095" i="10"/>
  <c r="G1095" i="10"/>
  <c r="F1095" i="10"/>
  <c r="N1095" i="10" s="1"/>
  <c r="D1095" i="10"/>
  <c r="B1095" i="10"/>
  <c r="M1094" i="10"/>
  <c r="H1094" i="10"/>
  <c r="G1094" i="10"/>
  <c r="F1094" i="10"/>
  <c r="D1094" i="10"/>
  <c r="O1094" i="10"/>
  <c r="B1094" i="10"/>
  <c r="M1093" i="10"/>
  <c r="H1093" i="10"/>
  <c r="G1093" i="10"/>
  <c r="F1093" i="10"/>
  <c r="D1093" i="10"/>
  <c r="B1093" i="10"/>
  <c r="M1092" i="10"/>
  <c r="H1092" i="10"/>
  <c r="G1092" i="10"/>
  <c r="F1092" i="10"/>
  <c r="D1092" i="10"/>
  <c r="O1092" i="10"/>
  <c r="B1092" i="10"/>
  <c r="M1091" i="10"/>
  <c r="H1091" i="10"/>
  <c r="G1091" i="10"/>
  <c r="F1091" i="10"/>
  <c r="D1091" i="10"/>
  <c r="O1091" i="10" s="1"/>
  <c r="B1091" i="10"/>
  <c r="M1090" i="10"/>
  <c r="H1090" i="10"/>
  <c r="G1090" i="10"/>
  <c r="F1090" i="10"/>
  <c r="N1090" i="10" s="1"/>
  <c r="D1090" i="10"/>
  <c r="B1090" i="10"/>
  <c r="M1089" i="10"/>
  <c r="H1089" i="10"/>
  <c r="G1089" i="10"/>
  <c r="F1089" i="10"/>
  <c r="D1089" i="10"/>
  <c r="B1089" i="10"/>
  <c r="M1088" i="10"/>
  <c r="H1088" i="10"/>
  <c r="G1088" i="10"/>
  <c r="F1088" i="10"/>
  <c r="D1088" i="10"/>
  <c r="B1088" i="10"/>
  <c r="M1087" i="10"/>
  <c r="H1087" i="10"/>
  <c r="G1087" i="10"/>
  <c r="F1087" i="10"/>
  <c r="D1087" i="10"/>
  <c r="B1087" i="10"/>
  <c r="M1086" i="10"/>
  <c r="H1086" i="10"/>
  <c r="G1086" i="10"/>
  <c r="F1086" i="10"/>
  <c r="D1086" i="10"/>
  <c r="B1086" i="10"/>
  <c r="M1085" i="10"/>
  <c r="H1085" i="10"/>
  <c r="G1085" i="10"/>
  <c r="F1085" i="10"/>
  <c r="D1085" i="10"/>
  <c r="B1085" i="10"/>
  <c r="M1084" i="10"/>
  <c r="H1084" i="10"/>
  <c r="G1084" i="10"/>
  <c r="F1084" i="10"/>
  <c r="D1084" i="10"/>
  <c r="O1084" i="10"/>
  <c r="B1084" i="10"/>
  <c r="M1083" i="10"/>
  <c r="H1083" i="10"/>
  <c r="G1083" i="10"/>
  <c r="F1083" i="10"/>
  <c r="D1083" i="10"/>
  <c r="O1083" i="10" s="1"/>
  <c r="B1083" i="10"/>
  <c r="M1082" i="10"/>
  <c r="H1082" i="10"/>
  <c r="G1082" i="10"/>
  <c r="F1082" i="10"/>
  <c r="D1082" i="10"/>
  <c r="O1082" i="10"/>
  <c r="B1082" i="10"/>
  <c r="M1081" i="10"/>
  <c r="H1081" i="10"/>
  <c r="G1081" i="10"/>
  <c r="F1081" i="10"/>
  <c r="D1081" i="10"/>
  <c r="O1081" i="10" s="1"/>
  <c r="B1081" i="10"/>
  <c r="M1080" i="10"/>
  <c r="H1080" i="10"/>
  <c r="G1080" i="10"/>
  <c r="F1080" i="10"/>
  <c r="D1080" i="10"/>
  <c r="O1080" i="10" s="1"/>
  <c r="B1080" i="10"/>
  <c r="M1079" i="10"/>
  <c r="H1079" i="10"/>
  <c r="N1079" i="10" s="1"/>
  <c r="G1079" i="10"/>
  <c r="F1079" i="10"/>
  <c r="D1079" i="10"/>
  <c r="O1079" i="10" s="1"/>
  <c r="B1079" i="10"/>
  <c r="M1078" i="10"/>
  <c r="H1078" i="10"/>
  <c r="G1078" i="10"/>
  <c r="F1078" i="10"/>
  <c r="D1078" i="10"/>
  <c r="O1078" i="10" s="1"/>
  <c r="B1078" i="10"/>
  <c r="M1077" i="10"/>
  <c r="H1077" i="10"/>
  <c r="G1077" i="10"/>
  <c r="F1077" i="10"/>
  <c r="D1077" i="10"/>
  <c r="B1077" i="10"/>
  <c r="M1076" i="10"/>
  <c r="H1076" i="10"/>
  <c r="G1076" i="10"/>
  <c r="F1076" i="10"/>
  <c r="N1076" i="10" s="1"/>
  <c r="D1076" i="10"/>
  <c r="B1076" i="10"/>
  <c r="M1075" i="10"/>
  <c r="H1075" i="10"/>
  <c r="G1075" i="10"/>
  <c r="F1075" i="10"/>
  <c r="D1075" i="10"/>
  <c r="O1075" i="10" s="1"/>
  <c r="B1075" i="10"/>
  <c r="M1074" i="10"/>
  <c r="H1074" i="10"/>
  <c r="G1074" i="10"/>
  <c r="F1074" i="10"/>
  <c r="D1074" i="10"/>
  <c r="O1074" i="10"/>
  <c r="B1074" i="10"/>
  <c r="M1073" i="10"/>
  <c r="H1073" i="10"/>
  <c r="G1073" i="10"/>
  <c r="F1073" i="10"/>
  <c r="D1073" i="10"/>
  <c r="O1073" i="10" s="1"/>
  <c r="B1073" i="10"/>
  <c r="M1072" i="10"/>
  <c r="H1072" i="10"/>
  <c r="G1072" i="10"/>
  <c r="F1072" i="10"/>
  <c r="D1072" i="10"/>
  <c r="O1072" i="10"/>
  <c r="B1072" i="10"/>
  <c r="M1071" i="10"/>
  <c r="H1071" i="10"/>
  <c r="G1071" i="10"/>
  <c r="F1071" i="10"/>
  <c r="D1071" i="10"/>
  <c r="B1071" i="10"/>
  <c r="M1070" i="10"/>
  <c r="H1070" i="10"/>
  <c r="G1070" i="10"/>
  <c r="F1070" i="10"/>
  <c r="D1070" i="10"/>
  <c r="B1070" i="10"/>
  <c r="M1069" i="10"/>
  <c r="H1069" i="10"/>
  <c r="G1069" i="10"/>
  <c r="F1069" i="10"/>
  <c r="D1069" i="10"/>
  <c r="B1069" i="10"/>
  <c r="M1068" i="10"/>
  <c r="H1068" i="10"/>
  <c r="G1068" i="10"/>
  <c r="F1068" i="10"/>
  <c r="D1068" i="10"/>
  <c r="B1068" i="10"/>
  <c r="M1067" i="10"/>
  <c r="H1067" i="10"/>
  <c r="G1067" i="10"/>
  <c r="F1067" i="10"/>
  <c r="N1067" i="10" s="1"/>
  <c r="D1067" i="10"/>
  <c r="O1067" i="10" s="1"/>
  <c r="P1067" i="10" s="1"/>
  <c r="B1067" i="10"/>
  <c r="M1066" i="10"/>
  <c r="H1066" i="10"/>
  <c r="G1066" i="10"/>
  <c r="F1066" i="10"/>
  <c r="N1066" i="10" s="1"/>
  <c r="D1066" i="10"/>
  <c r="O1066" i="10" s="1"/>
  <c r="B1066" i="10"/>
  <c r="M1065" i="10"/>
  <c r="H1065" i="10"/>
  <c r="G1065" i="10"/>
  <c r="F1065" i="10"/>
  <c r="D1065" i="10"/>
  <c r="O1065" i="10" s="1"/>
  <c r="B1065" i="10"/>
  <c r="M1064" i="10"/>
  <c r="H1064" i="10"/>
  <c r="G1064" i="10"/>
  <c r="F1064" i="10"/>
  <c r="D1064" i="10"/>
  <c r="O1064" i="10" s="1"/>
  <c r="B1064" i="10"/>
  <c r="M1063" i="10"/>
  <c r="H1063" i="10"/>
  <c r="G1063" i="10"/>
  <c r="F1063" i="10"/>
  <c r="N1063" i="10" s="1"/>
  <c r="D1063" i="10"/>
  <c r="B1063" i="10"/>
  <c r="M1062" i="10"/>
  <c r="H1062" i="10"/>
  <c r="G1062" i="10"/>
  <c r="F1062" i="10"/>
  <c r="D1062" i="10"/>
  <c r="O1062" i="10"/>
  <c r="B1062" i="10"/>
  <c r="M1061" i="10"/>
  <c r="H1061" i="10"/>
  <c r="G1061" i="10"/>
  <c r="F1061" i="10"/>
  <c r="D1061" i="10"/>
  <c r="B1061" i="10"/>
  <c r="M1060" i="10"/>
  <c r="H1060" i="10"/>
  <c r="G1060" i="10"/>
  <c r="F1060" i="10"/>
  <c r="D1060" i="10"/>
  <c r="O1060" i="10" s="1"/>
  <c r="B1060" i="10"/>
  <c r="M1059" i="10"/>
  <c r="H1059" i="10"/>
  <c r="G1059" i="10"/>
  <c r="F1059" i="10"/>
  <c r="D1059" i="10"/>
  <c r="O1059" i="10" s="1"/>
  <c r="B1059" i="10"/>
  <c r="M1058" i="10"/>
  <c r="H1058" i="10"/>
  <c r="G1058" i="10"/>
  <c r="F1058" i="10"/>
  <c r="D1058" i="10"/>
  <c r="O1058" i="10"/>
  <c r="B1058" i="10"/>
  <c r="M1057" i="10"/>
  <c r="H1057" i="10"/>
  <c r="G1057" i="10"/>
  <c r="F1057" i="10"/>
  <c r="D1057" i="10"/>
  <c r="O1057" i="10" s="1"/>
  <c r="B1057" i="10"/>
  <c r="M1056" i="10"/>
  <c r="H1056" i="10"/>
  <c r="G1056" i="10"/>
  <c r="F1056" i="10"/>
  <c r="D1056" i="10"/>
  <c r="O1056" i="10" s="1"/>
  <c r="B1056" i="10"/>
  <c r="N1055" i="10"/>
  <c r="M1055" i="10"/>
  <c r="H1055" i="10"/>
  <c r="G1055" i="10"/>
  <c r="F1055" i="10"/>
  <c r="D1055" i="10"/>
  <c r="O1055" i="10"/>
  <c r="B1055" i="10"/>
  <c r="O1142" i="10" l="1"/>
  <c r="O1134" i="10"/>
  <c r="O1110" i="10"/>
  <c r="O1102" i="10"/>
  <c r="O1070" i="10"/>
  <c r="P1070" i="10" s="1"/>
  <c r="O1132" i="10"/>
  <c r="O1108" i="10"/>
  <c r="P1108" i="10" s="1"/>
  <c r="O1100" i="10"/>
  <c r="O1076" i="10"/>
  <c r="P1066" i="10"/>
  <c r="N1082" i="10"/>
  <c r="P1082" i="10" s="1"/>
  <c r="N1105" i="10"/>
  <c r="O1061" i="10"/>
  <c r="N1100" i="10"/>
  <c r="P1112" i="10"/>
  <c r="N1126" i="10"/>
  <c r="N1151" i="10"/>
  <c r="P1105" i="10"/>
  <c r="N1070" i="10"/>
  <c r="N1089" i="10"/>
  <c r="N1094" i="10"/>
  <c r="P1094" i="10" s="1"/>
  <c r="N1099" i="10"/>
  <c r="P1099" i="10" s="1"/>
  <c r="N1150" i="10"/>
  <c r="N1093" i="10"/>
  <c r="N1112" i="10"/>
  <c r="N1116" i="10"/>
  <c r="N1153" i="10"/>
  <c r="P1153" i="10" s="1"/>
  <c r="P1114" i="10"/>
  <c r="P1122" i="10"/>
  <c r="P1076" i="10"/>
  <c r="P1152" i="10"/>
  <c r="N1098" i="10"/>
  <c r="P1106" i="10"/>
  <c r="N1133" i="10"/>
  <c r="N1141" i="10"/>
  <c r="P1141" i="10" s="1"/>
  <c r="P1142" i="10"/>
  <c r="O1118" i="10"/>
  <c r="P1102" i="10"/>
  <c r="O1086" i="10"/>
  <c r="N1148" i="10"/>
  <c r="P1148" i="10" s="1"/>
  <c r="N1149" i="10"/>
  <c r="P1149" i="10" s="1"/>
  <c r="O1140" i="10"/>
  <c r="P1140" i="10" s="1"/>
  <c r="N1108" i="10"/>
  <c r="N1118" i="10"/>
  <c r="P1126" i="10"/>
  <c r="P1055" i="10"/>
  <c r="N1061" i="10"/>
  <c r="N1119" i="10"/>
  <c r="N1120" i="10"/>
  <c r="P1120" i="10" s="1"/>
  <c r="N1128" i="10"/>
  <c r="P1128" i="10" s="1"/>
  <c r="N1138" i="10"/>
  <c r="P1138" i="10" s="1"/>
  <c r="N1139" i="10"/>
  <c r="P1139" i="10" s="1"/>
  <c r="N1140" i="10"/>
  <c r="P1061" i="10"/>
  <c r="P1116" i="10"/>
  <c r="N1062" i="10"/>
  <c r="P1062" i="10" s="1"/>
  <c r="N1103" i="10"/>
  <c r="P1103" i="10" s="1"/>
  <c r="N1104" i="10"/>
  <c r="N1122" i="10"/>
  <c r="N1129" i="10"/>
  <c r="N1130" i="10"/>
  <c r="N1136" i="10"/>
  <c r="P1136" i="10" s="1"/>
  <c r="N1146" i="10"/>
  <c r="P1146" i="10" s="1"/>
  <c r="O1085" i="10"/>
  <c r="N1109" i="10"/>
  <c r="P1109" i="10" s="1"/>
  <c r="P1079" i="10"/>
  <c r="N1057" i="10"/>
  <c r="P1057" i="10" s="1"/>
  <c r="N1064" i="10"/>
  <c r="P1064" i="10" s="1"/>
  <c r="N1065" i="10"/>
  <c r="P1065" i="10" s="1"/>
  <c r="N1085" i="10"/>
  <c r="N1092" i="10"/>
  <c r="P1092" i="10" s="1"/>
  <c r="N1113" i="10"/>
  <c r="P1113" i="10" s="1"/>
  <c r="N1115" i="10"/>
  <c r="P1115" i="10" s="1"/>
  <c r="N1125" i="10"/>
  <c r="P1125" i="10" s="1"/>
  <c r="N1132" i="10"/>
  <c r="N1135" i="10"/>
  <c r="N1145" i="10"/>
  <c r="P1145" i="10" s="1"/>
  <c r="N1086" i="10"/>
  <c r="P1104" i="10"/>
  <c r="N1110" i="10"/>
  <c r="P1110" i="10" s="1"/>
  <c r="N1058" i="10"/>
  <c r="P1058" i="10" s="1"/>
  <c r="N1056" i="10"/>
  <c r="O1068" i="10"/>
  <c r="N1080" i="10"/>
  <c r="P1080" i="10" s="1"/>
  <c r="N1114" i="10"/>
  <c r="P1056" i="10"/>
  <c r="N1068" i="10"/>
  <c r="N1078" i="10"/>
  <c r="P1078" i="10" s="1"/>
  <c r="N1088" i="10"/>
  <c r="N1123" i="10"/>
  <c r="N1124" i="10"/>
  <c r="P1124" i="10" s="1"/>
  <c r="N1134" i="10"/>
  <c r="P1134" i="10" s="1"/>
  <c r="N1143" i="10"/>
  <c r="N1144" i="10"/>
  <c r="P1144" i="10" s="1"/>
  <c r="N1154" i="10"/>
  <c r="P1154" i="10" s="1"/>
  <c r="O1151" i="10"/>
  <c r="P1151" i="10" s="1"/>
  <c r="O1143" i="10"/>
  <c r="P1143" i="10" s="1"/>
  <c r="O1135" i="10"/>
  <c r="O1127" i="10"/>
  <c r="O1119" i="10"/>
  <c r="O1111" i="10"/>
  <c r="O1103" i="10"/>
  <c r="O1095" i="10"/>
  <c r="P1095" i="10" s="1"/>
  <c r="O1087" i="10"/>
  <c r="O1071" i="10"/>
  <c r="O1063" i="10"/>
  <c r="P1063" i="10" s="1"/>
  <c r="O1093" i="10"/>
  <c r="P1093" i="10" s="1"/>
  <c r="O1090" i="10"/>
  <c r="P1090" i="10" s="1"/>
  <c r="N1137" i="10"/>
  <c r="P1137" i="10" s="1"/>
  <c r="N1087" i="10"/>
  <c r="P1150" i="10"/>
  <c r="N1071" i="10"/>
  <c r="P1071" i="10" s="1"/>
  <c r="O1088" i="10"/>
  <c r="N1127" i="10"/>
  <c r="P1127" i="10" s="1"/>
  <c r="P1129" i="10"/>
  <c r="N1147" i="10"/>
  <c r="N1059" i="10"/>
  <c r="P1059" i="10" s="1"/>
  <c r="N1060" i="10"/>
  <c r="P1060" i="10" s="1"/>
  <c r="N1069" i="10"/>
  <c r="P1069" i="10" s="1"/>
  <c r="N1072" i="10"/>
  <c r="P1072" i="10" s="1"/>
  <c r="N1075" i="10"/>
  <c r="P1075" i="10" s="1"/>
  <c r="N1084" i="10"/>
  <c r="P1084" i="10" s="1"/>
  <c r="P1086" i="10"/>
  <c r="P1096" i="10"/>
  <c r="N1117" i="10"/>
  <c r="P1117" i="10" s="1"/>
  <c r="P1130" i="10"/>
  <c r="P1133" i="10"/>
  <c r="N1073" i="10"/>
  <c r="P1073" i="10" s="1"/>
  <c r="N1083" i="10"/>
  <c r="P1083" i="10" s="1"/>
  <c r="N1091" i="10"/>
  <c r="P1091" i="10" s="1"/>
  <c r="P1098" i="10"/>
  <c r="N1107" i="10"/>
  <c r="P1107" i="10" s="1"/>
  <c r="P1123" i="10"/>
  <c r="N1074" i="10"/>
  <c r="P1074" i="10" s="1"/>
  <c r="N1077" i="10"/>
  <c r="P1077" i="10" s="1"/>
  <c r="O1089" i="10"/>
  <c r="N1097" i="10"/>
  <c r="P1097" i="10" s="1"/>
  <c r="P1132" i="10"/>
  <c r="N1081" i="10"/>
  <c r="P1081" i="10" s="1"/>
  <c r="P1100" i="10"/>
  <c r="P1147" i="10"/>
  <c r="N1101" i="10"/>
  <c r="P1101" i="10" s="1"/>
  <c r="N1111" i="10"/>
  <c r="P1111" i="10" s="1"/>
  <c r="N1121" i="10"/>
  <c r="P1121" i="10" s="1"/>
  <c r="N1131" i="10"/>
  <c r="P1131" i="10" s="1"/>
  <c r="D152" i="3"/>
  <c r="P152" i="3" s="1"/>
  <c r="D153" i="3"/>
  <c r="N153" i="3"/>
  <c r="I153" i="3"/>
  <c r="H153" i="3"/>
  <c r="G153" i="3"/>
  <c r="E153" i="3"/>
  <c r="C153" i="3"/>
  <c r="N152" i="3"/>
  <c r="I152" i="3"/>
  <c r="H152" i="3"/>
  <c r="G152" i="3"/>
  <c r="E152" i="3"/>
  <c r="C152" i="3"/>
  <c r="N34" i="3"/>
  <c r="I34" i="3"/>
  <c r="O34" i="3"/>
  <c r="E34" i="3"/>
  <c r="P34" i="3" s="1"/>
  <c r="C34" i="3"/>
  <c r="N33" i="3"/>
  <c r="I33" i="3"/>
  <c r="E33" i="3"/>
  <c r="P33" i="3" s="1"/>
  <c r="C33" i="3"/>
  <c r="D147" i="3"/>
  <c r="D146" i="3"/>
  <c r="N147" i="3"/>
  <c r="I147" i="3"/>
  <c r="E147" i="3"/>
  <c r="C147" i="3"/>
  <c r="N146" i="3"/>
  <c r="I146" i="3"/>
  <c r="E146" i="3"/>
  <c r="C146" i="3"/>
  <c r="D140" i="3"/>
  <c r="D141" i="3"/>
  <c r="D133" i="3"/>
  <c r="D135" i="3"/>
  <c r="D134" i="3"/>
  <c r="P1087" i="10" l="1"/>
  <c r="P1119" i="10"/>
  <c r="P1088" i="10"/>
  <c r="P1068" i="10"/>
  <c r="P1135" i="10"/>
  <c r="P1085" i="10"/>
  <c r="P153" i="3"/>
  <c r="P1118" i="10"/>
  <c r="O153" i="3"/>
  <c r="P1089" i="10"/>
  <c r="O152" i="3"/>
  <c r="O33" i="3"/>
  <c r="P146" i="3"/>
  <c r="P147" i="3"/>
  <c r="N141" i="3"/>
  <c r="I141" i="3"/>
  <c r="E141" i="3"/>
  <c r="P141" i="3" s="1"/>
  <c r="C141" i="3"/>
  <c r="N140" i="3"/>
  <c r="I140" i="3"/>
  <c r="E140" i="3"/>
  <c r="P140" i="3" s="1"/>
  <c r="C140" i="3"/>
  <c r="N135" i="3"/>
  <c r="I135" i="3"/>
  <c r="E135" i="3"/>
  <c r="P135" i="3" s="1"/>
  <c r="C135" i="3"/>
  <c r="N134" i="3"/>
  <c r="I134" i="3"/>
  <c r="E134" i="3"/>
  <c r="C134" i="3"/>
  <c r="D129" i="3"/>
  <c r="D128" i="3"/>
  <c r="N129" i="3"/>
  <c r="I129" i="3"/>
  <c r="E129" i="3"/>
  <c r="C129" i="3"/>
  <c r="N128" i="3"/>
  <c r="I128" i="3"/>
  <c r="E128" i="3"/>
  <c r="C128" i="3"/>
  <c r="P129" i="3" l="1"/>
  <c r="P134" i="3"/>
  <c r="P128" i="3"/>
  <c r="D116" i="3"/>
  <c r="D115" i="3" l="1"/>
  <c r="N28" i="3" l="1"/>
  <c r="I28" i="3"/>
  <c r="E28" i="3"/>
  <c r="P28" i="3" s="1"/>
  <c r="C28" i="3"/>
  <c r="N27" i="3"/>
  <c r="I27" i="3"/>
  <c r="G146" i="3"/>
  <c r="E27" i="3"/>
  <c r="P27" i="3" s="1"/>
  <c r="C27" i="3"/>
  <c r="D110" i="3"/>
  <c r="D109" i="3"/>
  <c r="D108" i="3"/>
  <c r="D107" i="3"/>
  <c r="D105" i="3"/>
  <c r="N116" i="3"/>
  <c r="I116" i="3"/>
  <c r="C116" i="3"/>
  <c r="N115" i="3"/>
  <c r="I115" i="3"/>
  <c r="C115" i="3"/>
  <c r="N110" i="3"/>
  <c r="I110" i="3"/>
  <c r="C110" i="3"/>
  <c r="N109" i="3"/>
  <c r="I109" i="3"/>
  <c r="C109" i="3"/>
  <c r="D103" i="3"/>
  <c r="O28" i="3" l="1"/>
  <c r="G147" i="3"/>
  <c r="O27" i="3"/>
  <c r="D98" i="3" l="1"/>
  <c r="D97" i="3"/>
  <c r="B97" i="3"/>
  <c r="N97" i="3" s="1"/>
  <c r="F97" i="3"/>
  <c r="J97" i="3"/>
  <c r="K97" i="3"/>
  <c r="L97" i="3"/>
  <c r="M97" i="3"/>
  <c r="B98" i="3"/>
  <c r="N98" i="3" s="1"/>
  <c r="F98" i="3"/>
  <c r="J98" i="3"/>
  <c r="K98" i="3"/>
  <c r="L98" i="3"/>
  <c r="M98" i="3"/>
  <c r="C99" i="3"/>
  <c r="I99" i="3"/>
  <c r="N99" i="3"/>
  <c r="B103" i="3"/>
  <c r="F103" i="3"/>
  <c r="J103" i="3"/>
  <c r="K103" i="3"/>
  <c r="L103" i="3"/>
  <c r="M103" i="3"/>
  <c r="B104" i="3"/>
  <c r="D104" i="3"/>
  <c r="F104" i="3"/>
  <c r="J104" i="3"/>
  <c r="K104" i="3"/>
  <c r="L104" i="3"/>
  <c r="M104" i="3"/>
  <c r="D96" i="3"/>
  <c r="D95" i="3"/>
  <c r="D112" i="3"/>
  <c r="D113" i="3"/>
  <c r="D114" i="3"/>
  <c r="H130" i="3"/>
  <c r="H131" i="3"/>
  <c r="H132" i="3"/>
  <c r="H133" i="3"/>
  <c r="H134" i="3"/>
  <c r="H135" i="3"/>
  <c r="H138" i="3"/>
  <c r="H139" i="3"/>
  <c r="H144" i="3"/>
  <c r="H145" i="3"/>
  <c r="H150" i="3"/>
  <c r="H151" i="3"/>
  <c r="G99" i="3"/>
  <c r="G115" i="3"/>
  <c r="G116" i="3"/>
  <c r="G944" i="10"/>
  <c r="H93" i="3" l="1"/>
  <c r="H124" i="3"/>
  <c r="H149" i="3"/>
  <c r="H147" i="3"/>
  <c r="O147" i="3" s="1"/>
  <c r="H148" i="3"/>
  <c r="H146" i="3"/>
  <c r="O146" i="3" s="1"/>
  <c r="G110" i="3"/>
  <c r="G141" i="3"/>
  <c r="G109" i="3"/>
  <c r="G140" i="3"/>
  <c r="H143" i="3"/>
  <c r="H141" i="3"/>
  <c r="H142" i="3"/>
  <c r="H140" i="3"/>
  <c r="G103" i="3"/>
  <c r="G134" i="3"/>
  <c r="O134" i="3" s="1"/>
  <c r="G104" i="3"/>
  <c r="G135" i="3"/>
  <c r="O135" i="3" s="1"/>
  <c r="H67" i="3"/>
  <c r="H128" i="3"/>
  <c r="H66" i="3"/>
  <c r="H127" i="3"/>
  <c r="H74" i="3"/>
  <c r="H137" i="3"/>
  <c r="H64" i="3"/>
  <c r="H125" i="3"/>
  <c r="H73" i="3"/>
  <c r="H136" i="3"/>
  <c r="G98" i="3"/>
  <c r="G129" i="3"/>
  <c r="H65" i="3"/>
  <c r="H126" i="3"/>
  <c r="G97" i="3"/>
  <c r="G128" i="3"/>
  <c r="H68" i="3"/>
  <c r="H129" i="3"/>
  <c r="H63" i="3"/>
  <c r="H96" i="3"/>
  <c r="H95" i="3"/>
  <c r="H97" i="3"/>
  <c r="H94" i="3"/>
  <c r="H77" i="3"/>
  <c r="H107" i="3"/>
  <c r="H69" i="3"/>
  <c r="H99" i="3"/>
  <c r="O99" i="3" s="1"/>
  <c r="H86" i="3"/>
  <c r="H116" i="3"/>
  <c r="O116" i="3" s="1"/>
  <c r="H85" i="3"/>
  <c r="H115" i="3"/>
  <c r="O115" i="3" s="1"/>
  <c r="H84" i="3"/>
  <c r="H114" i="3"/>
  <c r="H76" i="3"/>
  <c r="H106" i="3"/>
  <c r="H83" i="3"/>
  <c r="H113" i="3"/>
  <c r="H75" i="3"/>
  <c r="H105" i="3"/>
  <c r="H79" i="3"/>
  <c r="H109" i="3"/>
  <c r="O109" i="3" s="1"/>
  <c r="H70" i="3"/>
  <c r="H100" i="3"/>
  <c r="H82" i="3"/>
  <c r="H112" i="3"/>
  <c r="H103" i="3"/>
  <c r="H81" i="3"/>
  <c r="H111" i="3"/>
  <c r="H98" i="3"/>
  <c r="H71" i="3"/>
  <c r="H101" i="3"/>
  <c r="H78" i="3"/>
  <c r="H108" i="3"/>
  <c r="H80" i="3"/>
  <c r="H110" i="3"/>
  <c r="H72" i="3"/>
  <c r="H102" i="3"/>
  <c r="H104" i="3"/>
  <c r="O110" i="3" l="1"/>
  <c r="O129" i="3"/>
  <c r="O140" i="3"/>
  <c r="O141" i="3"/>
  <c r="O128" i="3"/>
  <c r="D531" i="10"/>
  <c r="D532" i="10"/>
  <c r="D533" i="10"/>
  <c r="D534" i="10"/>
  <c r="D535" i="10"/>
  <c r="D536" i="10"/>
  <c r="D537" i="10"/>
  <c r="D538" i="10"/>
  <c r="D539" i="10"/>
  <c r="D540" i="10"/>
  <c r="D541" i="10"/>
  <c r="D542" i="10"/>
  <c r="D543" i="10"/>
  <c r="D544" i="10"/>
  <c r="D545" i="10"/>
  <c r="D546" i="10"/>
  <c r="D547" i="10"/>
  <c r="D548" i="10"/>
  <c r="D549" i="10"/>
  <c r="D550" i="10"/>
  <c r="D551" i="10"/>
  <c r="D552" i="10"/>
  <c r="D553" i="10"/>
  <c r="D554" i="10"/>
  <c r="D555" i="10"/>
  <c r="D556" i="10"/>
  <c r="D557" i="10"/>
  <c r="D558" i="10"/>
  <c r="D559" i="10"/>
  <c r="D560" i="10"/>
  <c r="D561" i="10"/>
  <c r="D562" i="10"/>
  <c r="D563" i="10"/>
  <c r="D564" i="10"/>
  <c r="D565" i="10"/>
  <c r="D566" i="10"/>
  <c r="D567" i="10"/>
  <c r="D568" i="10"/>
  <c r="D569" i="10"/>
  <c r="D570" i="10"/>
  <c r="D571" i="10"/>
  <c r="D572" i="10"/>
  <c r="D573" i="10"/>
  <c r="D574" i="10"/>
  <c r="D575" i="10"/>
  <c r="D576" i="10"/>
  <c r="D577" i="10"/>
  <c r="D578" i="10"/>
  <c r="D579" i="10"/>
  <c r="D580" i="10"/>
  <c r="D581" i="10"/>
  <c r="D582" i="10"/>
  <c r="D583" i="10"/>
  <c r="D584" i="10"/>
  <c r="D585" i="10"/>
  <c r="D586" i="10"/>
  <c r="D587" i="10"/>
  <c r="D588" i="10"/>
  <c r="D589" i="10"/>
  <c r="D590" i="10"/>
  <c r="D591" i="10"/>
  <c r="D592" i="10"/>
  <c r="D593" i="10"/>
  <c r="D594" i="10"/>
  <c r="D595" i="10"/>
  <c r="D596" i="10"/>
  <c r="D597" i="10"/>
  <c r="D598" i="10"/>
  <c r="D599" i="10"/>
  <c r="D600" i="10"/>
  <c r="D601" i="10"/>
  <c r="D602" i="10"/>
  <c r="D603" i="10"/>
  <c r="D604" i="10"/>
  <c r="D605" i="10"/>
  <c r="D606" i="10"/>
  <c r="D607" i="10"/>
  <c r="D608" i="10"/>
  <c r="D609" i="10"/>
  <c r="D610" i="10"/>
  <c r="D611" i="10"/>
  <c r="D612" i="10"/>
  <c r="D613" i="10"/>
  <c r="D614" i="10"/>
  <c r="D615" i="10"/>
  <c r="D616" i="10"/>
  <c r="D617" i="10"/>
  <c r="D618" i="10"/>
  <c r="D619" i="10"/>
  <c r="D620" i="10"/>
  <c r="D621" i="10"/>
  <c r="D622" i="10"/>
  <c r="D623" i="10"/>
  <c r="D624" i="10"/>
  <c r="D625" i="10"/>
  <c r="D626" i="10"/>
  <c r="D627" i="10"/>
  <c r="D628" i="10"/>
  <c r="D629" i="10"/>
  <c r="D530" i="10"/>
  <c r="D216" i="10"/>
  <c r="D217" i="10"/>
  <c r="D218" i="10"/>
  <c r="D219" i="10"/>
  <c r="D220" i="10"/>
  <c r="D221" i="10"/>
  <c r="D222" i="10"/>
  <c r="D223" i="10"/>
  <c r="D224" i="10"/>
  <c r="D225" i="10"/>
  <c r="D226" i="10"/>
  <c r="D227" i="10"/>
  <c r="D228" i="10"/>
  <c r="D229" i="10"/>
  <c r="D230" i="10"/>
  <c r="D231" i="10"/>
  <c r="D232" i="10"/>
  <c r="D233" i="10"/>
  <c r="D234" i="10"/>
  <c r="D235" i="10"/>
  <c r="D236" i="10"/>
  <c r="D237" i="10"/>
  <c r="D238" i="10"/>
  <c r="D239" i="10"/>
  <c r="D240" i="10"/>
  <c r="D241" i="10"/>
  <c r="D242" i="10"/>
  <c r="D243" i="10"/>
  <c r="D244" i="10"/>
  <c r="D245" i="10"/>
  <c r="D246" i="10"/>
  <c r="D247" i="10"/>
  <c r="D248" i="10"/>
  <c r="D249" i="10"/>
  <c r="D250" i="10"/>
  <c r="D251" i="10"/>
  <c r="D252" i="10"/>
  <c r="D253" i="10"/>
  <c r="D254" i="10"/>
  <c r="D255" i="10"/>
  <c r="D256" i="10"/>
  <c r="D257" i="10"/>
  <c r="D258" i="10"/>
  <c r="D259" i="10"/>
  <c r="D260" i="10"/>
  <c r="D261" i="10"/>
  <c r="D262" i="10"/>
  <c r="D263" i="10"/>
  <c r="D264" i="10"/>
  <c r="D265" i="10"/>
  <c r="D266" i="10"/>
  <c r="D267" i="10"/>
  <c r="D268" i="10"/>
  <c r="D269" i="10"/>
  <c r="D270" i="10"/>
  <c r="D271" i="10"/>
  <c r="D272" i="10"/>
  <c r="D273" i="10"/>
  <c r="D274" i="10"/>
  <c r="D275" i="10"/>
  <c r="D276" i="10"/>
  <c r="D277" i="10"/>
  <c r="D278" i="10"/>
  <c r="D279" i="10"/>
  <c r="D280" i="10"/>
  <c r="D281" i="10"/>
  <c r="D282" i="10"/>
  <c r="D283" i="10"/>
  <c r="D284" i="10"/>
  <c r="D285" i="10"/>
  <c r="D286" i="10"/>
  <c r="D287" i="10"/>
  <c r="D288" i="10"/>
  <c r="D289" i="10"/>
  <c r="D290" i="10"/>
  <c r="D291" i="10"/>
  <c r="D292" i="10"/>
  <c r="D293" i="10"/>
  <c r="D294" i="10"/>
  <c r="D295" i="10"/>
  <c r="D296" i="10"/>
  <c r="D297" i="10"/>
  <c r="D298" i="10"/>
  <c r="D299" i="10"/>
  <c r="D300" i="10"/>
  <c r="D301" i="10"/>
  <c r="D302" i="10"/>
  <c r="D303" i="10"/>
  <c r="D304" i="10"/>
  <c r="D305" i="10"/>
  <c r="D306" i="10"/>
  <c r="D307" i="10"/>
  <c r="D308" i="10"/>
  <c r="D309" i="10"/>
  <c r="D310" i="10"/>
  <c r="D311" i="10"/>
  <c r="D312" i="10"/>
  <c r="D313" i="10"/>
  <c r="D314" i="10"/>
  <c r="D215" i="10"/>
  <c r="M29" i="9" l="1"/>
  <c r="L29" i="9"/>
  <c r="I29" i="9"/>
  <c r="H29" i="9"/>
  <c r="D104" i="10"/>
  <c r="D103" i="10"/>
  <c r="D102" i="10"/>
  <c r="D101" i="10"/>
  <c r="D100" i="10"/>
  <c r="D99" i="10"/>
  <c r="D98" i="10"/>
  <c r="D97" i="10"/>
  <c r="D96" i="10"/>
  <c r="D95" i="10"/>
  <c r="D94" i="10"/>
  <c r="D93" i="10"/>
  <c r="D92" i="10"/>
  <c r="D91" i="10"/>
  <c r="D90" i="10"/>
  <c r="D89" i="10"/>
  <c r="D88" i="10"/>
  <c r="D87" i="10"/>
  <c r="D86" i="10"/>
  <c r="D85" i="10"/>
  <c r="D84" i="10"/>
  <c r="D83" i="10"/>
  <c r="D82" i="10"/>
  <c r="D81" i="10"/>
  <c r="D80" i="10"/>
  <c r="D79" i="10"/>
  <c r="D78" i="10"/>
  <c r="D77" i="10"/>
  <c r="D76" i="10"/>
  <c r="D75" i="10"/>
  <c r="D74" i="10"/>
  <c r="D73" i="10"/>
  <c r="D72" i="10"/>
  <c r="D71" i="10"/>
  <c r="D70" i="10"/>
  <c r="D69" i="10"/>
  <c r="D68" i="10"/>
  <c r="D67" i="10"/>
  <c r="D66" i="10"/>
  <c r="D65" i="10"/>
  <c r="D64" i="10"/>
  <c r="D63" i="10"/>
  <c r="D62" i="10"/>
  <c r="D61" i="10"/>
  <c r="D60" i="10"/>
  <c r="D59" i="10"/>
  <c r="D58" i="10"/>
  <c r="D57" i="10"/>
  <c r="D56" i="10"/>
  <c r="D55" i="10"/>
  <c r="D54" i="10"/>
  <c r="D53" i="10"/>
  <c r="D52" i="10"/>
  <c r="D51" i="10"/>
  <c r="D50" i="10"/>
  <c r="D49" i="10"/>
  <c r="D48" i="10"/>
  <c r="D47" i="10"/>
  <c r="D46" i="10"/>
  <c r="D45" i="10"/>
  <c r="D44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23" i="10"/>
  <c r="D22" i="10"/>
  <c r="D21" i="10"/>
  <c r="D20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951" i="10"/>
  <c r="D952" i="10"/>
  <c r="D953" i="10"/>
  <c r="D954" i="10"/>
  <c r="D955" i="10"/>
  <c r="D956" i="10"/>
  <c r="D957" i="10"/>
  <c r="D958" i="10"/>
  <c r="D959" i="10"/>
  <c r="D960" i="10"/>
  <c r="D961" i="10"/>
  <c r="D962" i="10"/>
  <c r="D963" i="10"/>
  <c r="D964" i="10"/>
  <c r="D965" i="10"/>
  <c r="D966" i="10"/>
  <c r="D967" i="10"/>
  <c r="D968" i="10"/>
  <c r="D969" i="10"/>
  <c r="D970" i="10"/>
  <c r="D971" i="10"/>
  <c r="D972" i="10"/>
  <c r="D973" i="10"/>
  <c r="D974" i="10"/>
  <c r="D975" i="10"/>
  <c r="D976" i="10"/>
  <c r="D977" i="10"/>
  <c r="D978" i="10"/>
  <c r="D979" i="10"/>
  <c r="D980" i="10"/>
  <c r="D981" i="10"/>
  <c r="D982" i="10"/>
  <c r="D983" i="10"/>
  <c r="D984" i="10"/>
  <c r="D985" i="10"/>
  <c r="D986" i="10"/>
  <c r="D987" i="10"/>
  <c r="D988" i="10"/>
  <c r="D989" i="10"/>
  <c r="D990" i="10"/>
  <c r="D991" i="10"/>
  <c r="D992" i="10"/>
  <c r="D993" i="10"/>
  <c r="D994" i="10"/>
  <c r="D995" i="10"/>
  <c r="D996" i="10"/>
  <c r="D997" i="10"/>
  <c r="D998" i="10"/>
  <c r="D999" i="10"/>
  <c r="D1000" i="10"/>
  <c r="D1001" i="10"/>
  <c r="D1002" i="10"/>
  <c r="D1003" i="10"/>
  <c r="D1004" i="10"/>
  <c r="D1005" i="10"/>
  <c r="D1006" i="10"/>
  <c r="D1007" i="10"/>
  <c r="D1008" i="10"/>
  <c r="D1009" i="10"/>
  <c r="D1010" i="10"/>
  <c r="D1011" i="10"/>
  <c r="D1012" i="10"/>
  <c r="D1013" i="10"/>
  <c r="D1014" i="10"/>
  <c r="D1015" i="10"/>
  <c r="D1016" i="10"/>
  <c r="D1017" i="10"/>
  <c r="D1018" i="10"/>
  <c r="D1019" i="10"/>
  <c r="D1020" i="10"/>
  <c r="D1021" i="10"/>
  <c r="D1022" i="10"/>
  <c r="D1023" i="10"/>
  <c r="D1024" i="10"/>
  <c r="D1025" i="10"/>
  <c r="D1026" i="10"/>
  <c r="D1027" i="10"/>
  <c r="D1028" i="10"/>
  <c r="D1029" i="10"/>
  <c r="D1030" i="10"/>
  <c r="D1031" i="10"/>
  <c r="D1032" i="10"/>
  <c r="D1033" i="10"/>
  <c r="D1034" i="10"/>
  <c r="D1035" i="10"/>
  <c r="D1036" i="10"/>
  <c r="D1037" i="10"/>
  <c r="D1038" i="10"/>
  <c r="D1039" i="10"/>
  <c r="D1040" i="10"/>
  <c r="D1041" i="10"/>
  <c r="D1042" i="10"/>
  <c r="D1043" i="10"/>
  <c r="D1044" i="10"/>
  <c r="D1045" i="10"/>
  <c r="D1046" i="10"/>
  <c r="D1047" i="10"/>
  <c r="D1048" i="10"/>
  <c r="D1049" i="10"/>
  <c r="D950" i="10"/>
  <c r="C951" i="10"/>
  <c r="C952" i="10"/>
  <c r="O952" i="10" s="1"/>
  <c r="C953" i="10"/>
  <c r="C954" i="10"/>
  <c r="O954" i="10" s="1"/>
  <c r="C955" i="10"/>
  <c r="C956" i="10"/>
  <c r="C957" i="10"/>
  <c r="C958" i="10"/>
  <c r="C959" i="10"/>
  <c r="C960" i="10"/>
  <c r="O960" i="10" s="1"/>
  <c r="C961" i="10"/>
  <c r="C962" i="10"/>
  <c r="O962" i="10" s="1"/>
  <c r="C963" i="10"/>
  <c r="C964" i="10"/>
  <c r="C965" i="10"/>
  <c r="C966" i="10"/>
  <c r="C967" i="10"/>
  <c r="C968" i="10"/>
  <c r="O968" i="10" s="1"/>
  <c r="C969" i="10"/>
  <c r="C970" i="10"/>
  <c r="O970" i="10" s="1"/>
  <c r="C971" i="10"/>
  <c r="C972" i="10"/>
  <c r="C973" i="10"/>
  <c r="C974" i="10"/>
  <c r="C975" i="10"/>
  <c r="C976" i="10"/>
  <c r="O976" i="10" s="1"/>
  <c r="C977" i="10"/>
  <c r="C978" i="10"/>
  <c r="O978" i="10" s="1"/>
  <c r="C979" i="10"/>
  <c r="C980" i="10"/>
  <c r="C981" i="10"/>
  <c r="C982" i="10"/>
  <c r="C983" i="10"/>
  <c r="C984" i="10"/>
  <c r="O984" i="10" s="1"/>
  <c r="C985" i="10"/>
  <c r="C986" i="10"/>
  <c r="O986" i="10" s="1"/>
  <c r="C987" i="10"/>
  <c r="C988" i="10"/>
  <c r="C989" i="10"/>
  <c r="C990" i="10"/>
  <c r="C991" i="10"/>
  <c r="C992" i="10"/>
  <c r="O992" i="10" s="1"/>
  <c r="C993" i="10"/>
  <c r="C994" i="10"/>
  <c r="O994" i="10" s="1"/>
  <c r="C995" i="10"/>
  <c r="C996" i="10"/>
  <c r="C997" i="10"/>
  <c r="C998" i="10"/>
  <c r="C999" i="10"/>
  <c r="C1000" i="10"/>
  <c r="C1001" i="10"/>
  <c r="C1002" i="10"/>
  <c r="O1002" i="10" s="1"/>
  <c r="C1003" i="10"/>
  <c r="C1004" i="10"/>
  <c r="C1005" i="10"/>
  <c r="C1006" i="10"/>
  <c r="C1007" i="10"/>
  <c r="O1007" i="10" s="1"/>
  <c r="C1008" i="10"/>
  <c r="O1008" i="10" s="1"/>
  <c r="C1009" i="10"/>
  <c r="C1010" i="10"/>
  <c r="O1010" i="10" s="1"/>
  <c r="C1011" i="10"/>
  <c r="C1012" i="10"/>
  <c r="C1013" i="10"/>
  <c r="C1014" i="10"/>
  <c r="C1015" i="10"/>
  <c r="C1016" i="10"/>
  <c r="O1016" i="10" s="1"/>
  <c r="C1017" i="10"/>
  <c r="C1018" i="10"/>
  <c r="O1018" i="10" s="1"/>
  <c r="C1019" i="10"/>
  <c r="C1020" i="10"/>
  <c r="C1021" i="10"/>
  <c r="C1022" i="10"/>
  <c r="C1023" i="10"/>
  <c r="C1024" i="10"/>
  <c r="O1024" i="10" s="1"/>
  <c r="C1025" i="10"/>
  <c r="C1026" i="10"/>
  <c r="O1026" i="10" s="1"/>
  <c r="C1027" i="10"/>
  <c r="C1028" i="10"/>
  <c r="C1029" i="10"/>
  <c r="C1030" i="10"/>
  <c r="C1031" i="10"/>
  <c r="O1031" i="10" s="1"/>
  <c r="C1032" i="10"/>
  <c r="O1032" i="10" s="1"/>
  <c r="C1033" i="10"/>
  <c r="C1034" i="10"/>
  <c r="O1034" i="10" s="1"/>
  <c r="C1035" i="10"/>
  <c r="C1036" i="10"/>
  <c r="C1037" i="10"/>
  <c r="C1038" i="10"/>
  <c r="C1039" i="10"/>
  <c r="C1040" i="10"/>
  <c r="O1040" i="10" s="1"/>
  <c r="C1041" i="10"/>
  <c r="C1042" i="10"/>
  <c r="O1042" i="10" s="1"/>
  <c r="C1043" i="10"/>
  <c r="C1044" i="10"/>
  <c r="C1045" i="10"/>
  <c r="C1046" i="10"/>
  <c r="C1047" i="10"/>
  <c r="C1048" i="10"/>
  <c r="O1048" i="10" s="1"/>
  <c r="C1049" i="10"/>
  <c r="C950" i="10"/>
  <c r="O950" i="10" s="1"/>
  <c r="M1049" i="10"/>
  <c r="G1049" i="10"/>
  <c r="F1049" i="10"/>
  <c r="B1049" i="10"/>
  <c r="M1048" i="10"/>
  <c r="G1048" i="10"/>
  <c r="F1048" i="10"/>
  <c r="B1048" i="10"/>
  <c r="M1047" i="10"/>
  <c r="G1047" i="10"/>
  <c r="F1047" i="10"/>
  <c r="B1047" i="10"/>
  <c r="M1046" i="10"/>
  <c r="G1046" i="10"/>
  <c r="F1046" i="10"/>
  <c r="B1046" i="10"/>
  <c r="M1045" i="10"/>
  <c r="G1045" i="10"/>
  <c r="F1045" i="10"/>
  <c r="B1045" i="10"/>
  <c r="M1044" i="10"/>
  <c r="G1044" i="10"/>
  <c r="F1044" i="10"/>
  <c r="B1044" i="10"/>
  <c r="M1043" i="10"/>
  <c r="G1043" i="10"/>
  <c r="F1043" i="10"/>
  <c r="B1043" i="10"/>
  <c r="M1042" i="10"/>
  <c r="G1042" i="10"/>
  <c r="F1042" i="10"/>
  <c r="B1042" i="10"/>
  <c r="M1041" i="10"/>
  <c r="G1041" i="10"/>
  <c r="F1041" i="10"/>
  <c r="B1041" i="10"/>
  <c r="M1040" i="10"/>
  <c r="G1040" i="10"/>
  <c r="F1040" i="10"/>
  <c r="B1040" i="10"/>
  <c r="M1039" i="10"/>
  <c r="G1039" i="10"/>
  <c r="F1039" i="10"/>
  <c r="B1039" i="10"/>
  <c r="M1038" i="10"/>
  <c r="G1038" i="10"/>
  <c r="F1038" i="10"/>
  <c r="B1038" i="10"/>
  <c r="M1037" i="10"/>
  <c r="G1037" i="10"/>
  <c r="F1037" i="10"/>
  <c r="B1037" i="10"/>
  <c r="M1036" i="10"/>
  <c r="G1036" i="10"/>
  <c r="F1036" i="10"/>
  <c r="B1036" i="10"/>
  <c r="M1035" i="10"/>
  <c r="G1035" i="10"/>
  <c r="F1035" i="10"/>
  <c r="B1035" i="10"/>
  <c r="M1034" i="10"/>
  <c r="G1034" i="10"/>
  <c r="F1034" i="10"/>
  <c r="B1034" i="10"/>
  <c r="M1033" i="10"/>
  <c r="G1033" i="10"/>
  <c r="F1033" i="10"/>
  <c r="B1033" i="10"/>
  <c r="M1032" i="10"/>
  <c r="G1032" i="10"/>
  <c r="F1032" i="10"/>
  <c r="B1032" i="10"/>
  <c r="M1031" i="10"/>
  <c r="G1031" i="10"/>
  <c r="F1031" i="10"/>
  <c r="B1031" i="10"/>
  <c r="M1030" i="10"/>
  <c r="G1030" i="10"/>
  <c r="F1030" i="10"/>
  <c r="B1030" i="10"/>
  <c r="M1029" i="10"/>
  <c r="G1029" i="10"/>
  <c r="F1029" i="10"/>
  <c r="B1029" i="10"/>
  <c r="M1028" i="10"/>
  <c r="G1028" i="10"/>
  <c r="F1028" i="10"/>
  <c r="B1028" i="10"/>
  <c r="M1027" i="10"/>
  <c r="G1027" i="10"/>
  <c r="F1027" i="10"/>
  <c r="B1027" i="10"/>
  <c r="M1026" i="10"/>
  <c r="G1026" i="10"/>
  <c r="F1026" i="10"/>
  <c r="B1026" i="10"/>
  <c r="M1025" i="10"/>
  <c r="G1025" i="10"/>
  <c r="F1025" i="10"/>
  <c r="B1025" i="10"/>
  <c r="M1024" i="10"/>
  <c r="G1024" i="10"/>
  <c r="F1024" i="10"/>
  <c r="B1024" i="10"/>
  <c r="M1023" i="10"/>
  <c r="G1023" i="10"/>
  <c r="F1023" i="10"/>
  <c r="B1023" i="10"/>
  <c r="M1022" i="10"/>
  <c r="G1022" i="10"/>
  <c r="F1022" i="10"/>
  <c r="B1022" i="10"/>
  <c r="M1021" i="10"/>
  <c r="G1021" i="10"/>
  <c r="F1021" i="10"/>
  <c r="B1021" i="10"/>
  <c r="M1020" i="10"/>
  <c r="G1020" i="10"/>
  <c r="F1020" i="10"/>
  <c r="B1020" i="10"/>
  <c r="M1019" i="10"/>
  <c r="G1019" i="10"/>
  <c r="F1019" i="10"/>
  <c r="B1019" i="10"/>
  <c r="M1018" i="10"/>
  <c r="G1018" i="10"/>
  <c r="F1018" i="10"/>
  <c r="B1018" i="10"/>
  <c r="M1017" i="10"/>
  <c r="G1017" i="10"/>
  <c r="F1017" i="10"/>
  <c r="B1017" i="10"/>
  <c r="M1016" i="10"/>
  <c r="G1016" i="10"/>
  <c r="F1016" i="10"/>
  <c r="B1016" i="10"/>
  <c r="M1015" i="10"/>
  <c r="G1015" i="10"/>
  <c r="F1015" i="10"/>
  <c r="B1015" i="10"/>
  <c r="M1014" i="10"/>
  <c r="G1014" i="10"/>
  <c r="F1014" i="10"/>
  <c r="B1014" i="10"/>
  <c r="M1013" i="10"/>
  <c r="G1013" i="10"/>
  <c r="F1013" i="10"/>
  <c r="B1013" i="10"/>
  <c r="M1012" i="10"/>
  <c r="G1012" i="10"/>
  <c r="F1012" i="10"/>
  <c r="B1012" i="10"/>
  <c r="M1011" i="10"/>
  <c r="G1011" i="10"/>
  <c r="F1011" i="10"/>
  <c r="B1011" i="10"/>
  <c r="M1010" i="10"/>
  <c r="G1010" i="10"/>
  <c r="F1010" i="10"/>
  <c r="B1010" i="10"/>
  <c r="M1009" i="10"/>
  <c r="G1009" i="10"/>
  <c r="F1009" i="10"/>
  <c r="B1009" i="10"/>
  <c r="M1008" i="10"/>
  <c r="G1008" i="10"/>
  <c r="F1008" i="10"/>
  <c r="B1008" i="10"/>
  <c r="M1007" i="10"/>
  <c r="G1007" i="10"/>
  <c r="F1007" i="10"/>
  <c r="B1007" i="10"/>
  <c r="M1006" i="10"/>
  <c r="G1006" i="10"/>
  <c r="F1006" i="10"/>
  <c r="B1006" i="10"/>
  <c r="M1005" i="10"/>
  <c r="G1005" i="10"/>
  <c r="F1005" i="10"/>
  <c r="B1005" i="10"/>
  <c r="M1004" i="10"/>
  <c r="G1004" i="10"/>
  <c r="F1004" i="10"/>
  <c r="B1004" i="10"/>
  <c r="M1003" i="10"/>
  <c r="G1003" i="10"/>
  <c r="F1003" i="10"/>
  <c r="B1003" i="10"/>
  <c r="M1002" i="10"/>
  <c r="G1002" i="10"/>
  <c r="F1002" i="10"/>
  <c r="B1002" i="10"/>
  <c r="M1001" i="10"/>
  <c r="G1001" i="10"/>
  <c r="F1001" i="10"/>
  <c r="B1001" i="10"/>
  <c r="M1000" i="10"/>
  <c r="G1000" i="10"/>
  <c r="F1000" i="10"/>
  <c r="O1000" i="10"/>
  <c r="B1000" i="10"/>
  <c r="M999" i="10"/>
  <c r="G999" i="10"/>
  <c r="F999" i="10"/>
  <c r="B999" i="10"/>
  <c r="M998" i="10"/>
  <c r="G998" i="10"/>
  <c r="F998" i="10"/>
  <c r="B998" i="10"/>
  <c r="M997" i="10"/>
  <c r="G997" i="10"/>
  <c r="F997" i="10"/>
  <c r="B997" i="10"/>
  <c r="M996" i="10"/>
  <c r="G996" i="10"/>
  <c r="F996" i="10"/>
  <c r="B996" i="10"/>
  <c r="M995" i="10"/>
  <c r="G995" i="10"/>
  <c r="F995" i="10"/>
  <c r="B995" i="10"/>
  <c r="M994" i="10"/>
  <c r="G994" i="10"/>
  <c r="F994" i="10"/>
  <c r="B994" i="10"/>
  <c r="M993" i="10"/>
  <c r="G993" i="10"/>
  <c r="F993" i="10"/>
  <c r="B993" i="10"/>
  <c r="M992" i="10"/>
  <c r="G992" i="10"/>
  <c r="F992" i="10"/>
  <c r="B992" i="10"/>
  <c r="M991" i="10"/>
  <c r="G991" i="10"/>
  <c r="F991" i="10"/>
  <c r="O991" i="10"/>
  <c r="B991" i="10"/>
  <c r="M990" i="10"/>
  <c r="G990" i="10"/>
  <c r="F990" i="10"/>
  <c r="B990" i="10"/>
  <c r="M989" i="10"/>
  <c r="G989" i="10"/>
  <c r="F989" i="10"/>
  <c r="B989" i="10"/>
  <c r="M988" i="10"/>
  <c r="G988" i="10"/>
  <c r="F988" i="10"/>
  <c r="B988" i="10"/>
  <c r="M987" i="10"/>
  <c r="G987" i="10"/>
  <c r="F987" i="10"/>
  <c r="B987" i="10"/>
  <c r="M986" i="10"/>
  <c r="G986" i="10"/>
  <c r="F986" i="10"/>
  <c r="B986" i="10"/>
  <c r="M985" i="10"/>
  <c r="G985" i="10"/>
  <c r="F985" i="10"/>
  <c r="B985" i="10"/>
  <c r="M984" i="10"/>
  <c r="G984" i="10"/>
  <c r="F984" i="10"/>
  <c r="B984" i="10"/>
  <c r="M983" i="10"/>
  <c r="G983" i="10"/>
  <c r="F983" i="10"/>
  <c r="B983" i="10"/>
  <c r="M982" i="10"/>
  <c r="G982" i="10"/>
  <c r="F982" i="10"/>
  <c r="B982" i="10"/>
  <c r="M981" i="10"/>
  <c r="G981" i="10"/>
  <c r="F981" i="10"/>
  <c r="B981" i="10"/>
  <c r="M980" i="10"/>
  <c r="G980" i="10"/>
  <c r="F980" i="10"/>
  <c r="B980" i="10"/>
  <c r="M979" i="10"/>
  <c r="G979" i="10"/>
  <c r="F979" i="10"/>
  <c r="B979" i="10"/>
  <c r="M978" i="10"/>
  <c r="G978" i="10"/>
  <c r="F978" i="10"/>
  <c r="B978" i="10"/>
  <c r="M977" i="10"/>
  <c r="G977" i="10"/>
  <c r="F977" i="10"/>
  <c r="B977" i="10"/>
  <c r="M976" i="10"/>
  <c r="G976" i="10"/>
  <c r="F976" i="10"/>
  <c r="B976" i="10"/>
  <c r="M975" i="10"/>
  <c r="G975" i="10"/>
  <c r="F975" i="10"/>
  <c r="B975" i="10"/>
  <c r="M974" i="10"/>
  <c r="G974" i="10"/>
  <c r="F974" i="10"/>
  <c r="B974" i="10"/>
  <c r="M973" i="10"/>
  <c r="G973" i="10"/>
  <c r="F973" i="10"/>
  <c r="B973" i="10"/>
  <c r="M972" i="10"/>
  <c r="G972" i="10"/>
  <c r="F972" i="10"/>
  <c r="B972" i="10"/>
  <c r="M971" i="10"/>
  <c r="G971" i="10"/>
  <c r="F971" i="10"/>
  <c r="B971" i="10"/>
  <c r="M970" i="10"/>
  <c r="G970" i="10"/>
  <c r="F970" i="10"/>
  <c r="B970" i="10"/>
  <c r="M969" i="10"/>
  <c r="G969" i="10"/>
  <c r="F969" i="10"/>
  <c r="B969" i="10"/>
  <c r="M968" i="10"/>
  <c r="G968" i="10"/>
  <c r="F968" i="10"/>
  <c r="B968" i="10"/>
  <c r="M967" i="10"/>
  <c r="G967" i="10"/>
  <c r="F967" i="10"/>
  <c r="B967" i="10"/>
  <c r="M966" i="10"/>
  <c r="G966" i="10"/>
  <c r="F966" i="10"/>
  <c r="B966" i="10"/>
  <c r="M965" i="10"/>
  <c r="G965" i="10"/>
  <c r="F965" i="10"/>
  <c r="B965" i="10"/>
  <c r="M964" i="10"/>
  <c r="G964" i="10"/>
  <c r="F964" i="10"/>
  <c r="B964" i="10"/>
  <c r="M963" i="10"/>
  <c r="G963" i="10"/>
  <c r="F963" i="10"/>
  <c r="B963" i="10"/>
  <c r="M962" i="10"/>
  <c r="G962" i="10"/>
  <c r="F962" i="10"/>
  <c r="B962" i="10"/>
  <c r="M961" i="10"/>
  <c r="G961" i="10"/>
  <c r="F961" i="10"/>
  <c r="B961" i="10"/>
  <c r="M960" i="10"/>
  <c r="G960" i="10"/>
  <c r="F960" i="10"/>
  <c r="B960" i="10"/>
  <c r="M959" i="10"/>
  <c r="G959" i="10"/>
  <c r="F959" i="10"/>
  <c r="B959" i="10"/>
  <c r="M958" i="10"/>
  <c r="G958" i="10"/>
  <c r="F958" i="10"/>
  <c r="B958" i="10"/>
  <c r="M957" i="10"/>
  <c r="G957" i="10"/>
  <c r="F957" i="10"/>
  <c r="B957" i="10"/>
  <c r="M956" i="10"/>
  <c r="G956" i="10"/>
  <c r="F956" i="10"/>
  <c r="B956" i="10"/>
  <c r="M955" i="10"/>
  <c r="G955" i="10"/>
  <c r="F955" i="10"/>
  <c r="B955" i="10"/>
  <c r="M954" i="10"/>
  <c r="G954" i="10"/>
  <c r="F954" i="10"/>
  <c r="B954" i="10"/>
  <c r="M953" i="10"/>
  <c r="G953" i="10"/>
  <c r="F953" i="10"/>
  <c r="B953" i="10"/>
  <c r="M952" i="10"/>
  <c r="G952" i="10"/>
  <c r="F952" i="10"/>
  <c r="B952" i="10"/>
  <c r="M951" i="10"/>
  <c r="G951" i="10"/>
  <c r="F951" i="10"/>
  <c r="B951" i="10"/>
  <c r="M950" i="10"/>
  <c r="G950" i="10"/>
  <c r="F950" i="10"/>
  <c r="B950" i="10"/>
  <c r="G845" i="10"/>
  <c r="F845" i="10"/>
  <c r="C846" i="10"/>
  <c r="C847" i="10"/>
  <c r="C848" i="10"/>
  <c r="C849" i="10"/>
  <c r="C850" i="10"/>
  <c r="C851" i="10"/>
  <c r="C852" i="10"/>
  <c r="C853" i="10"/>
  <c r="C854" i="10"/>
  <c r="C855" i="10"/>
  <c r="C856" i="10"/>
  <c r="C857" i="10"/>
  <c r="C858" i="10"/>
  <c r="C859" i="10"/>
  <c r="C860" i="10"/>
  <c r="C861" i="10"/>
  <c r="C862" i="10"/>
  <c r="C863" i="10"/>
  <c r="C864" i="10"/>
  <c r="C865" i="10"/>
  <c r="C866" i="10"/>
  <c r="C867" i="10"/>
  <c r="C868" i="10"/>
  <c r="C869" i="10"/>
  <c r="C870" i="10"/>
  <c r="C871" i="10"/>
  <c r="C872" i="10"/>
  <c r="C873" i="10"/>
  <c r="C874" i="10"/>
  <c r="C875" i="10"/>
  <c r="C876" i="10"/>
  <c r="C877" i="10"/>
  <c r="C878" i="10"/>
  <c r="C879" i="10"/>
  <c r="C880" i="10"/>
  <c r="C881" i="10"/>
  <c r="C882" i="10"/>
  <c r="C883" i="10"/>
  <c r="C884" i="10"/>
  <c r="C885" i="10"/>
  <c r="C886" i="10"/>
  <c r="C887" i="10"/>
  <c r="C888" i="10"/>
  <c r="C889" i="10"/>
  <c r="C890" i="10"/>
  <c r="C891" i="10"/>
  <c r="C892" i="10"/>
  <c r="C893" i="10"/>
  <c r="C894" i="10"/>
  <c r="C895" i="10"/>
  <c r="C896" i="10"/>
  <c r="C897" i="10"/>
  <c r="C898" i="10"/>
  <c r="C899" i="10"/>
  <c r="C900" i="10"/>
  <c r="C901" i="10"/>
  <c r="C902" i="10"/>
  <c r="C903" i="10"/>
  <c r="C904" i="10"/>
  <c r="C905" i="10"/>
  <c r="C906" i="10"/>
  <c r="C907" i="10"/>
  <c r="C908" i="10"/>
  <c r="C909" i="10"/>
  <c r="C910" i="10"/>
  <c r="C911" i="10"/>
  <c r="C912" i="10"/>
  <c r="C913" i="10"/>
  <c r="C914" i="10"/>
  <c r="C915" i="10"/>
  <c r="C916" i="10"/>
  <c r="C917" i="10"/>
  <c r="C918" i="10"/>
  <c r="C919" i="10"/>
  <c r="C920" i="10"/>
  <c r="C921" i="10"/>
  <c r="C922" i="10"/>
  <c r="C923" i="10"/>
  <c r="C924" i="10"/>
  <c r="C925" i="10"/>
  <c r="C926" i="10"/>
  <c r="C927" i="10"/>
  <c r="C928" i="10"/>
  <c r="C929" i="10"/>
  <c r="C930" i="10"/>
  <c r="C931" i="10"/>
  <c r="C932" i="10"/>
  <c r="C933" i="10"/>
  <c r="C934" i="10"/>
  <c r="C935" i="10"/>
  <c r="C936" i="10"/>
  <c r="C937" i="10"/>
  <c r="C938" i="10"/>
  <c r="C939" i="10"/>
  <c r="C940" i="10"/>
  <c r="C941" i="10"/>
  <c r="C942" i="10"/>
  <c r="C943" i="10"/>
  <c r="C944" i="10"/>
  <c r="C845" i="10"/>
  <c r="M944" i="10"/>
  <c r="H944" i="10"/>
  <c r="F944" i="10"/>
  <c r="D944" i="10"/>
  <c r="B944" i="10"/>
  <c r="M943" i="10"/>
  <c r="H943" i="10"/>
  <c r="G943" i="10"/>
  <c r="F943" i="10"/>
  <c r="D943" i="10"/>
  <c r="B943" i="10"/>
  <c r="M942" i="10"/>
  <c r="H942" i="10"/>
  <c r="G942" i="10"/>
  <c r="F942" i="10"/>
  <c r="D942" i="10"/>
  <c r="B942" i="10"/>
  <c r="M941" i="10"/>
  <c r="H941" i="10"/>
  <c r="G941" i="10"/>
  <c r="F941" i="10"/>
  <c r="D941" i="10"/>
  <c r="B941" i="10"/>
  <c r="M940" i="10"/>
  <c r="H940" i="10"/>
  <c r="G940" i="10"/>
  <c r="F940" i="10"/>
  <c r="D940" i="10"/>
  <c r="B940" i="10"/>
  <c r="M939" i="10"/>
  <c r="H939" i="10"/>
  <c r="G939" i="10"/>
  <c r="F939" i="10"/>
  <c r="D939" i="10"/>
  <c r="B939" i="10"/>
  <c r="M938" i="10"/>
  <c r="H938" i="10"/>
  <c r="G938" i="10"/>
  <c r="F938" i="10"/>
  <c r="D938" i="10"/>
  <c r="O938" i="10" s="1"/>
  <c r="B938" i="10"/>
  <c r="M937" i="10"/>
  <c r="H937" i="10"/>
  <c r="G937" i="10"/>
  <c r="F937" i="10"/>
  <c r="D937" i="10"/>
  <c r="B937" i="10"/>
  <c r="M936" i="10"/>
  <c r="H936" i="10"/>
  <c r="G936" i="10"/>
  <c r="F936" i="10"/>
  <c r="D936" i="10"/>
  <c r="B936" i="10"/>
  <c r="M935" i="10"/>
  <c r="H935" i="10"/>
  <c r="G935" i="10"/>
  <c r="F935" i="10"/>
  <c r="D935" i="10"/>
  <c r="B935" i="10"/>
  <c r="M934" i="10"/>
  <c r="H934" i="10"/>
  <c r="G934" i="10"/>
  <c r="F934" i="10"/>
  <c r="D934" i="10"/>
  <c r="B934" i="10"/>
  <c r="M933" i="10"/>
  <c r="H933" i="10"/>
  <c r="G933" i="10"/>
  <c r="F933" i="10"/>
  <c r="D933" i="10"/>
  <c r="B933" i="10"/>
  <c r="M932" i="10"/>
  <c r="H932" i="10"/>
  <c r="G932" i="10"/>
  <c r="F932" i="10"/>
  <c r="D932" i="10"/>
  <c r="B932" i="10"/>
  <c r="M931" i="10"/>
  <c r="H931" i="10"/>
  <c r="G931" i="10"/>
  <c r="F931" i="10"/>
  <c r="D931" i="10"/>
  <c r="B931" i="10"/>
  <c r="M930" i="10"/>
  <c r="H930" i="10"/>
  <c r="G930" i="10"/>
  <c r="F930" i="10"/>
  <c r="D930" i="10"/>
  <c r="O930" i="10" s="1"/>
  <c r="B930" i="10"/>
  <c r="M929" i="10"/>
  <c r="H929" i="10"/>
  <c r="G929" i="10"/>
  <c r="F929" i="10"/>
  <c r="D929" i="10"/>
  <c r="B929" i="10"/>
  <c r="M928" i="10"/>
  <c r="H928" i="10"/>
  <c r="G928" i="10"/>
  <c r="F928" i="10"/>
  <c r="D928" i="10"/>
  <c r="B928" i="10"/>
  <c r="M927" i="10"/>
  <c r="H927" i="10"/>
  <c r="G927" i="10"/>
  <c r="F927" i="10"/>
  <c r="D927" i="10"/>
  <c r="B927" i="10"/>
  <c r="M926" i="10"/>
  <c r="H926" i="10"/>
  <c r="G926" i="10"/>
  <c r="F926" i="10"/>
  <c r="D926" i="10"/>
  <c r="B926" i="10"/>
  <c r="M925" i="10"/>
  <c r="H925" i="10"/>
  <c r="G925" i="10"/>
  <c r="F925" i="10"/>
  <c r="D925" i="10"/>
  <c r="B925" i="10"/>
  <c r="M924" i="10"/>
  <c r="H924" i="10"/>
  <c r="G924" i="10"/>
  <c r="F924" i="10"/>
  <c r="D924" i="10"/>
  <c r="B924" i="10"/>
  <c r="M923" i="10"/>
  <c r="H923" i="10"/>
  <c r="G923" i="10"/>
  <c r="F923" i="10"/>
  <c r="D923" i="10"/>
  <c r="B923" i="10"/>
  <c r="M922" i="10"/>
  <c r="H922" i="10"/>
  <c r="G922" i="10"/>
  <c r="F922" i="10"/>
  <c r="D922" i="10"/>
  <c r="O922" i="10" s="1"/>
  <c r="B922" i="10"/>
  <c r="M921" i="10"/>
  <c r="H921" i="10"/>
  <c r="G921" i="10"/>
  <c r="F921" i="10"/>
  <c r="D921" i="10"/>
  <c r="B921" i="10"/>
  <c r="M920" i="10"/>
  <c r="H920" i="10"/>
  <c r="G920" i="10"/>
  <c r="F920" i="10"/>
  <c r="D920" i="10"/>
  <c r="B920" i="10"/>
  <c r="M919" i="10"/>
  <c r="H919" i="10"/>
  <c r="G919" i="10"/>
  <c r="F919" i="10"/>
  <c r="D919" i="10"/>
  <c r="B919" i="10"/>
  <c r="M918" i="10"/>
  <c r="H918" i="10"/>
  <c r="G918" i="10"/>
  <c r="F918" i="10"/>
  <c r="D918" i="10"/>
  <c r="B918" i="10"/>
  <c r="M917" i="10"/>
  <c r="H917" i="10"/>
  <c r="G917" i="10"/>
  <c r="F917" i="10"/>
  <c r="D917" i="10"/>
  <c r="B917" i="10"/>
  <c r="M916" i="10"/>
  <c r="H916" i="10"/>
  <c r="G916" i="10"/>
  <c r="F916" i="10"/>
  <c r="D916" i="10"/>
  <c r="B916" i="10"/>
  <c r="M915" i="10"/>
  <c r="H915" i="10"/>
  <c r="G915" i="10"/>
  <c r="F915" i="10"/>
  <c r="D915" i="10"/>
  <c r="B915" i="10"/>
  <c r="M914" i="10"/>
  <c r="H914" i="10"/>
  <c r="G914" i="10"/>
  <c r="F914" i="10"/>
  <c r="D914" i="10"/>
  <c r="B914" i="10"/>
  <c r="M913" i="10"/>
  <c r="H913" i="10"/>
  <c r="G913" i="10"/>
  <c r="F913" i="10"/>
  <c r="D913" i="10"/>
  <c r="B913" i="10"/>
  <c r="M912" i="10"/>
  <c r="H912" i="10"/>
  <c r="G912" i="10"/>
  <c r="F912" i="10"/>
  <c r="D912" i="10"/>
  <c r="B912" i="10"/>
  <c r="M911" i="10"/>
  <c r="H911" i="10"/>
  <c r="G911" i="10"/>
  <c r="F911" i="10"/>
  <c r="D911" i="10"/>
  <c r="B911" i="10"/>
  <c r="M910" i="10"/>
  <c r="H910" i="10"/>
  <c r="G910" i="10"/>
  <c r="F910" i="10"/>
  <c r="D910" i="10"/>
  <c r="B910" i="10"/>
  <c r="M909" i="10"/>
  <c r="H909" i="10"/>
  <c r="G909" i="10"/>
  <c r="F909" i="10"/>
  <c r="D909" i="10"/>
  <c r="B909" i="10"/>
  <c r="M908" i="10"/>
  <c r="H908" i="10"/>
  <c r="G908" i="10"/>
  <c r="F908" i="10"/>
  <c r="D908" i="10"/>
  <c r="B908" i="10"/>
  <c r="M907" i="10"/>
  <c r="H907" i="10"/>
  <c r="G907" i="10"/>
  <c r="F907" i="10"/>
  <c r="D907" i="10"/>
  <c r="B907" i="10"/>
  <c r="M906" i="10"/>
  <c r="H906" i="10"/>
  <c r="G906" i="10"/>
  <c r="F906" i="10"/>
  <c r="D906" i="10"/>
  <c r="B906" i="10"/>
  <c r="M905" i="10"/>
  <c r="H905" i="10"/>
  <c r="G905" i="10"/>
  <c r="F905" i="10"/>
  <c r="D905" i="10"/>
  <c r="B905" i="10"/>
  <c r="M904" i="10"/>
  <c r="H904" i="10"/>
  <c r="G904" i="10"/>
  <c r="F904" i="10"/>
  <c r="D904" i="10"/>
  <c r="B904" i="10"/>
  <c r="M903" i="10"/>
  <c r="H903" i="10"/>
  <c r="G903" i="10"/>
  <c r="F903" i="10"/>
  <c r="D903" i="10"/>
  <c r="B903" i="10"/>
  <c r="M902" i="10"/>
  <c r="H902" i="10"/>
  <c r="G902" i="10"/>
  <c r="F902" i="10"/>
  <c r="D902" i="10"/>
  <c r="B902" i="10"/>
  <c r="M901" i="10"/>
  <c r="H901" i="10"/>
  <c r="G901" i="10"/>
  <c r="F901" i="10"/>
  <c r="D901" i="10"/>
  <c r="B901" i="10"/>
  <c r="M900" i="10"/>
  <c r="H900" i="10"/>
  <c r="G900" i="10"/>
  <c r="F900" i="10"/>
  <c r="D900" i="10"/>
  <c r="B900" i="10"/>
  <c r="M899" i="10"/>
  <c r="H899" i="10"/>
  <c r="G899" i="10"/>
  <c r="F899" i="10"/>
  <c r="D899" i="10"/>
  <c r="B899" i="10"/>
  <c r="M898" i="10"/>
  <c r="H898" i="10"/>
  <c r="G898" i="10"/>
  <c r="F898" i="10"/>
  <c r="D898" i="10"/>
  <c r="B898" i="10"/>
  <c r="M897" i="10"/>
  <c r="H897" i="10"/>
  <c r="G897" i="10"/>
  <c r="F897" i="10"/>
  <c r="D897" i="10"/>
  <c r="B897" i="10"/>
  <c r="M896" i="10"/>
  <c r="H896" i="10"/>
  <c r="G896" i="10"/>
  <c r="F896" i="10"/>
  <c r="D896" i="10"/>
  <c r="B896" i="10"/>
  <c r="M895" i="10"/>
  <c r="H895" i="10"/>
  <c r="G895" i="10"/>
  <c r="F895" i="10"/>
  <c r="D895" i="10"/>
  <c r="B895" i="10"/>
  <c r="M894" i="10"/>
  <c r="H894" i="10"/>
  <c r="G894" i="10"/>
  <c r="F894" i="10"/>
  <c r="D894" i="10"/>
  <c r="B894" i="10"/>
  <c r="M893" i="10"/>
  <c r="H893" i="10"/>
  <c r="G893" i="10"/>
  <c r="F893" i="10"/>
  <c r="D893" i="10"/>
  <c r="B893" i="10"/>
  <c r="M892" i="10"/>
  <c r="H892" i="10"/>
  <c r="G892" i="10"/>
  <c r="F892" i="10"/>
  <c r="D892" i="10"/>
  <c r="B892" i="10"/>
  <c r="M891" i="10"/>
  <c r="H891" i="10"/>
  <c r="G891" i="10"/>
  <c r="F891" i="10"/>
  <c r="D891" i="10"/>
  <c r="B891" i="10"/>
  <c r="M890" i="10"/>
  <c r="H890" i="10"/>
  <c r="G890" i="10"/>
  <c r="F890" i="10"/>
  <c r="D890" i="10"/>
  <c r="B890" i="10"/>
  <c r="M889" i="10"/>
  <c r="H889" i="10"/>
  <c r="G889" i="10"/>
  <c r="F889" i="10"/>
  <c r="D889" i="10"/>
  <c r="B889" i="10"/>
  <c r="M888" i="10"/>
  <c r="H888" i="10"/>
  <c r="G888" i="10"/>
  <c r="F888" i="10"/>
  <c r="D888" i="10"/>
  <c r="B888" i="10"/>
  <c r="M887" i="10"/>
  <c r="H887" i="10"/>
  <c r="G887" i="10"/>
  <c r="F887" i="10"/>
  <c r="D887" i="10"/>
  <c r="B887" i="10"/>
  <c r="M886" i="10"/>
  <c r="H886" i="10"/>
  <c r="G886" i="10"/>
  <c r="F886" i="10"/>
  <c r="D886" i="10"/>
  <c r="B886" i="10"/>
  <c r="M885" i="10"/>
  <c r="H885" i="10"/>
  <c r="G885" i="10"/>
  <c r="F885" i="10"/>
  <c r="D885" i="10"/>
  <c r="B885" i="10"/>
  <c r="M884" i="10"/>
  <c r="H884" i="10"/>
  <c r="G884" i="10"/>
  <c r="F884" i="10"/>
  <c r="D884" i="10"/>
  <c r="B884" i="10"/>
  <c r="M883" i="10"/>
  <c r="H883" i="10"/>
  <c r="G883" i="10"/>
  <c r="F883" i="10"/>
  <c r="D883" i="10"/>
  <c r="B883" i="10"/>
  <c r="M882" i="10"/>
  <c r="H882" i="10"/>
  <c r="G882" i="10"/>
  <c r="F882" i="10"/>
  <c r="D882" i="10"/>
  <c r="B882" i="10"/>
  <c r="M881" i="10"/>
  <c r="H881" i="10"/>
  <c r="G881" i="10"/>
  <c r="F881" i="10"/>
  <c r="D881" i="10"/>
  <c r="B881" i="10"/>
  <c r="M880" i="10"/>
  <c r="H880" i="10"/>
  <c r="G880" i="10"/>
  <c r="F880" i="10"/>
  <c r="D880" i="10"/>
  <c r="B880" i="10"/>
  <c r="M879" i="10"/>
  <c r="H879" i="10"/>
  <c r="G879" i="10"/>
  <c r="F879" i="10"/>
  <c r="D879" i="10"/>
  <c r="B879" i="10"/>
  <c r="M878" i="10"/>
  <c r="H878" i="10"/>
  <c r="G878" i="10"/>
  <c r="F878" i="10"/>
  <c r="D878" i="10"/>
  <c r="B878" i="10"/>
  <c r="M877" i="10"/>
  <c r="H877" i="10"/>
  <c r="G877" i="10"/>
  <c r="F877" i="10"/>
  <c r="D877" i="10"/>
  <c r="B877" i="10"/>
  <c r="M876" i="10"/>
  <c r="H876" i="10"/>
  <c r="G876" i="10"/>
  <c r="F876" i="10"/>
  <c r="D876" i="10"/>
  <c r="B876" i="10"/>
  <c r="M875" i="10"/>
  <c r="H875" i="10"/>
  <c r="G875" i="10"/>
  <c r="F875" i="10"/>
  <c r="D875" i="10"/>
  <c r="B875" i="10"/>
  <c r="M874" i="10"/>
  <c r="H874" i="10"/>
  <c r="G874" i="10"/>
  <c r="F874" i="10"/>
  <c r="D874" i="10"/>
  <c r="B874" i="10"/>
  <c r="M873" i="10"/>
  <c r="H873" i="10"/>
  <c r="G873" i="10"/>
  <c r="F873" i="10"/>
  <c r="D873" i="10"/>
  <c r="B873" i="10"/>
  <c r="M872" i="10"/>
  <c r="H872" i="10"/>
  <c r="G872" i="10"/>
  <c r="F872" i="10"/>
  <c r="D872" i="10"/>
  <c r="B872" i="10"/>
  <c r="M871" i="10"/>
  <c r="H871" i="10"/>
  <c r="G871" i="10"/>
  <c r="F871" i="10"/>
  <c r="D871" i="10"/>
  <c r="B871" i="10"/>
  <c r="M870" i="10"/>
  <c r="H870" i="10"/>
  <c r="G870" i="10"/>
  <c r="F870" i="10"/>
  <c r="D870" i="10"/>
  <c r="B870" i="10"/>
  <c r="M869" i="10"/>
  <c r="H869" i="10"/>
  <c r="G869" i="10"/>
  <c r="F869" i="10"/>
  <c r="D869" i="10"/>
  <c r="B869" i="10"/>
  <c r="M868" i="10"/>
  <c r="H868" i="10"/>
  <c r="G868" i="10"/>
  <c r="F868" i="10"/>
  <c r="D868" i="10"/>
  <c r="B868" i="10"/>
  <c r="M867" i="10"/>
  <c r="H867" i="10"/>
  <c r="G867" i="10"/>
  <c r="F867" i="10"/>
  <c r="D867" i="10"/>
  <c r="B867" i="10"/>
  <c r="M866" i="10"/>
  <c r="H866" i="10"/>
  <c r="G866" i="10"/>
  <c r="F866" i="10"/>
  <c r="D866" i="10"/>
  <c r="B866" i="10"/>
  <c r="M865" i="10"/>
  <c r="H865" i="10"/>
  <c r="G865" i="10"/>
  <c r="F865" i="10"/>
  <c r="D865" i="10"/>
  <c r="B865" i="10"/>
  <c r="M864" i="10"/>
  <c r="H864" i="10"/>
  <c r="G864" i="10"/>
  <c r="F864" i="10"/>
  <c r="D864" i="10"/>
  <c r="B864" i="10"/>
  <c r="M863" i="10"/>
  <c r="H863" i="10"/>
  <c r="G863" i="10"/>
  <c r="F863" i="10"/>
  <c r="D863" i="10"/>
  <c r="B863" i="10"/>
  <c r="M862" i="10"/>
  <c r="H862" i="10"/>
  <c r="G862" i="10"/>
  <c r="F862" i="10"/>
  <c r="D862" i="10"/>
  <c r="B862" i="10"/>
  <c r="M861" i="10"/>
  <c r="H861" i="10"/>
  <c r="G861" i="10"/>
  <c r="F861" i="10"/>
  <c r="D861" i="10"/>
  <c r="B861" i="10"/>
  <c r="M860" i="10"/>
  <c r="H860" i="10"/>
  <c r="G860" i="10"/>
  <c r="F860" i="10"/>
  <c r="D860" i="10"/>
  <c r="B860" i="10"/>
  <c r="M859" i="10"/>
  <c r="H859" i="10"/>
  <c r="G859" i="10"/>
  <c r="F859" i="10"/>
  <c r="D859" i="10"/>
  <c r="B859" i="10"/>
  <c r="M858" i="10"/>
  <c r="H858" i="10"/>
  <c r="G858" i="10"/>
  <c r="F858" i="10"/>
  <c r="D858" i="10"/>
  <c r="B858" i="10"/>
  <c r="M857" i="10"/>
  <c r="H857" i="10"/>
  <c r="G857" i="10"/>
  <c r="F857" i="10"/>
  <c r="D857" i="10"/>
  <c r="B857" i="10"/>
  <c r="M856" i="10"/>
  <c r="H856" i="10"/>
  <c r="G856" i="10"/>
  <c r="F856" i="10"/>
  <c r="D856" i="10"/>
  <c r="B856" i="10"/>
  <c r="M855" i="10"/>
  <c r="H855" i="10"/>
  <c r="G855" i="10"/>
  <c r="F855" i="10"/>
  <c r="D855" i="10"/>
  <c r="B855" i="10"/>
  <c r="M854" i="10"/>
  <c r="H854" i="10"/>
  <c r="G854" i="10"/>
  <c r="F854" i="10"/>
  <c r="D854" i="10"/>
  <c r="B854" i="10"/>
  <c r="M853" i="10"/>
  <c r="H853" i="10"/>
  <c r="G853" i="10"/>
  <c r="F853" i="10"/>
  <c r="D853" i="10"/>
  <c r="B853" i="10"/>
  <c r="M852" i="10"/>
  <c r="H852" i="10"/>
  <c r="G852" i="10"/>
  <c r="F852" i="10"/>
  <c r="D852" i="10"/>
  <c r="B852" i="10"/>
  <c r="M851" i="10"/>
  <c r="H851" i="10"/>
  <c r="G851" i="10"/>
  <c r="F851" i="10"/>
  <c r="D851" i="10"/>
  <c r="B851" i="10"/>
  <c r="M850" i="10"/>
  <c r="H850" i="10"/>
  <c r="G850" i="10"/>
  <c r="F850" i="10"/>
  <c r="D850" i="10"/>
  <c r="B850" i="10"/>
  <c r="M849" i="10"/>
  <c r="H849" i="10"/>
  <c r="G849" i="10"/>
  <c r="F849" i="10"/>
  <c r="D849" i="10"/>
  <c r="B849" i="10"/>
  <c r="M848" i="10"/>
  <c r="H848" i="10"/>
  <c r="G848" i="10"/>
  <c r="F848" i="10"/>
  <c r="D848" i="10"/>
  <c r="B848" i="10"/>
  <c r="M847" i="10"/>
  <c r="H847" i="10"/>
  <c r="G847" i="10"/>
  <c r="F847" i="10"/>
  <c r="D847" i="10"/>
  <c r="B847" i="10"/>
  <c r="M846" i="10"/>
  <c r="H846" i="10"/>
  <c r="G846" i="10"/>
  <c r="F846" i="10"/>
  <c r="D846" i="10"/>
  <c r="B846" i="10"/>
  <c r="M845" i="10"/>
  <c r="H845" i="10"/>
  <c r="D845" i="10"/>
  <c r="B845" i="10"/>
  <c r="D740" i="10"/>
  <c r="D741" i="10"/>
  <c r="D742" i="10"/>
  <c r="D743" i="10"/>
  <c r="D744" i="10"/>
  <c r="D745" i="10"/>
  <c r="D746" i="10"/>
  <c r="D747" i="10"/>
  <c r="D748" i="10"/>
  <c r="D749" i="10"/>
  <c r="D750" i="10"/>
  <c r="D751" i="10"/>
  <c r="D752" i="10"/>
  <c r="D753" i="10"/>
  <c r="D754" i="10"/>
  <c r="D755" i="10"/>
  <c r="D756" i="10"/>
  <c r="D757" i="10"/>
  <c r="D758" i="10"/>
  <c r="D759" i="10"/>
  <c r="D760" i="10"/>
  <c r="D761" i="10"/>
  <c r="D762" i="10"/>
  <c r="D763" i="10"/>
  <c r="D764" i="10"/>
  <c r="D765" i="10"/>
  <c r="D766" i="10"/>
  <c r="D767" i="10"/>
  <c r="D768" i="10"/>
  <c r="D769" i="10"/>
  <c r="D770" i="10"/>
  <c r="D771" i="10"/>
  <c r="D772" i="10"/>
  <c r="D773" i="10"/>
  <c r="D774" i="10"/>
  <c r="D775" i="10"/>
  <c r="D776" i="10"/>
  <c r="D777" i="10"/>
  <c r="D778" i="10"/>
  <c r="D779" i="10"/>
  <c r="D780" i="10"/>
  <c r="D781" i="10"/>
  <c r="D782" i="10"/>
  <c r="D783" i="10"/>
  <c r="D784" i="10"/>
  <c r="D785" i="10"/>
  <c r="D786" i="10"/>
  <c r="D787" i="10"/>
  <c r="D788" i="10"/>
  <c r="D789" i="10"/>
  <c r="D790" i="10"/>
  <c r="D791" i="10"/>
  <c r="D792" i="10"/>
  <c r="D793" i="10"/>
  <c r="D794" i="10"/>
  <c r="D795" i="10"/>
  <c r="D796" i="10"/>
  <c r="D797" i="10"/>
  <c r="D798" i="10"/>
  <c r="D799" i="10"/>
  <c r="D800" i="10"/>
  <c r="D801" i="10"/>
  <c r="D802" i="10"/>
  <c r="D803" i="10"/>
  <c r="D804" i="10"/>
  <c r="D805" i="10"/>
  <c r="D806" i="10"/>
  <c r="D807" i="10"/>
  <c r="D808" i="10"/>
  <c r="D809" i="10"/>
  <c r="D810" i="10"/>
  <c r="D811" i="10"/>
  <c r="D812" i="10"/>
  <c r="D813" i="10"/>
  <c r="D814" i="10"/>
  <c r="D815" i="10"/>
  <c r="D816" i="10"/>
  <c r="D817" i="10"/>
  <c r="D818" i="10"/>
  <c r="D819" i="10"/>
  <c r="D820" i="10"/>
  <c r="D821" i="10"/>
  <c r="D822" i="10"/>
  <c r="D823" i="10"/>
  <c r="D824" i="10"/>
  <c r="D825" i="10"/>
  <c r="D826" i="10"/>
  <c r="D827" i="10"/>
  <c r="D828" i="10"/>
  <c r="D829" i="10"/>
  <c r="D830" i="10"/>
  <c r="D831" i="10"/>
  <c r="D832" i="10"/>
  <c r="D833" i="10"/>
  <c r="D834" i="10"/>
  <c r="D835" i="10"/>
  <c r="D836" i="10"/>
  <c r="D837" i="10"/>
  <c r="D838" i="10"/>
  <c r="D839" i="10"/>
  <c r="C740" i="10"/>
  <c r="C741" i="10"/>
  <c r="C742" i="10"/>
  <c r="C743" i="10"/>
  <c r="O743" i="10" s="1"/>
  <c r="C744" i="10"/>
  <c r="C745" i="10"/>
  <c r="O745" i="10" s="1"/>
  <c r="C746" i="10"/>
  <c r="C747" i="10"/>
  <c r="C748" i="10"/>
  <c r="C749" i="10"/>
  <c r="C750" i="10"/>
  <c r="C751" i="10"/>
  <c r="O751" i="10" s="1"/>
  <c r="C752" i="10"/>
  <c r="C753" i="10"/>
  <c r="C754" i="10"/>
  <c r="C755" i="10"/>
  <c r="C756" i="10"/>
  <c r="C757" i="10"/>
  <c r="C758" i="10"/>
  <c r="C759" i="10"/>
  <c r="O759" i="10" s="1"/>
  <c r="C760" i="10"/>
  <c r="C761" i="10"/>
  <c r="O761" i="10" s="1"/>
  <c r="C762" i="10"/>
  <c r="C763" i="10"/>
  <c r="C764" i="10"/>
  <c r="C765" i="10"/>
  <c r="C766" i="10"/>
  <c r="C767" i="10"/>
  <c r="O767" i="10" s="1"/>
  <c r="C768" i="10"/>
  <c r="C769" i="10"/>
  <c r="C770" i="10"/>
  <c r="C771" i="10"/>
  <c r="C772" i="10"/>
  <c r="C773" i="10"/>
  <c r="C774" i="10"/>
  <c r="C775" i="10"/>
  <c r="O775" i="10" s="1"/>
  <c r="C776" i="10"/>
  <c r="C777" i="10"/>
  <c r="C778" i="10"/>
  <c r="C779" i="10"/>
  <c r="C780" i="10"/>
  <c r="C781" i="10"/>
  <c r="C782" i="10"/>
  <c r="C783" i="10"/>
  <c r="O783" i="10" s="1"/>
  <c r="C784" i="10"/>
  <c r="C785" i="10"/>
  <c r="O785" i="10" s="1"/>
  <c r="C786" i="10"/>
  <c r="C787" i="10"/>
  <c r="C788" i="10"/>
  <c r="C789" i="10"/>
  <c r="C790" i="10"/>
  <c r="C791" i="10"/>
  <c r="O791" i="10" s="1"/>
  <c r="C792" i="10"/>
  <c r="C793" i="10"/>
  <c r="O793" i="10" s="1"/>
  <c r="C794" i="10"/>
  <c r="C795" i="10"/>
  <c r="C796" i="10"/>
  <c r="C797" i="10"/>
  <c r="C798" i="10"/>
  <c r="C799" i="10"/>
  <c r="O799" i="10" s="1"/>
  <c r="C800" i="10"/>
  <c r="C801" i="10"/>
  <c r="C802" i="10"/>
  <c r="C803" i="10"/>
  <c r="C804" i="10"/>
  <c r="C805" i="10"/>
  <c r="C806" i="10"/>
  <c r="C807" i="10"/>
  <c r="O807" i="10" s="1"/>
  <c r="C808" i="10"/>
  <c r="C809" i="10"/>
  <c r="C810" i="10"/>
  <c r="C811" i="10"/>
  <c r="C812" i="10"/>
  <c r="C813" i="10"/>
  <c r="C814" i="10"/>
  <c r="C815" i="10"/>
  <c r="O815" i="10" s="1"/>
  <c r="C816" i="10"/>
  <c r="C817" i="10"/>
  <c r="O817" i="10" s="1"/>
  <c r="C818" i="10"/>
  <c r="C819" i="10"/>
  <c r="C820" i="10"/>
  <c r="C821" i="10"/>
  <c r="C822" i="10"/>
  <c r="C823" i="10"/>
  <c r="O823" i="10" s="1"/>
  <c r="C824" i="10"/>
  <c r="C825" i="10"/>
  <c r="C826" i="10"/>
  <c r="C827" i="10"/>
  <c r="C828" i="10"/>
  <c r="C829" i="10"/>
  <c r="C830" i="10"/>
  <c r="C831" i="10"/>
  <c r="O831" i="10" s="1"/>
  <c r="C832" i="10"/>
  <c r="C833" i="10"/>
  <c r="C834" i="10"/>
  <c r="C835" i="10"/>
  <c r="C836" i="10"/>
  <c r="C837" i="10"/>
  <c r="C838" i="10"/>
  <c r="C839" i="10"/>
  <c r="O839" i="10" s="1"/>
  <c r="S29" i="9"/>
  <c r="S28" i="9"/>
  <c r="S18" i="9"/>
  <c r="S17" i="9"/>
  <c r="S14" i="9"/>
  <c r="S13" i="9"/>
  <c r="S6" i="9"/>
  <c r="O769" i="10"/>
  <c r="M839" i="10"/>
  <c r="H839" i="10"/>
  <c r="G839" i="10"/>
  <c r="F839" i="10"/>
  <c r="B839" i="10"/>
  <c r="M838" i="10"/>
  <c r="H838" i="10"/>
  <c r="G838" i="10"/>
  <c r="F838" i="10"/>
  <c r="B838" i="10"/>
  <c r="M837" i="10"/>
  <c r="H837" i="10"/>
  <c r="G837" i="10"/>
  <c r="F837" i="10"/>
  <c r="B837" i="10"/>
  <c r="M836" i="10"/>
  <c r="H836" i="10"/>
  <c r="G836" i="10"/>
  <c r="F836" i="10"/>
  <c r="B836" i="10"/>
  <c r="M835" i="10"/>
  <c r="H835" i="10"/>
  <c r="G835" i="10"/>
  <c r="F835" i="10"/>
  <c r="B835" i="10"/>
  <c r="M834" i="10"/>
  <c r="H834" i="10"/>
  <c r="G834" i="10"/>
  <c r="F834" i="10"/>
  <c r="B834" i="10"/>
  <c r="M833" i="10"/>
  <c r="H833" i="10"/>
  <c r="G833" i="10"/>
  <c r="F833" i="10"/>
  <c r="B833" i="10"/>
  <c r="M832" i="10"/>
  <c r="H832" i="10"/>
  <c r="G832" i="10"/>
  <c r="F832" i="10"/>
  <c r="B832" i="10"/>
  <c r="M831" i="10"/>
  <c r="H831" i="10"/>
  <c r="G831" i="10"/>
  <c r="F831" i="10"/>
  <c r="B831" i="10"/>
  <c r="M830" i="10"/>
  <c r="H830" i="10"/>
  <c r="G830" i="10"/>
  <c r="F830" i="10"/>
  <c r="B830" i="10"/>
  <c r="M829" i="10"/>
  <c r="H829" i="10"/>
  <c r="G829" i="10"/>
  <c r="F829" i="10"/>
  <c r="B829" i="10"/>
  <c r="M828" i="10"/>
  <c r="H828" i="10"/>
  <c r="G828" i="10"/>
  <c r="F828" i="10"/>
  <c r="B828" i="10"/>
  <c r="M827" i="10"/>
  <c r="H827" i="10"/>
  <c r="G827" i="10"/>
  <c r="F827" i="10"/>
  <c r="B827" i="10"/>
  <c r="M826" i="10"/>
  <c r="H826" i="10"/>
  <c r="G826" i="10"/>
  <c r="F826" i="10"/>
  <c r="B826" i="10"/>
  <c r="M825" i="10"/>
  <c r="H825" i="10"/>
  <c r="G825" i="10"/>
  <c r="F825" i="10"/>
  <c r="B825" i="10"/>
  <c r="M824" i="10"/>
  <c r="H824" i="10"/>
  <c r="G824" i="10"/>
  <c r="F824" i="10"/>
  <c r="B824" i="10"/>
  <c r="M823" i="10"/>
  <c r="H823" i="10"/>
  <c r="G823" i="10"/>
  <c r="F823" i="10"/>
  <c r="B823" i="10"/>
  <c r="M822" i="10"/>
  <c r="H822" i="10"/>
  <c r="G822" i="10"/>
  <c r="F822" i="10"/>
  <c r="B822" i="10"/>
  <c r="M821" i="10"/>
  <c r="H821" i="10"/>
  <c r="G821" i="10"/>
  <c r="F821" i="10"/>
  <c r="B821" i="10"/>
  <c r="M820" i="10"/>
  <c r="H820" i="10"/>
  <c r="G820" i="10"/>
  <c r="F820" i="10"/>
  <c r="B820" i="10"/>
  <c r="M819" i="10"/>
  <c r="H819" i="10"/>
  <c r="G819" i="10"/>
  <c r="F819" i="10"/>
  <c r="B819" i="10"/>
  <c r="M818" i="10"/>
  <c r="H818" i="10"/>
  <c r="G818" i="10"/>
  <c r="F818" i="10"/>
  <c r="B818" i="10"/>
  <c r="M817" i="10"/>
  <c r="H817" i="10"/>
  <c r="G817" i="10"/>
  <c r="F817" i="10"/>
  <c r="B817" i="10"/>
  <c r="M816" i="10"/>
  <c r="H816" i="10"/>
  <c r="G816" i="10"/>
  <c r="F816" i="10"/>
  <c r="B816" i="10"/>
  <c r="M815" i="10"/>
  <c r="H815" i="10"/>
  <c r="G815" i="10"/>
  <c r="F815" i="10"/>
  <c r="B815" i="10"/>
  <c r="M814" i="10"/>
  <c r="H814" i="10"/>
  <c r="G814" i="10"/>
  <c r="F814" i="10"/>
  <c r="B814" i="10"/>
  <c r="M813" i="10"/>
  <c r="H813" i="10"/>
  <c r="G813" i="10"/>
  <c r="F813" i="10"/>
  <c r="B813" i="10"/>
  <c r="M812" i="10"/>
  <c r="H812" i="10"/>
  <c r="G812" i="10"/>
  <c r="F812" i="10"/>
  <c r="B812" i="10"/>
  <c r="M811" i="10"/>
  <c r="H811" i="10"/>
  <c r="G811" i="10"/>
  <c r="F811" i="10"/>
  <c r="B811" i="10"/>
  <c r="M810" i="10"/>
  <c r="H810" i="10"/>
  <c r="G810" i="10"/>
  <c r="F810" i="10"/>
  <c r="B810" i="10"/>
  <c r="M809" i="10"/>
  <c r="H809" i="10"/>
  <c r="G809" i="10"/>
  <c r="F809" i="10"/>
  <c r="B809" i="10"/>
  <c r="M808" i="10"/>
  <c r="H808" i="10"/>
  <c r="G808" i="10"/>
  <c r="F808" i="10"/>
  <c r="B808" i="10"/>
  <c r="M807" i="10"/>
  <c r="H807" i="10"/>
  <c r="G807" i="10"/>
  <c r="F807" i="10"/>
  <c r="B807" i="10"/>
  <c r="M806" i="10"/>
  <c r="H806" i="10"/>
  <c r="G806" i="10"/>
  <c r="F806" i="10"/>
  <c r="B806" i="10"/>
  <c r="M805" i="10"/>
  <c r="H805" i="10"/>
  <c r="G805" i="10"/>
  <c r="F805" i="10"/>
  <c r="B805" i="10"/>
  <c r="M804" i="10"/>
  <c r="H804" i="10"/>
  <c r="G804" i="10"/>
  <c r="F804" i="10"/>
  <c r="B804" i="10"/>
  <c r="M803" i="10"/>
  <c r="H803" i="10"/>
  <c r="G803" i="10"/>
  <c r="F803" i="10"/>
  <c r="B803" i="10"/>
  <c r="M802" i="10"/>
  <c r="H802" i="10"/>
  <c r="G802" i="10"/>
  <c r="F802" i="10"/>
  <c r="B802" i="10"/>
  <c r="M801" i="10"/>
  <c r="H801" i="10"/>
  <c r="G801" i="10"/>
  <c r="F801" i="10"/>
  <c r="B801" i="10"/>
  <c r="M800" i="10"/>
  <c r="H800" i="10"/>
  <c r="G800" i="10"/>
  <c r="F800" i="10"/>
  <c r="B800" i="10"/>
  <c r="M799" i="10"/>
  <c r="H799" i="10"/>
  <c r="G799" i="10"/>
  <c r="F799" i="10"/>
  <c r="B799" i="10"/>
  <c r="M798" i="10"/>
  <c r="H798" i="10"/>
  <c r="G798" i="10"/>
  <c r="F798" i="10"/>
  <c r="B798" i="10"/>
  <c r="M797" i="10"/>
  <c r="H797" i="10"/>
  <c r="G797" i="10"/>
  <c r="F797" i="10"/>
  <c r="B797" i="10"/>
  <c r="M796" i="10"/>
  <c r="H796" i="10"/>
  <c r="G796" i="10"/>
  <c r="F796" i="10"/>
  <c r="B796" i="10"/>
  <c r="M795" i="10"/>
  <c r="H795" i="10"/>
  <c r="G795" i="10"/>
  <c r="F795" i="10"/>
  <c r="B795" i="10"/>
  <c r="M794" i="10"/>
  <c r="H794" i="10"/>
  <c r="G794" i="10"/>
  <c r="F794" i="10"/>
  <c r="B794" i="10"/>
  <c r="M793" i="10"/>
  <c r="H793" i="10"/>
  <c r="G793" i="10"/>
  <c r="F793" i="10"/>
  <c r="B793" i="10"/>
  <c r="M792" i="10"/>
  <c r="H792" i="10"/>
  <c r="G792" i="10"/>
  <c r="F792" i="10"/>
  <c r="B792" i="10"/>
  <c r="M791" i="10"/>
  <c r="H791" i="10"/>
  <c r="G791" i="10"/>
  <c r="F791" i="10"/>
  <c r="B791" i="10"/>
  <c r="M790" i="10"/>
  <c r="H790" i="10"/>
  <c r="G790" i="10"/>
  <c r="F790" i="10"/>
  <c r="B790" i="10"/>
  <c r="M789" i="10"/>
  <c r="H789" i="10"/>
  <c r="G789" i="10"/>
  <c r="F789" i="10"/>
  <c r="B789" i="10"/>
  <c r="M788" i="10"/>
  <c r="H788" i="10"/>
  <c r="G788" i="10"/>
  <c r="F788" i="10"/>
  <c r="B788" i="10"/>
  <c r="M787" i="10"/>
  <c r="H787" i="10"/>
  <c r="G787" i="10"/>
  <c r="F787" i="10"/>
  <c r="B787" i="10"/>
  <c r="M786" i="10"/>
  <c r="H786" i="10"/>
  <c r="G786" i="10"/>
  <c r="F786" i="10"/>
  <c r="B786" i="10"/>
  <c r="M785" i="10"/>
  <c r="H785" i="10"/>
  <c r="G785" i="10"/>
  <c r="F785" i="10"/>
  <c r="B785" i="10"/>
  <c r="M784" i="10"/>
  <c r="H784" i="10"/>
  <c r="G784" i="10"/>
  <c r="F784" i="10"/>
  <c r="B784" i="10"/>
  <c r="M783" i="10"/>
  <c r="H783" i="10"/>
  <c r="G783" i="10"/>
  <c r="F783" i="10"/>
  <c r="B783" i="10"/>
  <c r="M782" i="10"/>
  <c r="H782" i="10"/>
  <c r="G782" i="10"/>
  <c r="F782" i="10"/>
  <c r="B782" i="10"/>
  <c r="M781" i="10"/>
  <c r="H781" i="10"/>
  <c r="G781" i="10"/>
  <c r="F781" i="10"/>
  <c r="B781" i="10"/>
  <c r="M780" i="10"/>
  <c r="H780" i="10"/>
  <c r="G780" i="10"/>
  <c r="F780" i="10"/>
  <c r="B780" i="10"/>
  <c r="M779" i="10"/>
  <c r="H779" i="10"/>
  <c r="G779" i="10"/>
  <c r="F779" i="10"/>
  <c r="B779" i="10"/>
  <c r="M778" i="10"/>
  <c r="H778" i="10"/>
  <c r="G778" i="10"/>
  <c r="F778" i="10"/>
  <c r="B778" i="10"/>
  <c r="M777" i="10"/>
  <c r="H777" i="10"/>
  <c r="G777" i="10"/>
  <c r="F777" i="10"/>
  <c r="B777" i="10"/>
  <c r="M776" i="10"/>
  <c r="H776" i="10"/>
  <c r="G776" i="10"/>
  <c r="F776" i="10"/>
  <c r="B776" i="10"/>
  <c r="M775" i="10"/>
  <c r="H775" i="10"/>
  <c r="G775" i="10"/>
  <c r="F775" i="10"/>
  <c r="B775" i="10"/>
  <c r="M774" i="10"/>
  <c r="H774" i="10"/>
  <c r="G774" i="10"/>
  <c r="F774" i="10"/>
  <c r="B774" i="10"/>
  <c r="M773" i="10"/>
  <c r="H773" i="10"/>
  <c r="G773" i="10"/>
  <c r="F773" i="10"/>
  <c r="B773" i="10"/>
  <c r="M772" i="10"/>
  <c r="H772" i="10"/>
  <c r="G772" i="10"/>
  <c r="F772" i="10"/>
  <c r="B772" i="10"/>
  <c r="M771" i="10"/>
  <c r="H771" i="10"/>
  <c r="G771" i="10"/>
  <c r="F771" i="10"/>
  <c r="B771" i="10"/>
  <c r="M770" i="10"/>
  <c r="H770" i="10"/>
  <c r="G770" i="10"/>
  <c r="F770" i="10"/>
  <c r="B770" i="10"/>
  <c r="M769" i="10"/>
  <c r="H769" i="10"/>
  <c r="G769" i="10"/>
  <c r="F769" i="10"/>
  <c r="B769" i="10"/>
  <c r="M768" i="10"/>
  <c r="H768" i="10"/>
  <c r="G768" i="10"/>
  <c r="F768" i="10"/>
  <c r="B768" i="10"/>
  <c r="M767" i="10"/>
  <c r="H767" i="10"/>
  <c r="G767" i="10"/>
  <c r="F767" i="10"/>
  <c r="B767" i="10"/>
  <c r="M766" i="10"/>
  <c r="H766" i="10"/>
  <c r="G766" i="10"/>
  <c r="F766" i="10"/>
  <c r="B766" i="10"/>
  <c r="M765" i="10"/>
  <c r="H765" i="10"/>
  <c r="G765" i="10"/>
  <c r="F765" i="10"/>
  <c r="B765" i="10"/>
  <c r="M764" i="10"/>
  <c r="H764" i="10"/>
  <c r="G764" i="10"/>
  <c r="F764" i="10"/>
  <c r="B764" i="10"/>
  <c r="M763" i="10"/>
  <c r="H763" i="10"/>
  <c r="G763" i="10"/>
  <c r="F763" i="10"/>
  <c r="B763" i="10"/>
  <c r="M762" i="10"/>
  <c r="H762" i="10"/>
  <c r="G762" i="10"/>
  <c r="F762" i="10"/>
  <c r="B762" i="10"/>
  <c r="M761" i="10"/>
  <c r="H761" i="10"/>
  <c r="G761" i="10"/>
  <c r="F761" i="10"/>
  <c r="B761" i="10"/>
  <c r="M760" i="10"/>
  <c r="H760" i="10"/>
  <c r="G760" i="10"/>
  <c r="F760" i="10"/>
  <c r="B760" i="10"/>
  <c r="M759" i="10"/>
  <c r="H759" i="10"/>
  <c r="G759" i="10"/>
  <c r="F759" i="10"/>
  <c r="B759" i="10"/>
  <c r="M758" i="10"/>
  <c r="H758" i="10"/>
  <c r="G758" i="10"/>
  <c r="F758" i="10"/>
  <c r="B758" i="10"/>
  <c r="M757" i="10"/>
  <c r="H757" i="10"/>
  <c r="G757" i="10"/>
  <c r="F757" i="10"/>
  <c r="B757" i="10"/>
  <c r="M756" i="10"/>
  <c r="H756" i="10"/>
  <c r="G756" i="10"/>
  <c r="F756" i="10"/>
  <c r="B756" i="10"/>
  <c r="M755" i="10"/>
  <c r="H755" i="10"/>
  <c r="G755" i="10"/>
  <c r="F755" i="10"/>
  <c r="B755" i="10"/>
  <c r="M754" i="10"/>
  <c r="H754" i="10"/>
  <c r="G754" i="10"/>
  <c r="F754" i="10"/>
  <c r="B754" i="10"/>
  <c r="M753" i="10"/>
  <c r="H753" i="10"/>
  <c r="G753" i="10"/>
  <c r="F753" i="10"/>
  <c r="B753" i="10"/>
  <c r="M752" i="10"/>
  <c r="H752" i="10"/>
  <c r="G752" i="10"/>
  <c r="F752" i="10"/>
  <c r="B752" i="10"/>
  <c r="M751" i="10"/>
  <c r="H751" i="10"/>
  <c r="G751" i="10"/>
  <c r="F751" i="10"/>
  <c r="B751" i="10"/>
  <c r="M750" i="10"/>
  <c r="H750" i="10"/>
  <c r="G750" i="10"/>
  <c r="F750" i="10"/>
  <c r="B750" i="10"/>
  <c r="M749" i="10"/>
  <c r="H749" i="10"/>
  <c r="G749" i="10"/>
  <c r="F749" i="10"/>
  <c r="B749" i="10"/>
  <c r="M748" i="10"/>
  <c r="H748" i="10"/>
  <c r="G748" i="10"/>
  <c r="F748" i="10"/>
  <c r="B748" i="10"/>
  <c r="M747" i="10"/>
  <c r="H747" i="10"/>
  <c r="G747" i="10"/>
  <c r="F747" i="10"/>
  <c r="B747" i="10"/>
  <c r="M746" i="10"/>
  <c r="H746" i="10"/>
  <c r="G746" i="10"/>
  <c r="F746" i="10"/>
  <c r="B746" i="10"/>
  <c r="M745" i="10"/>
  <c r="H745" i="10"/>
  <c r="G745" i="10"/>
  <c r="F745" i="10"/>
  <c r="B745" i="10"/>
  <c r="M744" i="10"/>
  <c r="H744" i="10"/>
  <c r="G744" i="10"/>
  <c r="F744" i="10"/>
  <c r="B744" i="10"/>
  <c r="M743" i="10"/>
  <c r="H743" i="10"/>
  <c r="G743" i="10"/>
  <c r="F743" i="10"/>
  <c r="B743" i="10"/>
  <c r="M742" i="10"/>
  <c r="H742" i="10"/>
  <c r="G742" i="10"/>
  <c r="F742" i="10"/>
  <c r="B742" i="10"/>
  <c r="M741" i="10"/>
  <c r="H741" i="10"/>
  <c r="G741" i="10"/>
  <c r="F741" i="10"/>
  <c r="B741" i="10"/>
  <c r="M740" i="10"/>
  <c r="H740" i="10"/>
  <c r="G740" i="10"/>
  <c r="F740" i="10"/>
  <c r="B740" i="10"/>
  <c r="C636" i="10"/>
  <c r="C637" i="10"/>
  <c r="C638" i="10"/>
  <c r="C639" i="10"/>
  <c r="C640" i="10"/>
  <c r="C641" i="10"/>
  <c r="C642" i="10"/>
  <c r="C643" i="10"/>
  <c r="C644" i="10"/>
  <c r="C645" i="10"/>
  <c r="C646" i="10"/>
  <c r="C647" i="10"/>
  <c r="C648" i="10"/>
  <c r="C649" i="10"/>
  <c r="C650" i="10"/>
  <c r="C651" i="10"/>
  <c r="C652" i="10"/>
  <c r="C653" i="10"/>
  <c r="C654" i="10"/>
  <c r="C655" i="10"/>
  <c r="C656" i="10"/>
  <c r="C657" i="10"/>
  <c r="C658" i="10"/>
  <c r="C659" i="10"/>
  <c r="C660" i="10"/>
  <c r="C661" i="10"/>
  <c r="C662" i="10"/>
  <c r="C663" i="10"/>
  <c r="C664" i="10"/>
  <c r="C665" i="10"/>
  <c r="C666" i="10"/>
  <c r="C667" i="10"/>
  <c r="C668" i="10"/>
  <c r="C669" i="10"/>
  <c r="C670" i="10"/>
  <c r="C671" i="10"/>
  <c r="C672" i="10"/>
  <c r="C673" i="10"/>
  <c r="C674" i="10"/>
  <c r="C675" i="10"/>
  <c r="C676" i="10"/>
  <c r="C677" i="10"/>
  <c r="C678" i="10"/>
  <c r="C679" i="10"/>
  <c r="C680" i="10"/>
  <c r="C681" i="10"/>
  <c r="C682" i="10"/>
  <c r="C683" i="10"/>
  <c r="C684" i="10"/>
  <c r="C685" i="10"/>
  <c r="C686" i="10"/>
  <c r="C687" i="10"/>
  <c r="C688" i="10"/>
  <c r="C689" i="10"/>
  <c r="C690" i="10"/>
  <c r="C691" i="10"/>
  <c r="C692" i="10"/>
  <c r="C693" i="10"/>
  <c r="C694" i="10"/>
  <c r="C695" i="10"/>
  <c r="C696" i="10"/>
  <c r="C697" i="10"/>
  <c r="C698" i="10"/>
  <c r="C699" i="10"/>
  <c r="C700" i="10"/>
  <c r="C701" i="10"/>
  <c r="C702" i="10"/>
  <c r="C703" i="10"/>
  <c r="C704" i="10"/>
  <c r="C705" i="10"/>
  <c r="C706" i="10"/>
  <c r="C707" i="10"/>
  <c r="C708" i="10"/>
  <c r="C709" i="10"/>
  <c r="C710" i="10"/>
  <c r="C711" i="10"/>
  <c r="C712" i="10"/>
  <c r="C713" i="10"/>
  <c r="C714" i="10"/>
  <c r="C715" i="10"/>
  <c r="C716" i="10"/>
  <c r="C717" i="10"/>
  <c r="C718" i="10"/>
  <c r="C719" i="10"/>
  <c r="C720" i="10"/>
  <c r="C721" i="10"/>
  <c r="C722" i="10"/>
  <c r="C723" i="10"/>
  <c r="C724" i="10"/>
  <c r="C725" i="10"/>
  <c r="C726" i="10"/>
  <c r="C727" i="10"/>
  <c r="C728" i="10"/>
  <c r="C729" i="10"/>
  <c r="C730" i="10"/>
  <c r="C731" i="10"/>
  <c r="C732" i="10"/>
  <c r="C733" i="10"/>
  <c r="C734" i="10"/>
  <c r="C635" i="10"/>
  <c r="M734" i="10"/>
  <c r="H734" i="10"/>
  <c r="G734" i="10"/>
  <c r="F734" i="10"/>
  <c r="D734" i="10"/>
  <c r="B734" i="10"/>
  <c r="M733" i="10"/>
  <c r="H733" i="10"/>
  <c r="G733" i="10"/>
  <c r="F733" i="10"/>
  <c r="D733" i="10"/>
  <c r="B733" i="10"/>
  <c r="M732" i="10"/>
  <c r="H732" i="10"/>
  <c r="G732" i="10"/>
  <c r="F732" i="10"/>
  <c r="D732" i="10"/>
  <c r="B732" i="10"/>
  <c r="M731" i="10"/>
  <c r="H731" i="10"/>
  <c r="G731" i="10"/>
  <c r="F731" i="10"/>
  <c r="D731" i="10"/>
  <c r="B731" i="10"/>
  <c r="M730" i="10"/>
  <c r="H730" i="10"/>
  <c r="G730" i="10"/>
  <c r="F730" i="10"/>
  <c r="D730" i="10"/>
  <c r="B730" i="10"/>
  <c r="M729" i="10"/>
  <c r="H729" i="10"/>
  <c r="G729" i="10"/>
  <c r="F729" i="10"/>
  <c r="D729" i="10"/>
  <c r="B729" i="10"/>
  <c r="M728" i="10"/>
  <c r="H728" i="10"/>
  <c r="G728" i="10"/>
  <c r="F728" i="10"/>
  <c r="D728" i="10"/>
  <c r="B728" i="10"/>
  <c r="M727" i="10"/>
  <c r="H727" i="10"/>
  <c r="G727" i="10"/>
  <c r="F727" i="10"/>
  <c r="D727" i="10"/>
  <c r="B727" i="10"/>
  <c r="M726" i="10"/>
  <c r="H726" i="10"/>
  <c r="G726" i="10"/>
  <c r="F726" i="10"/>
  <c r="D726" i="10"/>
  <c r="B726" i="10"/>
  <c r="M725" i="10"/>
  <c r="H725" i="10"/>
  <c r="G725" i="10"/>
  <c r="F725" i="10"/>
  <c r="D725" i="10"/>
  <c r="B725" i="10"/>
  <c r="M724" i="10"/>
  <c r="H724" i="10"/>
  <c r="G724" i="10"/>
  <c r="F724" i="10"/>
  <c r="D724" i="10"/>
  <c r="B724" i="10"/>
  <c r="M723" i="10"/>
  <c r="H723" i="10"/>
  <c r="G723" i="10"/>
  <c r="F723" i="10"/>
  <c r="D723" i="10"/>
  <c r="B723" i="10"/>
  <c r="M722" i="10"/>
  <c r="H722" i="10"/>
  <c r="G722" i="10"/>
  <c r="F722" i="10"/>
  <c r="D722" i="10"/>
  <c r="B722" i="10"/>
  <c r="M721" i="10"/>
  <c r="H721" i="10"/>
  <c r="G721" i="10"/>
  <c r="F721" i="10"/>
  <c r="D721" i="10"/>
  <c r="B721" i="10"/>
  <c r="M720" i="10"/>
  <c r="H720" i="10"/>
  <c r="G720" i="10"/>
  <c r="F720" i="10"/>
  <c r="D720" i="10"/>
  <c r="B720" i="10"/>
  <c r="M719" i="10"/>
  <c r="H719" i="10"/>
  <c r="G719" i="10"/>
  <c r="F719" i="10"/>
  <c r="D719" i="10"/>
  <c r="B719" i="10"/>
  <c r="M718" i="10"/>
  <c r="H718" i="10"/>
  <c r="G718" i="10"/>
  <c r="F718" i="10"/>
  <c r="D718" i="10"/>
  <c r="B718" i="10"/>
  <c r="M717" i="10"/>
  <c r="H717" i="10"/>
  <c r="G717" i="10"/>
  <c r="F717" i="10"/>
  <c r="D717" i="10"/>
  <c r="B717" i="10"/>
  <c r="M716" i="10"/>
  <c r="H716" i="10"/>
  <c r="G716" i="10"/>
  <c r="F716" i="10"/>
  <c r="D716" i="10"/>
  <c r="B716" i="10"/>
  <c r="M715" i="10"/>
  <c r="H715" i="10"/>
  <c r="G715" i="10"/>
  <c r="F715" i="10"/>
  <c r="D715" i="10"/>
  <c r="B715" i="10"/>
  <c r="M714" i="10"/>
  <c r="H714" i="10"/>
  <c r="G714" i="10"/>
  <c r="F714" i="10"/>
  <c r="D714" i="10"/>
  <c r="B714" i="10"/>
  <c r="M713" i="10"/>
  <c r="H713" i="10"/>
  <c r="G713" i="10"/>
  <c r="F713" i="10"/>
  <c r="D713" i="10"/>
  <c r="B713" i="10"/>
  <c r="M712" i="10"/>
  <c r="H712" i="10"/>
  <c r="G712" i="10"/>
  <c r="F712" i="10"/>
  <c r="D712" i="10"/>
  <c r="B712" i="10"/>
  <c r="M711" i="10"/>
  <c r="H711" i="10"/>
  <c r="G711" i="10"/>
  <c r="F711" i="10"/>
  <c r="D711" i="10"/>
  <c r="B711" i="10"/>
  <c r="M710" i="10"/>
  <c r="H710" i="10"/>
  <c r="G710" i="10"/>
  <c r="F710" i="10"/>
  <c r="D710" i="10"/>
  <c r="B710" i="10"/>
  <c r="M709" i="10"/>
  <c r="H709" i="10"/>
  <c r="G709" i="10"/>
  <c r="F709" i="10"/>
  <c r="D709" i="10"/>
  <c r="B709" i="10"/>
  <c r="M708" i="10"/>
  <c r="H708" i="10"/>
  <c r="G708" i="10"/>
  <c r="F708" i="10"/>
  <c r="D708" i="10"/>
  <c r="B708" i="10"/>
  <c r="M707" i="10"/>
  <c r="H707" i="10"/>
  <c r="G707" i="10"/>
  <c r="F707" i="10"/>
  <c r="D707" i="10"/>
  <c r="B707" i="10"/>
  <c r="M706" i="10"/>
  <c r="H706" i="10"/>
  <c r="G706" i="10"/>
  <c r="F706" i="10"/>
  <c r="D706" i="10"/>
  <c r="B706" i="10"/>
  <c r="M705" i="10"/>
  <c r="H705" i="10"/>
  <c r="G705" i="10"/>
  <c r="F705" i="10"/>
  <c r="D705" i="10"/>
  <c r="B705" i="10"/>
  <c r="M704" i="10"/>
  <c r="H704" i="10"/>
  <c r="G704" i="10"/>
  <c r="F704" i="10"/>
  <c r="D704" i="10"/>
  <c r="B704" i="10"/>
  <c r="M703" i="10"/>
  <c r="H703" i="10"/>
  <c r="G703" i="10"/>
  <c r="F703" i="10"/>
  <c r="D703" i="10"/>
  <c r="B703" i="10"/>
  <c r="M702" i="10"/>
  <c r="H702" i="10"/>
  <c r="G702" i="10"/>
  <c r="F702" i="10"/>
  <c r="D702" i="10"/>
  <c r="B702" i="10"/>
  <c r="M701" i="10"/>
  <c r="H701" i="10"/>
  <c r="G701" i="10"/>
  <c r="F701" i="10"/>
  <c r="D701" i="10"/>
  <c r="B701" i="10"/>
  <c r="M700" i="10"/>
  <c r="H700" i="10"/>
  <c r="G700" i="10"/>
  <c r="F700" i="10"/>
  <c r="D700" i="10"/>
  <c r="B700" i="10"/>
  <c r="M699" i="10"/>
  <c r="H699" i="10"/>
  <c r="G699" i="10"/>
  <c r="F699" i="10"/>
  <c r="D699" i="10"/>
  <c r="B699" i="10"/>
  <c r="M698" i="10"/>
  <c r="H698" i="10"/>
  <c r="G698" i="10"/>
  <c r="F698" i="10"/>
  <c r="D698" i="10"/>
  <c r="B698" i="10"/>
  <c r="M697" i="10"/>
  <c r="H697" i="10"/>
  <c r="G697" i="10"/>
  <c r="F697" i="10"/>
  <c r="D697" i="10"/>
  <c r="B697" i="10"/>
  <c r="M696" i="10"/>
  <c r="H696" i="10"/>
  <c r="G696" i="10"/>
  <c r="F696" i="10"/>
  <c r="D696" i="10"/>
  <c r="B696" i="10"/>
  <c r="M695" i="10"/>
  <c r="H695" i="10"/>
  <c r="G695" i="10"/>
  <c r="F695" i="10"/>
  <c r="D695" i="10"/>
  <c r="B695" i="10"/>
  <c r="M694" i="10"/>
  <c r="H694" i="10"/>
  <c r="G694" i="10"/>
  <c r="F694" i="10"/>
  <c r="D694" i="10"/>
  <c r="B694" i="10"/>
  <c r="M693" i="10"/>
  <c r="H693" i="10"/>
  <c r="G693" i="10"/>
  <c r="F693" i="10"/>
  <c r="D693" i="10"/>
  <c r="B693" i="10"/>
  <c r="M692" i="10"/>
  <c r="H692" i="10"/>
  <c r="G692" i="10"/>
  <c r="F692" i="10"/>
  <c r="D692" i="10"/>
  <c r="B692" i="10"/>
  <c r="M691" i="10"/>
  <c r="H691" i="10"/>
  <c r="G691" i="10"/>
  <c r="F691" i="10"/>
  <c r="D691" i="10"/>
  <c r="B691" i="10"/>
  <c r="M690" i="10"/>
  <c r="H690" i="10"/>
  <c r="G690" i="10"/>
  <c r="F690" i="10"/>
  <c r="D690" i="10"/>
  <c r="B690" i="10"/>
  <c r="M689" i="10"/>
  <c r="H689" i="10"/>
  <c r="G689" i="10"/>
  <c r="F689" i="10"/>
  <c r="D689" i="10"/>
  <c r="B689" i="10"/>
  <c r="M688" i="10"/>
  <c r="H688" i="10"/>
  <c r="G688" i="10"/>
  <c r="F688" i="10"/>
  <c r="D688" i="10"/>
  <c r="B688" i="10"/>
  <c r="M687" i="10"/>
  <c r="H687" i="10"/>
  <c r="G687" i="10"/>
  <c r="F687" i="10"/>
  <c r="D687" i="10"/>
  <c r="B687" i="10"/>
  <c r="M686" i="10"/>
  <c r="H686" i="10"/>
  <c r="G686" i="10"/>
  <c r="F686" i="10"/>
  <c r="D686" i="10"/>
  <c r="B686" i="10"/>
  <c r="M685" i="10"/>
  <c r="H685" i="10"/>
  <c r="G685" i="10"/>
  <c r="F685" i="10"/>
  <c r="D685" i="10"/>
  <c r="B685" i="10"/>
  <c r="M684" i="10"/>
  <c r="H684" i="10"/>
  <c r="G684" i="10"/>
  <c r="F684" i="10"/>
  <c r="D684" i="10"/>
  <c r="B684" i="10"/>
  <c r="M683" i="10"/>
  <c r="H683" i="10"/>
  <c r="G683" i="10"/>
  <c r="F683" i="10"/>
  <c r="D683" i="10"/>
  <c r="B683" i="10"/>
  <c r="M682" i="10"/>
  <c r="H682" i="10"/>
  <c r="G682" i="10"/>
  <c r="F682" i="10"/>
  <c r="D682" i="10"/>
  <c r="B682" i="10"/>
  <c r="M681" i="10"/>
  <c r="H681" i="10"/>
  <c r="G681" i="10"/>
  <c r="F681" i="10"/>
  <c r="D681" i="10"/>
  <c r="B681" i="10"/>
  <c r="M680" i="10"/>
  <c r="H680" i="10"/>
  <c r="G680" i="10"/>
  <c r="F680" i="10"/>
  <c r="D680" i="10"/>
  <c r="B680" i="10"/>
  <c r="M679" i="10"/>
  <c r="H679" i="10"/>
  <c r="G679" i="10"/>
  <c r="F679" i="10"/>
  <c r="D679" i="10"/>
  <c r="B679" i="10"/>
  <c r="M678" i="10"/>
  <c r="H678" i="10"/>
  <c r="G678" i="10"/>
  <c r="F678" i="10"/>
  <c r="D678" i="10"/>
  <c r="B678" i="10"/>
  <c r="M677" i="10"/>
  <c r="H677" i="10"/>
  <c r="G677" i="10"/>
  <c r="F677" i="10"/>
  <c r="D677" i="10"/>
  <c r="B677" i="10"/>
  <c r="M676" i="10"/>
  <c r="H676" i="10"/>
  <c r="G676" i="10"/>
  <c r="F676" i="10"/>
  <c r="D676" i="10"/>
  <c r="B676" i="10"/>
  <c r="M675" i="10"/>
  <c r="H675" i="10"/>
  <c r="G675" i="10"/>
  <c r="F675" i="10"/>
  <c r="D675" i="10"/>
  <c r="B675" i="10"/>
  <c r="M674" i="10"/>
  <c r="H674" i="10"/>
  <c r="G674" i="10"/>
  <c r="F674" i="10"/>
  <c r="D674" i="10"/>
  <c r="B674" i="10"/>
  <c r="M673" i="10"/>
  <c r="H673" i="10"/>
  <c r="G673" i="10"/>
  <c r="F673" i="10"/>
  <c r="D673" i="10"/>
  <c r="B673" i="10"/>
  <c r="M672" i="10"/>
  <c r="H672" i="10"/>
  <c r="G672" i="10"/>
  <c r="F672" i="10"/>
  <c r="D672" i="10"/>
  <c r="B672" i="10"/>
  <c r="M671" i="10"/>
  <c r="H671" i="10"/>
  <c r="G671" i="10"/>
  <c r="F671" i="10"/>
  <c r="D671" i="10"/>
  <c r="B671" i="10"/>
  <c r="M670" i="10"/>
  <c r="H670" i="10"/>
  <c r="G670" i="10"/>
  <c r="F670" i="10"/>
  <c r="D670" i="10"/>
  <c r="B670" i="10"/>
  <c r="M669" i="10"/>
  <c r="H669" i="10"/>
  <c r="G669" i="10"/>
  <c r="F669" i="10"/>
  <c r="D669" i="10"/>
  <c r="B669" i="10"/>
  <c r="M668" i="10"/>
  <c r="H668" i="10"/>
  <c r="G668" i="10"/>
  <c r="F668" i="10"/>
  <c r="D668" i="10"/>
  <c r="B668" i="10"/>
  <c r="M667" i="10"/>
  <c r="H667" i="10"/>
  <c r="G667" i="10"/>
  <c r="F667" i="10"/>
  <c r="D667" i="10"/>
  <c r="B667" i="10"/>
  <c r="M666" i="10"/>
  <c r="H666" i="10"/>
  <c r="G666" i="10"/>
  <c r="F666" i="10"/>
  <c r="D666" i="10"/>
  <c r="B666" i="10"/>
  <c r="M665" i="10"/>
  <c r="H665" i="10"/>
  <c r="G665" i="10"/>
  <c r="F665" i="10"/>
  <c r="D665" i="10"/>
  <c r="B665" i="10"/>
  <c r="M664" i="10"/>
  <c r="H664" i="10"/>
  <c r="G664" i="10"/>
  <c r="F664" i="10"/>
  <c r="D664" i="10"/>
  <c r="B664" i="10"/>
  <c r="M663" i="10"/>
  <c r="H663" i="10"/>
  <c r="G663" i="10"/>
  <c r="F663" i="10"/>
  <c r="D663" i="10"/>
  <c r="B663" i="10"/>
  <c r="M662" i="10"/>
  <c r="H662" i="10"/>
  <c r="G662" i="10"/>
  <c r="F662" i="10"/>
  <c r="D662" i="10"/>
  <c r="B662" i="10"/>
  <c r="M661" i="10"/>
  <c r="H661" i="10"/>
  <c r="G661" i="10"/>
  <c r="F661" i="10"/>
  <c r="D661" i="10"/>
  <c r="B661" i="10"/>
  <c r="M660" i="10"/>
  <c r="H660" i="10"/>
  <c r="G660" i="10"/>
  <c r="F660" i="10"/>
  <c r="D660" i="10"/>
  <c r="B660" i="10"/>
  <c r="M659" i="10"/>
  <c r="H659" i="10"/>
  <c r="G659" i="10"/>
  <c r="F659" i="10"/>
  <c r="D659" i="10"/>
  <c r="B659" i="10"/>
  <c r="M658" i="10"/>
  <c r="H658" i="10"/>
  <c r="G658" i="10"/>
  <c r="F658" i="10"/>
  <c r="D658" i="10"/>
  <c r="B658" i="10"/>
  <c r="M657" i="10"/>
  <c r="H657" i="10"/>
  <c r="G657" i="10"/>
  <c r="F657" i="10"/>
  <c r="D657" i="10"/>
  <c r="B657" i="10"/>
  <c r="M656" i="10"/>
  <c r="H656" i="10"/>
  <c r="G656" i="10"/>
  <c r="F656" i="10"/>
  <c r="D656" i="10"/>
  <c r="B656" i="10"/>
  <c r="M655" i="10"/>
  <c r="H655" i="10"/>
  <c r="G655" i="10"/>
  <c r="F655" i="10"/>
  <c r="D655" i="10"/>
  <c r="B655" i="10"/>
  <c r="M654" i="10"/>
  <c r="H654" i="10"/>
  <c r="G654" i="10"/>
  <c r="F654" i="10"/>
  <c r="D654" i="10"/>
  <c r="B654" i="10"/>
  <c r="M653" i="10"/>
  <c r="H653" i="10"/>
  <c r="G653" i="10"/>
  <c r="F653" i="10"/>
  <c r="D653" i="10"/>
  <c r="B653" i="10"/>
  <c r="M652" i="10"/>
  <c r="H652" i="10"/>
  <c r="G652" i="10"/>
  <c r="F652" i="10"/>
  <c r="D652" i="10"/>
  <c r="B652" i="10"/>
  <c r="M651" i="10"/>
  <c r="H651" i="10"/>
  <c r="G651" i="10"/>
  <c r="F651" i="10"/>
  <c r="D651" i="10"/>
  <c r="B651" i="10"/>
  <c r="M650" i="10"/>
  <c r="H650" i="10"/>
  <c r="G650" i="10"/>
  <c r="F650" i="10"/>
  <c r="D650" i="10"/>
  <c r="B650" i="10"/>
  <c r="M649" i="10"/>
  <c r="H649" i="10"/>
  <c r="G649" i="10"/>
  <c r="F649" i="10"/>
  <c r="D649" i="10"/>
  <c r="B649" i="10"/>
  <c r="M648" i="10"/>
  <c r="H648" i="10"/>
  <c r="G648" i="10"/>
  <c r="F648" i="10"/>
  <c r="D648" i="10"/>
  <c r="B648" i="10"/>
  <c r="M647" i="10"/>
  <c r="H647" i="10"/>
  <c r="G647" i="10"/>
  <c r="F647" i="10"/>
  <c r="D647" i="10"/>
  <c r="B647" i="10"/>
  <c r="M646" i="10"/>
  <c r="H646" i="10"/>
  <c r="G646" i="10"/>
  <c r="F646" i="10"/>
  <c r="D646" i="10"/>
  <c r="B646" i="10"/>
  <c r="M645" i="10"/>
  <c r="H645" i="10"/>
  <c r="G645" i="10"/>
  <c r="F645" i="10"/>
  <c r="D645" i="10"/>
  <c r="B645" i="10"/>
  <c r="M644" i="10"/>
  <c r="H644" i="10"/>
  <c r="G644" i="10"/>
  <c r="F644" i="10"/>
  <c r="D644" i="10"/>
  <c r="B644" i="10"/>
  <c r="M643" i="10"/>
  <c r="H643" i="10"/>
  <c r="G643" i="10"/>
  <c r="F643" i="10"/>
  <c r="D643" i="10"/>
  <c r="B643" i="10"/>
  <c r="M642" i="10"/>
  <c r="H642" i="10"/>
  <c r="G642" i="10"/>
  <c r="F642" i="10"/>
  <c r="D642" i="10"/>
  <c r="B642" i="10"/>
  <c r="M641" i="10"/>
  <c r="H641" i="10"/>
  <c r="G641" i="10"/>
  <c r="F641" i="10"/>
  <c r="D641" i="10"/>
  <c r="B641" i="10"/>
  <c r="M640" i="10"/>
  <c r="H640" i="10"/>
  <c r="G640" i="10"/>
  <c r="F640" i="10"/>
  <c r="D640" i="10"/>
  <c r="B640" i="10"/>
  <c r="M639" i="10"/>
  <c r="H639" i="10"/>
  <c r="G639" i="10"/>
  <c r="F639" i="10"/>
  <c r="D639" i="10"/>
  <c r="B639" i="10"/>
  <c r="M638" i="10"/>
  <c r="H638" i="10"/>
  <c r="G638" i="10"/>
  <c r="F638" i="10"/>
  <c r="D638" i="10"/>
  <c r="B638" i="10"/>
  <c r="M637" i="10"/>
  <c r="H637" i="10"/>
  <c r="G637" i="10"/>
  <c r="F637" i="10"/>
  <c r="D637" i="10"/>
  <c r="B637" i="10"/>
  <c r="M636" i="10"/>
  <c r="H636" i="10"/>
  <c r="G636" i="10"/>
  <c r="F636" i="10"/>
  <c r="D636" i="10"/>
  <c r="B636" i="10"/>
  <c r="M635" i="10"/>
  <c r="H635" i="10"/>
  <c r="G635" i="10"/>
  <c r="F635" i="10"/>
  <c r="D635" i="10"/>
  <c r="B635" i="10"/>
  <c r="C530" i="10"/>
  <c r="O530" i="10" s="1"/>
  <c r="F530" i="10"/>
  <c r="C215" i="10"/>
  <c r="O215" i="10" s="1"/>
  <c r="C216" i="10"/>
  <c r="O216" i="10" s="1"/>
  <c r="C217" i="10"/>
  <c r="O217" i="10" s="1"/>
  <c r="C218" i="10"/>
  <c r="O218" i="10" s="1"/>
  <c r="C219" i="10"/>
  <c r="O219" i="10" s="1"/>
  <c r="C220" i="10"/>
  <c r="O220" i="10" s="1"/>
  <c r="C221" i="10"/>
  <c r="O221" i="10" s="1"/>
  <c r="C222" i="10"/>
  <c r="O222" i="10" s="1"/>
  <c r="C223" i="10"/>
  <c r="O223" i="10" s="1"/>
  <c r="C224" i="10"/>
  <c r="O224" i="10" s="1"/>
  <c r="C225" i="10"/>
  <c r="O225" i="10" s="1"/>
  <c r="C226" i="10"/>
  <c r="O226" i="10" s="1"/>
  <c r="C227" i="10"/>
  <c r="O227" i="10" s="1"/>
  <c r="C228" i="10"/>
  <c r="O228" i="10" s="1"/>
  <c r="C229" i="10"/>
  <c r="O229" i="10" s="1"/>
  <c r="C230" i="10"/>
  <c r="O230" i="10" s="1"/>
  <c r="C231" i="10"/>
  <c r="O231" i="10" s="1"/>
  <c r="C232" i="10"/>
  <c r="O232" i="10" s="1"/>
  <c r="C233" i="10"/>
  <c r="O233" i="10" s="1"/>
  <c r="C234" i="10"/>
  <c r="O234" i="10" s="1"/>
  <c r="C235" i="10"/>
  <c r="O235" i="10" s="1"/>
  <c r="C236" i="10"/>
  <c r="O236" i="10" s="1"/>
  <c r="C237" i="10"/>
  <c r="O237" i="10" s="1"/>
  <c r="C238" i="10"/>
  <c r="O238" i="10" s="1"/>
  <c r="C239" i="10"/>
  <c r="O239" i="10" s="1"/>
  <c r="C240" i="10"/>
  <c r="O240" i="10" s="1"/>
  <c r="C241" i="10"/>
  <c r="O241" i="10" s="1"/>
  <c r="C242" i="10"/>
  <c r="O242" i="10" s="1"/>
  <c r="C243" i="10"/>
  <c r="O243" i="10" s="1"/>
  <c r="C244" i="10"/>
  <c r="O244" i="10" s="1"/>
  <c r="C245" i="10"/>
  <c r="O245" i="10" s="1"/>
  <c r="C246" i="10"/>
  <c r="O246" i="10" s="1"/>
  <c r="C247" i="10"/>
  <c r="O247" i="10" s="1"/>
  <c r="C248" i="10"/>
  <c r="O248" i="10" s="1"/>
  <c r="C249" i="10"/>
  <c r="O249" i="10" s="1"/>
  <c r="C250" i="10"/>
  <c r="O250" i="10" s="1"/>
  <c r="C251" i="10"/>
  <c r="O251" i="10" s="1"/>
  <c r="C252" i="10"/>
  <c r="O252" i="10" s="1"/>
  <c r="C253" i="10"/>
  <c r="O253" i="10" s="1"/>
  <c r="C254" i="10"/>
  <c r="O254" i="10" s="1"/>
  <c r="C255" i="10"/>
  <c r="O255" i="10" s="1"/>
  <c r="C256" i="10"/>
  <c r="O256" i="10" s="1"/>
  <c r="C257" i="10"/>
  <c r="O257" i="10" s="1"/>
  <c r="C258" i="10"/>
  <c r="O258" i="10" s="1"/>
  <c r="C259" i="10"/>
  <c r="O259" i="10" s="1"/>
  <c r="C260" i="10"/>
  <c r="O260" i="10" s="1"/>
  <c r="C261" i="10"/>
  <c r="O261" i="10" s="1"/>
  <c r="C262" i="10"/>
  <c r="O262" i="10" s="1"/>
  <c r="C263" i="10"/>
  <c r="O263" i="10" s="1"/>
  <c r="C264" i="10"/>
  <c r="O264" i="10" s="1"/>
  <c r="C265" i="10"/>
  <c r="O265" i="10" s="1"/>
  <c r="C266" i="10"/>
  <c r="O266" i="10" s="1"/>
  <c r="C267" i="10"/>
  <c r="O267" i="10" s="1"/>
  <c r="C268" i="10"/>
  <c r="O268" i="10" s="1"/>
  <c r="C269" i="10"/>
  <c r="O269" i="10" s="1"/>
  <c r="C270" i="10"/>
  <c r="O270" i="10" s="1"/>
  <c r="C271" i="10"/>
  <c r="O271" i="10" s="1"/>
  <c r="C272" i="10"/>
  <c r="O272" i="10" s="1"/>
  <c r="C273" i="10"/>
  <c r="O273" i="10" s="1"/>
  <c r="C274" i="10"/>
  <c r="O274" i="10" s="1"/>
  <c r="C275" i="10"/>
  <c r="O275" i="10" s="1"/>
  <c r="C276" i="10"/>
  <c r="O276" i="10" s="1"/>
  <c r="C277" i="10"/>
  <c r="O277" i="10" s="1"/>
  <c r="C278" i="10"/>
  <c r="O278" i="10" s="1"/>
  <c r="C279" i="10"/>
  <c r="O279" i="10" s="1"/>
  <c r="C280" i="10"/>
  <c r="O280" i="10" s="1"/>
  <c r="C281" i="10"/>
  <c r="O281" i="10" s="1"/>
  <c r="C282" i="10"/>
  <c r="O282" i="10" s="1"/>
  <c r="C283" i="10"/>
  <c r="O283" i="10" s="1"/>
  <c r="C284" i="10"/>
  <c r="O284" i="10" s="1"/>
  <c r="C285" i="10"/>
  <c r="O285" i="10" s="1"/>
  <c r="C286" i="10"/>
  <c r="O286" i="10" s="1"/>
  <c r="C287" i="10"/>
  <c r="O287" i="10" s="1"/>
  <c r="C288" i="10"/>
  <c r="O288" i="10" s="1"/>
  <c r="C289" i="10"/>
  <c r="O289" i="10" s="1"/>
  <c r="C290" i="10"/>
  <c r="O290" i="10" s="1"/>
  <c r="C291" i="10"/>
  <c r="O291" i="10" s="1"/>
  <c r="C292" i="10"/>
  <c r="O292" i="10" s="1"/>
  <c r="C293" i="10"/>
  <c r="O293" i="10" s="1"/>
  <c r="C294" i="10"/>
  <c r="O294" i="10" s="1"/>
  <c r="C295" i="10"/>
  <c r="O295" i="10" s="1"/>
  <c r="C296" i="10"/>
  <c r="O296" i="10" s="1"/>
  <c r="C297" i="10"/>
  <c r="O297" i="10" s="1"/>
  <c r="C298" i="10"/>
  <c r="O298" i="10" s="1"/>
  <c r="C299" i="10"/>
  <c r="O299" i="10" s="1"/>
  <c r="C300" i="10"/>
  <c r="O300" i="10" s="1"/>
  <c r="C301" i="10"/>
  <c r="O301" i="10" s="1"/>
  <c r="C302" i="10"/>
  <c r="O302" i="10" s="1"/>
  <c r="C303" i="10"/>
  <c r="O303" i="10" s="1"/>
  <c r="C304" i="10"/>
  <c r="O304" i="10" s="1"/>
  <c r="C305" i="10"/>
  <c r="O305" i="10" s="1"/>
  <c r="C306" i="10"/>
  <c r="O306" i="10" s="1"/>
  <c r="C307" i="10"/>
  <c r="O307" i="10" s="1"/>
  <c r="C308" i="10"/>
  <c r="O308" i="10" s="1"/>
  <c r="C309" i="10"/>
  <c r="O309" i="10" s="1"/>
  <c r="C310" i="10"/>
  <c r="O310" i="10" s="1"/>
  <c r="C311" i="10"/>
  <c r="O311" i="10" s="1"/>
  <c r="C312" i="10"/>
  <c r="O312" i="10" s="1"/>
  <c r="C313" i="10"/>
  <c r="O313" i="10" s="1"/>
  <c r="C314" i="10"/>
  <c r="O314" i="10" s="1"/>
  <c r="C426" i="10"/>
  <c r="C427" i="10"/>
  <c r="C428" i="10"/>
  <c r="C429" i="10"/>
  <c r="C430" i="10"/>
  <c r="C431" i="10"/>
  <c r="C432" i="10"/>
  <c r="C433" i="10"/>
  <c r="C434" i="10"/>
  <c r="C435" i="10"/>
  <c r="C436" i="10"/>
  <c r="C437" i="10"/>
  <c r="C438" i="10"/>
  <c r="C439" i="10"/>
  <c r="C440" i="10"/>
  <c r="C441" i="10"/>
  <c r="C442" i="10"/>
  <c r="C443" i="10"/>
  <c r="C444" i="10"/>
  <c r="C445" i="10"/>
  <c r="C446" i="10"/>
  <c r="C447" i="10"/>
  <c r="C448" i="10"/>
  <c r="C449" i="10"/>
  <c r="C450" i="10"/>
  <c r="C451" i="10"/>
  <c r="C452" i="10"/>
  <c r="C453" i="10"/>
  <c r="C454" i="10"/>
  <c r="C455" i="10"/>
  <c r="C456" i="10"/>
  <c r="C457" i="10"/>
  <c r="C458" i="10"/>
  <c r="C459" i="10"/>
  <c r="C460" i="10"/>
  <c r="C461" i="10"/>
  <c r="C462" i="10"/>
  <c r="C463" i="10"/>
  <c r="C464" i="10"/>
  <c r="C465" i="10"/>
  <c r="C466" i="10"/>
  <c r="C467" i="10"/>
  <c r="C468" i="10"/>
  <c r="C469" i="10"/>
  <c r="C470" i="10"/>
  <c r="C471" i="10"/>
  <c r="C472" i="10"/>
  <c r="C473" i="10"/>
  <c r="C474" i="10"/>
  <c r="C475" i="10"/>
  <c r="C476" i="10"/>
  <c r="C477" i="10"/>
  <c r="C478" i="10"/>
  <c r="C479" i="10"/>
  <c r="C480" i="10"/>
  <c r="C481" i="10"/>
  <c r="C482" i="10"/>
  <c r="C483" i="10"/>
  <c r="C484" i="10"/>
  <c r="C485" i="10"/>
  <c r="C486" i="10"/>
  <c r="C487" i="10"/>
  <c r="C488" i="10"/>
  <c r="C489" i="10"/>
  <c r="C490" i="10"/>
  <c r="C491" i="10"/>
  <c r="C492" i="10"/>
  <c r="C493" i="10"/>
  <c r="C494" i="10"/>
  <c r="C495" i="10"/>
  <c r="C496" i="10"/>
  <c r="C497" i="10"/>
  <c r="C498" i="10"/>
  <c r="C499" i="10"/>
  <c r="C500" i="10"/>
  <c r="C501" i="10"/>
  <c r="C502" i="10"/>
  <c r="C503" i="10"/>
  <c r="C504" i="10"/>
  <c r="C505" i="10"/>
  <c r="C506" i="10"/>
  <c r="C507" i="10"/>
  <c r="C508" i="10"/>
  <c r="C509" i="10"/>
  <c r="C510" i="10"/>
  <c r="C511" i="10"/>
  <c r="C512" i="10"/>
  <c r="C513" i="10"/>
  <c r="C514" i="10"/>
  <c r="C515" i="10"/>
  <c r="C516" i="10"/>
  <c r="C517" i="10"/>
  <c r="C518" i="10"/>
  <c r="C519" i="10"/>
  <c r="C520" i="10"/>
  <c r="C521" i="10"/>
  <c r="C522" i="10"/>
  <c r="C523" i="10"/>
  <c r="C524" i="10"/>
  <c r="C425" i="10"/>
  <c r="D426" i="10"/>
  <c r="D427" i="10"/>
  <c r="D428" i="10"/>
  <c r="D429" i="10"/>
  <c r="D430" i="10"/>
  <c r="D431" i="10"/>
  <c r="D432" i="10"/>
  <c r="D433" i="10"/>
  <c r="D434" i="10"/>
  <c r="D435" i="10"/>
  <c r="D436" i="10"/>
  <c r="D437" i="10"/>
  <c r="D438" i="10"/>
  <c r="D439" i="10"/>
  <c r="D440" i="10"/>
  <c r="D441" i="10"/>
  <c r="D442" i="10"/>
  <c r="D443" i="10"/>
  <c r="D444" i="10"/>
  <c r="D445" i="10"/>
  <c r="D446" i="10"/>
  <c r="D447" i="10"/>
  <c r="D448" i="10"/>
  <c r="D449" i="10"/>
  <c r="D450" i="10"/>
  <c r="D451" i="10"/>
  <c r="D452" i="10"/>
  <c r="D453" i="10"/>
  <c r="D454" i="10"/>
  <c r="D455" i="10"/>
  <c r="D456" i="10"/>
  <c r="D457" i="10"/>
  <c r="D458" i="10"/>
  <c r="D459" i="10"/>
  <c r="D460" i="10"/>
  <c r="D461" i="10"/>
  <c r="D462" i="10"/>
  <c r="D463" i="10"/>
  <c r="D464" i="10"/>
  <c r="D465" i="10"/>
  <c r="D466" i="10"/>
  <c r="D467" i="10"/>
  <c r="D468" i="10"/>
  <c r="D469" i="10"/>
  <c r="D470" i="10"/>
  <c r="D471" i="10"/>
  <c r="D472" i="10"/>
  <c r="D473" i="10"/>
  <c r="D474" i="10"/>
  <c r="D475" i="10"/>
  <c r="D476" i="10"/>
  <c r="D477" i="10"/>
  <c r="D478" i="10"/>
  <c r="D479" i="10"/>
  <c r="D480" i="10"/>
  <c r="D481" i="10"/>
  <c r="D482" i="10"/>
  <c r="D483" i="10"/>
  <c r="D484" i="10"/>
  <c r="D485" i="10"/>
  <c r="D486" i="10"/>
  <c r="D487" i="10"/>
  <c r="D488" i="10"/>
  <c r="D489" i="10"/>
  <c r="D490" i="10"/>
  <c r="D491" i="10"/>
  <c r="D492" i="10"/>
  <c r="D493" i="10"/>
  <c r="D494" i="10"/>
  <c r="D495" i="10"/>
  <c r="D496" i="10"/>
  <c r="D497" i="10"/>
  <c r="D498" i="10"/>
  <c r="D499" i="10"/>
  <c r="D500" i="10"/>
  <c r="D501" i="10"/>
  <c r="D502" i="10"/>
  <c r="D503" i="10"/>
  <c r="D504" i="10"/>
  <c r="D505" i="10"/>
  <c r="D506" i="10"/>
  <c r="D507" i="10"/>
  <c r="D508" i="10"/>
  <c r="D509" i="10"/>
  <c r="D510" i="10"/>
  <c r="D511" i="10"/>
  <c r="D512" i="10"/>
  <c r="D513" i="10"/>
  <c r="D514" i="10"/>
  <c r="D515" i="10"/>
  <c r="D516" i="10"/>
  <c r="D517" i="10"/>
  <c r="D518" i="10"/>
  <c r="D519" i="10"/>
  <c r="D520" i="10"/>
  <c r="D521" i="10"/>
  <c r="D522" i="10"/>
  <c r="D523" i="10"/>
  <c r="D524" i="10"/>
  <c r="D425" i="10"/>
  <c r="C531" i="10"/>
  <c r="O531" i="10" s="1"/>
  <c r="C532" i="10"/>
  <c r="O532" i="10" s="1"/>
  <c r="C533" i="10"/>
  <c r="O533" i="10" s="1"/>
  <c r="C534" i="10"/>
  <c r="O534" i="10" s="1"/>
  <c r="C535" i="10"/>
  <c r="O535" i="10" s="1"/>
  <c r="C536" i="10"/>
  <c r="O536" i="10" s="1"/>
  <c r="C537" i="10"/>
  <c r="O537" i="10" s="1"/>
  <c r="C538" i="10"/>
  <c r="O538" i="10" s="1"/>
  <c r="C539" i="10"/>
  <c r="O539" i="10" s="1"/>
  <c r="C540" i="10"/>
  <c r="O540" i="10" s="1"/>
  <c r="C541" i="10"/>
  <c r="O541" i="10" s="1"/>
  <c r="C542" i="10"/>
  <c r="O542" i="10" s="1"/>
  <c r="C543" i="10"/>
  <c r="O543" i="10" s="1"/>
  <c r="C544" i="10"/>
  <c r="O544" i="10" s="1"/>
  <c r="C545" i="10"/>
  <c r="O545" i="10" s="1"/>
  <c r="C546" i="10"/>
  <c r="O546" i="10" s="1"/>
  <c r="C547" i="10"/>
  <c r="O547" i="10" s="1"/>
  <c r="C548" i="10"/>
  <c r="O548" i="10" s="1"/>
  <c r="C549" i="10"/>
  <c r="O549" i="10" s="1"/>
  <c r="C550" i="10"/>
  <c r="O550" i="10" s="1"/>
  <c r="C551" i="10"/>
  <c r="O551" i="10" s="1"/>
  <c r="C552" i="10"/>
  <c r="O552" i="10" s="1"/>
  <c r="C553" i="10"/>
  <c r="O553" i="10" s="1"/>
  <c r="C554" i="10"/>
  <c r="O554" i="10" s="1"/>
  <c r="C555" i="10"/>
  <c r="O555" i="10" s="1"/>
  <c r="C556" i="10"/>
  <c r="O556" i="10" s="1"/>
  <c r="C557" i="10"/>
  <c r="O557" i="10" s="1"/>
  <c r="C558" i="10"/>
  <c r="O558" i="10" s="1"/>
  <c r="C559" i="10"/>
  <c r="O559" i="10" s="1"/>
  <c r="C560" i="10"/>
  <c r="O560" i="10" s="1"/>
  <c r="C561" i="10"/>
  <c r="O561" i="10" s="1"/>
  <c r="C562" i="10"/>
  <c r="O562" i="10" s="1"/>
  <c r="C563" i="10"/>
  <c r="O563" i="10" s="1"/>
  <c r="C564" i="10"/>
  <c r="O564" i="10" s="1"/>
  <c r="C565" i="10"/>
  <c r="O565" i="10" s="1"/>
  <c r="C566" i="10"/>
  <c r="O566" i="10" s="1"/>
  <c r="C567" i="10"/>
  <c r="O567" i="10" s="1"/>
  <c r="C568" i="10"/>
  <c r="O568" i="10" s="1"/>
  <c r="C569" i="10"/>
  <c r="O569" i="10" s="1"/>
  <c r="C570" i="10"/>
  <c r="O570" i="10" s="1"/>
  <c r="C571" i="10"/>
  <c r="O571" i="10" s="1"/>
  <c r="C572" i="10"/>
  <c r="O572" i="10" s="1"/>
  <c r="C573" i="10"/>
  <c r="O573" i="10" s="1"/>
  <c r="C574" i="10"/>
  <c r="O574" i="10" s="1"/>
  <c r="C575" i="10"/>
  <c r="O575" i="10" s="1"/>
  <c r="C576" i="10"/>
  <c r="O576" i="10" s="1"/>
  <c r="C577" i="10"/>
  <c r="O577" i="10" s="1"/>
  <c r="C578" i="10"/>
  <c r="O578" i="10" s="1"/>
  <c r="C579" i="10"/>
  <c r="O579" i="10" s="1"/>
  <c r="C580" i="10"/>
  <c r="O580" i="10" s="1"/>
  <c r="C581" i="10"/>
  <c r="O581" i="10" s="1"/>
  <c r="C582" i="10"/>
  <c r="O582" i="10" s="1"/>
  <c r="C583" i="10"/>
  <c r="O583" i="10" s="1"/>
  <c r="C584" i="10"/>
  <c r="O584" i="10" s="1"/>
  <c r="C585" i="10"/>
  <c r="O585" i="10" s="1"/>
  <c r="C586" i="10"/>
  <c r="O586" i="10" s="1"/>
  <c r="C587" i="10"/>
  <c r="O587" i="10" s="1"/>
  <c r="C588" i="10"/>
  <c r="O588" i="10" s="1"/>
  <c r="C589" i="10"/>
  <c r="O589" i="10" s="1"/>
  <c r="C590" i="10"/>
  <c r="O590" i="10" s="1"/>
  <c r="C591" i="10"/>
  <c r="O591" i="10" s="1"/>
  <c r="C592" i="10"/>
  <c r="O592" i="10" s="1"/>
  <c r="C593" i="10"/>
  <c r="O593" i="10" s="1"/>
  <c r="C594" i="10"/>
  <c r="O594" i="10" s="1"/>
  <c r="C595" i="10"/>
  <c r="O595" i="10" s="1"/>
  <c r="C596" i="10"/>
  <c r="O596" i="10" s="1"/>
  <c r="C597" i="10"/>
  <c r="O597" i="10" s="1"/>
  <c r="C598" i="10"/>
  <c r="O598" i="10" s="1"/>
  <c r="C599" i="10"/>
  <c r="O599" i="10" s="1"/>
  <c r="C600" i="10"/>
  <c r="O600" i="10" s="1"/>
  <c r="C601" i="10"/>
  <c r="O601" i="10" s="1"/>
  <c r="C602" i="10"/>
  <c r="O602" i="10" s="1"/>
  <c r="C603" i="10"/>
  <c r="O603" i="10" s="1"/>
  <c r="C604" i="10"/>
  <c r="O604" i="10" s="1"/>
  <c r="C605" i="10"/>
  <c r="O605" i="10" s="1"/>
  <c r="C606" i="10"/>
  <c r="O606" i="10" s="1"/>
  <c r="C607" i="10"/>
  <c r="O607" i="10" s="1"/>
  <c r="C608" i="10"/>
  <c r="O608" i="10" s="1"/>
  <c r="C609" i="10"/>
  <c r="O609" i="10" s="1"/>
  <c r="C610" i="10"/>
  <c r="O610" i="10" s="1"/>
  <c r="C611" i="10"/>
  <c r="O611" i="10" s="1"/>
  <c r="C612" i="10"/>
  <c r="O612" i="10" s="1"/>
  <c r="C613" i="10"/>
  <c r="O613" i="10" s="1"/>
  <c r="C614" i="10"/>
  <c r="O614" i="10" s="1"/>
  <c r="C615" i="10"/>
  <c r="O615" i="10" s="1"/>
  <c r="C616" i="10"/>
  <c r="O616" i="10" s="1"/>
  <c r="C617" i="10"/>
  <c r="O617" i="10" s="1"/>
  <c r="C618" i="10"/>
  <c r="O618" i="10" s="1"/>
  <c r="C619" i="10"/>
  <c r="O619" i="10" s="1"/>
  <c r="C620" i="10"/>
  <c r="O620" i="10" s="1"/>
  <c r="C621" i="10"/>
  <c r="O621" i="10" s="1"/>
  <c r="C622" i="10"/>
  <c r="O622" i="10" s="1"/>
  <c r="C623" i="10"/>
  <c r="O623" i="10" s="1"/>
  <c r="C624" i="10"/>
  <c r="O624" i="10" s="1"/>
  <c r="C625" i="10"/>
  <c r="O625" i="10" s="1"/>
  <c r="C626" i="10"/>
  <c r="O626" i="10" s="1"/>
  <c r="C627" i="10"/>
  <c r="O627" i="10" s="1"/>
  <c r="C628" i="10"/>
  <c r="O628" i="10" s="1"/>
  <c r="C629" i="10"/>
  <c r="O629" i="10" s="1"/>
  <c r="M629" i="10"/>
  <c r="H629" i="10"/>
  <c r="G629" i="10"/>
  <c r="F629" i="10"/>
  <c r="B629" i="10"/>
  <c r="M628" i="10"/>
  <c r="H628" i="10"/>
  <c r="G628" i="10"/>
  <c r="F628" i="10"/>
  <c r="B628" i="10"/>
  <c r="M627" i="10"/>
  <c r="H627" i="10"/>
  <c r="G627" i="10"/>
  <c r="F627" i="10"/>
  <c r="B627" i="10"/>
  <c r="M626" i="10"/>
  <c r="H626" i="10"/>
  <c r="G626" i="10"/>
  <c r="F626" i="10"/>
  <c r="B626" i="10"/>
  <c r="M625" i="10"/>
  <c r="H625" i="10"/>
  <c r="G625" i="10"/>
  <c r="F625" i="10"/>
  <c r="B625" i="10"/>
  <c r="M624" i="10"/>
  <c r="H624" i="10"/>
  <c r="G624" i="10"/>
  <c r="F624" i="10"/>
  <c r="B624" i="10"/>
  <c r="M623" i="10"/>
  <c r="H623" i="10"/>
  <c r="G623" i="10"/>
  <c r="F623" i="10"/>
  <c r="B623" i="10"/>
  <c r="M622" i="10"/>
  <c r="H622" i="10"/>
  <c r="G622" i="10"/>
  <c r="F622" i="10"/>
  <c r="B622" i="10"/>
  <c r="M621" i="10"/>
  <c r="H621" i="10"/>
  <c r="G621" i="10"/>
  <c r="F621" i="10"/>
  <c r="B621" i="10"/>
  <c r="M620" i="10"/>
  <c r="H620" i="10"/>
  <c r="G620" i="10"/>
  <c r="F620" i="10"/>
  <c r="B620" i="10"/>
  <c r="M619" i="10"/>
  <c r="H619" i="10"/>
  <c r="G619" i="10"/>
  <c r="F619" i="10"/>
  <c r="B619" i="10"/>
  <c r="M618" i="10"/>
  <c r="H618" i="10"/>
  <c r="G618" i="10"/>
  <c r="F618" i="10"/>
  <c r="B618" i="10"/>
  <c r="M617" i="10"/>
  <c r="H617" i="10"/>
  <c r="G617" i="10"/>
  <c r="F617" i="10"/>
  <c r="B617" i="10"/>
  <c r="M616" i="10"/>
  <c r="H616" i="10"/>
  <c r="G616" i="10"/>
  <c r="F616" i="10"/>
  <c r="B616" i="10"/>
  <c r="M615" i="10"/>
  <c r="H615" i="10"/>
  <c r="G615" i="10"/>
  <c r="F615" i="10"/>
  <c r="B615" i="10"/>
  <c r="M614" i="10"/>
  <c r="H614" i="10"/>
  <c r="G614" i="10"/>
  <c r="F614" i="10"/>
  <c r="B614" i="10"/>
  <c r="M613" i="10"/>
  <c r="H613" i="10"/>
  <c r="G613" i="10"/>
  <c r="F613" i="10"/>
  <c r="B613" i="10"/>
  <c r="M612" i="10"/>
  <c r="H612" i="10"/>
  <c r="G612" i="10"/>
  <c r="F612" i="10"/>
  <c r="B612" i="10"/>
  <c r="M611" i="10"/>
  <c r="H611" i="10"/>
  <c r="G611" i="10"/>
  <c r="F611" i="10"/>
  <c r="B611" i="10"/>
  <c r="M610" i="10"/>
  <c r="H610" i="10"/>
  <c r="G610" i="10"/>
  <c r="F610" i="10"/>
  <c r="B610" i="10"/>
  <c r="M609" i="10"/>
  <c r="H609" i="10"/>
  <c r="G609" i="10"/>
  <c r="F609" i="10"/>
  <c r="B609" i="10"/>
  <c r="M608" i="10"/>
  <c r="H608" i="10"/>
  <c r="G608" i="10"/>
  <c r="F608" i="10"/>
  <c r="B608" i="10"/>
  <c r="M607" i="10"/>
  <c r="H607" i="10"/>
  <c r="G607" i="10"/>
  <c r="F607" i="10"/>
  <c r="B607" i="10"/>
  <c r="M606" i="10"/>
  <c r="H606" i="10"/>
  <c r="G606" i="10"/>
  <c r="F606" i="10"/>
  <c r="B606" i="10"/>
  <c r="M605" i="10"/>
  <c r="H605" i="10"/>
  <c r="G605" i="10"/>
  <c r="F605" i="10"/>
  <c r="B605" i="10"/>
  <c r="M604" i="10"/>
  <c r="H604" i="10"/>
  <c r="G604" i="10"/>
  <c r="F604" i="10"/>
  <c r="B604" i="10"/>
  <c r="M603" i="10"/>
  <c r="H603" i="10"/>
  <c r="G603" i="10"/>
  <c r="F603" i="10"/>
  <c r="B603" i="10"/>
  <c r="M602" i="10"/>
  <c r="H602" i="10"/>
  <c r="G602" i="10"/>
  <c r="F602" i="10"/>
  <c r="B602" i="10"/>
  <c r="M601" i="10"/>
  <c r="H601" i="10"/>
  <c r="G601" i="10"/>
  <c r="F601" i="10"/>
  <c r="B601" i="10"/>
  <c r="M600" i="10"/>
  <c r="H600" i="10"/>
  <c r="G600" i="10"/>
  <c r="F600" i="10"/>
  <c r="B600" i="10"/>
  <c r="M599" i="10"/>
  <c r="H599" i="10"/>
  <c r="G599" i="10"/>
  <c r="F599" i="10"/>
  <c r="B599" i="10"/>
  <c r="M598" i="10"/>
  <c r="H598" i="10"/>
  <c r="G598" i="10"/>
  <c r="F598" i="10"/>
  <c r="B598" i="10"/>
  <c r="M597" i="10"/>
  <c r="H597" i="10"/>
  <c r="G597" i="10"/>
  <c r="F597" i="10"/>
  <c r="B597" i="10"/>
  <c r="M596" i="10"/>
  <c r="H596" i="10"/>
  <c r="G596" i="10"/>
  <c r="F596" i="10"/>
  <c r="B596" i="10"/>
  <c r="M595" i="10"/>
  <c r="H595" i="10"/>
  <c r="G595" i="10"/>
  <c r="F595" i="10"/>
  <c r="B595" i="10"/>
  <c r="M594" i="10"/>
  <c r="H594" i="10"/>
  <c r="G594" i="10"/>
  <c r="F594" i="10"/>
  <c r="B594" i="10"/>
  <c r="M593" i="10"/>
  <c r="H593" i="10"/>
  <c r="G593" i="10"/>
  <c r="F593" i="10"/>
  <c r="B593" i="10"/>
  <c r="M592" i="10"/>
  <c r="H592" i="10"/>
  <c r="G592" i="10"/>
  <c r="F592" i="10"/>
  <c r="B592" i="10"/>
  <c r="M591" i="10"/>
  <c r="H591" i="10"/>
  <c r="G591" i="10"/>
  <c r="F591" i="10"/>
  <c r="B591" i="10"/>
  <c r="M590" i="10"/>
  <c r="H590" i="10"/>
  <c r="G590" i="10"/>
  <c r="F590" i="10"/>
  <c r="B590" i="10"/>
  <c r="M589" i="10"/>
  <c r="H589" i="10"/>
  <c r="G589" i="10"/>
  <c r="F589" i="10"/>
  <c r="B589" i="10"/>
  <c r="M588" i="10"/>
  <c r="H588" i="10"/>
  <c r="G588" i="10"/>
  <c r="F588" i="10"/>
  <c r="B588" i="10"/>
  <c r="M587" i="10"/>
  <c r="H587" i="10"/>
  <c r="G587" i="10"/>
  <c r="F587" i="10"/>
  <c r="B587" i="10"/>
  <c r="M586" i="10"/>
  <c r="H586" i="10"/>
  <c r="G586" i="10"/>
  <c r="F586" i="10"/>
  <c r="B586" i="10"/>
  <c r="M585" i="10"/>
  <c r="H585" i="10"/>
  <c r="G585" i="10"/>
  <c r="F585" i="10"/>
  <c r="B585" i="10"/>
  <c r="M584" i="10"/>
  <c r="H584" i="10"/>
  <c r="G584" i="10"/>
  <c r="F584" i="10"/>
  <c r="B584" i="10"/>
  <c r="M583" i="10"/>
  <c r="H583" i="10"/>
  <c r="G583" i="10"/>
  <c r="F583" i="10"/>
  <c r="B583" i="10"/>
  <c r="M582" i="10"/>
  <c r="H582" i="10"/>
  <c r="G582" i="10"/>
  <c r="F582" i="10"/>
  <c r="B582" i="10"/>
  <c r="M581" i="10"/>
  <c r="H581" i="10"/>
  <c r="G581" i="10"/>
  <c r="F581" i="10"/>
  <c r="B581" i="10"/>
  <c r="M580" i="10"/>
  <c r="H580" i="10"/>
  <c r="G580" i="10"/>
  <c r="F580" i="10"/>
  <c r="B580" i="10"/>
  <c r="M579" i="10"/>
  <c r="H579" i="10"/>
  <c r="G579" i="10"/>
  <c r="F579" i="10"/>
  <c r="B579" i="10"/>
  <c r="M578" i="10"/>
  <c r="H578" i="10"/>
  <c r="G578" i="10"/>
  <c r="F578" i="10"/>
  <c r="B578" i="10"/>
  <c r="M577" i="10"/>
  <c r="H577" i="10"/>
  <c r="G577" i="10"/>
  <c r="F577" i="10"/>
  <c r="B577" i="10"/>
  <c r="M576" i="10"/>
  <c r="H576" i="10"/>
  <c r="G576" i="10"/>
  <c r="F576" i="10"/>
  <c r="B576" i="10"/>
  <c r="M575" i="10"/>
  <c r="H575" i="10"/>
  <c r="G575" i="10"/>
  <c r="F575" i="10"/>
  <c r="B575" i="10"/>
  <c r="M574" i="10"/>
  <c r="H574" i="10"/>
  <c r="G574" i="10"/>
  <c r="F574" i="10"/>
  <c r="B574" i="10"/>
  <c r="M573" i="10"/>
  <c r="H573" i="10"/>
  <c r="G573" i="10"/>
  <c r="F573" i="10"/>
  <c r="B573" i="10"/>
  <c r="M572" i="10"/>
  <c r="H572" i="10"/>
  <c r="G572" i="10"/>
  <c r="F572" i="10"/>
  <c r="B572" i="10"/>
  <c r="M571" i="10"/>
  <c r="H571" i="10"/>
  <c r="G571" i="10"/>
  <c r="F571" i="10"/>
  <c r="B571" i="10"/>
  <c r="M570" i="10"/>
  <c r="H570" i="10"/>
  <c r="G570" i="10"/>
  <c r="F570" i="10"/>
  <c r="B570" i="10"/>
  <c r="M569" i="10"/>
  <c r="H569" i="10"/>
  <c r="G569" i="10"/>
  <c r="F569" i="10"/>
  <c r="B569" i="10"/>
  <c r="M568" i="10"/>
  <c r="H568" i="10"/>
  <c r="G568" i="10"/>
  <c r="F568" i="10"/>
  <c r="B568" i="10"/>
  <c r="M567" i="10"/>
  <c r="H567" i="10"/>
  <c r="G567" i="10"/>
  <c r="F567" i="10"/>
  <c r="B567" i="10"/>
  <c r="M566" i="10"/>
  <c r="H566" i="10"/>
  <c r="G566" i="10"/>
  <c r="F566" i="10"/>
  <c r="B566" i="10"/>
  <c r="M565" i="10"/>
  <c r="H565" i="10"/>
  <c r="G565" i="10"/>
  <c r="F565" i="10"/>
  <c r="B565" i="10"/>
  <c r="M564" i="10"/>
  <c r="H564" i="10"/>
  <c r="G564" i="10"/>
  <c r="F564" i="10"/>
  <c r="B564" i="10"/>
  <c r="M563" i="10"/>
  <c r="H563" i="10"/>
  <c r="G563" i="10"/>
  <c r="F563" i="10"/>
  <c r="B563" i="10"/>
  <c r="M562" i="10"/>
  <c r="H562" i="10"/>
  <c r="G562" i="10"/>
  <c r="F562" i="10"/>
  <c r="B562" i="10"/>
  <c r="M561" i="10"/>
  <c r="H561" i="10"/>
  <c r="G561" i="10"/>
  <c r="F561" i="10"/>
  <c r="B561" i="10"/>
  <c r="M560" i="10"/>
  <c r="H560" i="10"/>
  <c r="G560" i="10"/>
  <c r="F560" i="10"/>
  <c r="B560" i="10"/>
  <c r="M559" i="10"/>
  <c r="H559" i="10"/>
  <c r="G559" i="10"/>
  <c r="F559" i="10"/>
  <c r="B559" i="10"/>
  <c r="M558" i="10"/>
  <c r="H558" i="10"/>
  <c r="G558" i="10"/>
  <c r="F558" i="10"/>
  <c r="B558" i="10"/>
  <c r="M557" i="10"/>
  <c r="H557" i="10"/>
  <c r="G557" i="10"/>
  <c r="F557" i="10"/>
  <c r="B557" i="10"/>
  <c r="M556" i="10"/>
  <c r="H556" i="10"/>
  <c r="G556" i="10"/>
  <c r="F556" i="10"/>
  <c r="B556" i="10"/>
  <c r="M555" i="10"/>
  <c r="H555" i="10"/>
  <c r="G555" i="10"/>
  <c r="F555" i="10"/>
  <c r="B555" i="10"/>
  <c r="M554" i="10"/>
  <c r="H554" i="10"/>
  <c r="G554" i="10"/>
  <c r="F554" i="10"/>
  <c r="B554" i="10"/>
  <c r="M553" i="10"/>
  <c r="H553" i="10"/>
  <c r="G553" i="10"/>
  <c r="F553" i="10"/>
  <c r="B553" i="10"/>
  <c r="M552" i="10"/>
  <c r="H552" i="10"/>
  <c r="G552" i="10"/>
  <c r="F552" i="10"/>
  <c r="B552" i="10"/>
  <c r="M551" i="10"/>
  <c r="H551" i="10"/>
  <c r="G551" i="10"/>
  <c r="F551" i="10"/>
  <c r="B551" i="10"/>
  <c r="M550" i="10"/>
  <c r="H550" i="10"/>
  <c r="G550" i="10"/>
  <c r="F550" i="10"/>
  <c r="B550" i="10"/>
  <c r="M549" i="10"/>
  <c r="H549" i="10"/>
  <c r="G549" i="10"/>
  <c r="F549" i="10"/>
  <c r="B549" i="10"/>
  <c r="M548" i="10"/>
  <c r="H548" i="10"/>
  <c r="G548" i="10"/>
  <c r="F548" i="10"/>
  <c r="B548" i="10"/>
  <c r="M547" i="10"/>
  <c r="H547" i="10"/>
  <c r="G547" i="10"/>
  <c r="F547" i="10"/>
  <c r="B547" i="10"/>
  <c r="M546" i="10"/>
  <c r="H546" i="10"/>
  <c r="G546" i="10"/>
  <c r="F546" i="10"/>
  <c r="B546" i="10"/>
  <c r="M545" i="10"/>
  <c r="H545" i="10"/>
  <c r="G545" i="10"/>
  <c r="F545" i="10"/>
  <c r="B545" i="10"/>
  <c r="M544" i="10"/>
  <c r="H544" i="10"/>
  <c r="G544" i="10"/>
  <c r="F544" i="10"/>
  <c r="B544" i="10"/>
  <c r="M543" i="10"/>
  <c r="H543" i="10"/>
  <c r="G543" i="10"/>
  <c r="F543" i="10"/>
  <c r="B543" i="10"/>
  <c r="M542" i="10"/>
  <c r="H542" i="10"/>
  <c r="G542" i="10"/>
  <c r="F542" i="10"/>
  <c r="B542" i="10"/>
  <c r="M541" i="10"/>
  <c r="H541" i="10"/>
  <c r="G541" i="10"/>
  <c r="F541" i="10"/>
  <c r="B541" i="10"/>
  <c r="M540" i="10"/>
  <c r="H540" i="10"/>
  <c r="G540" i="10"/>
  <c r="F540" i="10"/>
  <c r="B540" i="10"/>
  <c r="M539" i="10"/>
  <c r="H539" i="10"/>
  <c r="G539" i="10"/>
  <c r="F539" i="10"/>
  <c r="B539" i="10"/>
  <c r="M538" i="10"/>
  <c r="H538" i="10"/>
  <c r="G538" i="10"/>
  <c r="F538" i="10"/>
  <c r="B538" i="10"/>
  <c r="M537" i="10"/>
  <c r="H537" i="10"/>
  <c r="G537" i="10"/>
  <c r="F537" i="10"/>
  <c r="B537" i="10"/>
  <c r="M536" i="10"/>
  <c r="H536" i="10"/>
  <c r="G536" i="10"/>
  <c r="F536" i="10"/>
  <c r="B536" i="10"/>
  <c r="M535" i="10"/>
  <c r="H535" i="10"/>
  <c r="G535" i="10"/>
  <c r="F535" i="10"/>
  <c r="B535" i="10"/>
  <c r="M534" i="10"/>
  <c r="H534" i="10"/>
  <c r="G534" i="10"/>
  <c r="F534" i="10"/>
  <c r="B534" i="10"/>
  <c r="M533" i="10"/>
  <c r="H533" i="10"/>
  <c r="G533" i="10"/>
  <c r="F533" i="10"/>
  <c r="B533" i="10"/>
  <c r="M532" i="10"/>
  <c r="H532" i="10"/>
  <c r="G532" i="10"/>
  <c r="F532" i="10"/>
  <c r="B532" i="10"/>
  <c r="M531" i="10"/>
  <c r="H531" i="10"/>
  <c r="G531" i="10"/>
  <c r="F531" i="10"/>
  <c r="B531" i="10"/>
  <c r="M530" i="10"/>
  <c r="H530" i="10"/>
  <c r="G530" i="10"/>
  <c r="B530" i="10"/>
  <c r="O757" i="10" l="1"/>
  <c r="O1043" i="10"/>
  <c r="O1035" i="10"/>
  <c r="O1027" i="10"/>
  <c r="O995" i="10"/>
  <c r="O987" i="10"/>
  <c r="O971" i="10"/>
  <c r="O1015" i="10"/>
  <c r="P1015" i="10" s="1"/>
  <c r="O959" i="10"/>
  <c r="O1047" i="10"/>
  <c r="O1039" i="10"/>
  <c r="O1023" i="10"/>
  <c r="O999" i="10"/>
  <c r="O983" i="10"/>
  <c r="O975" i="10"/>
  <c r="O967" i="10"/>
  <c r="P967" i="10" s="1"/>
  <c r="O951" i="10"/>
  <c r="O741" i="10"/>
  <c r="O869" i="10"/>
  <c r="N1047" i="10"/>
  <c r="N804" i="10"/>
  <c r="O792" i="10"/>
  <c r="O768" i="10"/>
  <c r="O744" i="10"/>
  <c r="O805" i="10"/>
  <c r="O789" i="10"/>
  <c r="O906" i="10"/>
  <c r="N628" i="10"/>
  <c r="O925" i="10"/>
  <c r="N1015" i="10"/>
  <c r="O1036" i="10"/>
  <c r="O1028" i="10"/>
  <c r="P1028" i="10" s="1"/>
  <c r="O1020" i="10"/>
  <c r="O996" i="10"/>
  <c r="O988" i="10"/>
  <c r="O1019" i="10"/>
  <c r="O1003" i="10"/>
  <c r="O979" i="10"/>
  <c r="O963" i="10"/>
  <c r="O955" i="10"/>
  <c r="O914" i="10"/>
  <c r="O830" i="10"/>
  <c r="O806" i="10"/>
  <c r="O782" i="10"/>
  <c r="O774" i="10"/>
  <c r="O750" i="10"/>
  <c r="N933" i="10"/>
  <c r="N1018" i="10"/>
  <c r="P1018" i="10" s="1"/>
  <c r="N530" i="10"/>
  <c r="O915" i="10"/>
  <c r="O923" i="10"/>
  <c r="N951" i="10"/>
  <c r="O931" i="10"/>
  <c r="O904" i="10"/>
  <c r="N939" i="10"/>
  <c r="O851" i="10"/>
  <c r="O859" i="10"/>
  <c r="O867" i="10"/>
  <c r="O875" i="10"/>
  <c r="O883" i="10"/>
  <c r="O891" i="10"/>
  <c r="N975" i="10"/>
  <c r="O507" i="10"/>
  <c r="O827" i="10"/>
  <c r="O779" i="10"/>
  <c r="O899" i="10"/>
  <c r="O920" i="10"/>
  <c r="O911" i="10"/>
  <c r="O863" i="10"/>
  <c r="N972" i="10"/>
  <c r="O826" i="10"/>
  <c r="O794" i="10"/>
  <c r="O770" i="10"/>
  <c r="O762" i="10"/>
  <c r="O754" i="10"/>
  <c r="O838" i="10"/>
  <c r="O822" i="10"/>
  <c r="O814" i="10"/>
  <c r="O798" i="10"/>
  <c r="O790" i="10"/>
  <c r="O766" i="10"/>
  <c r="O758" i="10"/>
  <c r="O742" i="10"/>
  <c r="O850" i="10"/>
  <c r="O858" i="10"/>
  <c r="O866" i="10"/>
  <c r="O874" i="10"/>
  <c r="O882" i="10"/>
  <c r="P882" i="10" s="1"/>
  <c r="O890" i="10"/>
  <c r="O898" i="10"/>
  <c r="O907" i="10"/>
  <c r="O936" i="10"/>
  <c r="O944" i="10"/>
  <c r="O837" i="10"/>
  <c r="O829" i="10"/>
  <c r="O821" i="10"/>
  <c r="O813" i="10"/>
  <c r="O797" i="10"/>
  <c r="O781" i="10"/>
  <c r="O773" i="10"/>
  <c r="O765" i="10"/>
  <c r="O749" i="10"/>
  <c r="O871" i="10"/>
  <c r="O879" i="10"/>
  <c r="O887" i="10"/>
  <c r="N905" i="10"/>
  <c r="O942" i="10"/>
  <c r="O918" i="10"/>
  <c r="O902" i="10"/>
  <c r="N967" i="10"/>
  <c r="N974" i="10"/>
  <c r="O725" i="10"/>
  <c r="O927" i="10"/>
  <c r="O935" i="10"/>
  <c r="O909" i="10"/>
  <c r="N683" i="10"/>
  <c r="O895" i="10"/>
  <c r="N654" i="10"/>
  <c r="O903" i="10"/>
  <c r="O443" i="10"/>
  <c r="O847" i="10"/>
  <c r="N998" i="10"/>
  <c r="N549" i="10"/>
  <c r="P549" i="10" s="1"/>
  <c r="N588" i="10"/>
  <c r="O855" i="10"/>
  <c r="O919" i="10"/>
  <c r="O928" i="10"/>
  <c r="O856" i="10"/>
  <c r="P856" i="10" s="1"/>
  <c r="O848" i="10"/>
  <c r="N965" i="10"/>
  <c r="N991" i="10"/>
  <c r="N1011" i="10"/>
  <c r="N1020" i="10"/>
  <c r="P1020" i="10" s="1"/>
  <c r="O846" i="10"/>
  <c r="N541" i="10"/>
  <c r="N750" i="10"/>
  <c r="N653" i="10"/>
  <c r="N747" i="10"/>
  <c r="O864" i="10"/>
  <c r="O940" i="10"/>
  <c r="O932" i="10"/>
  <c r="N962" i="10"/>
  <c r="P962" i="10" s="1"/>
  <c r="N1002" i="10"/>
  <c r="P1002" i="10" s="1"/>
  <c r="N774" i="10"/>
  <c r="P774" i="10" s="1"/>
  <c r="N977" i="10"/>
  <c r="O810" i="10"/>
  <c r="O786" i="10"/>
  <c r="O778" i="10"/>
  <c r="O746" i="10"/>
  <c r="O872" i="10"/>
  <c r="N914" i="10"/>
  <c r="P914" i="10" s="1"/>
  <c r="N723" i="10"/>
  <c r="O661" i="10"/>
  <c r="N578" i="10"/>
  <c r="P578" i="10" s="1"/>
  <c r="N676" i="10"/>
  <c r="O836" i="10"/>
  <c r="O772" i="10"/>
  <c r="O740" i="10"/>
  <c r="N845" i="10"/>
  <c r="O853" i="10"/>
  <c r="O880" i="10"/>
  <c r="O888" i="10"/>
  <c r="N988" i="10"/>
  <c r="P988" i="10" s="1"/>
  <c r="N1034" i="10"/>
  <c r="P1034" i="10" s="1"/>
  <c r="N1041" i="10"/>
  <c r="N867" i="10"/>
  <c r="P867" i="10" s="1"/>
  <c r="N892" i="10"/>
  <c r="O912" i="10"/>
  <c r="O917" i="10"/>
  <c r="O941" i="10"/>
  <c r="O886" i="10"/>
  <c r="N902" i="10"/>
  <c r="P902" i="10" s="1"/>
  <c r="O926" i="10"/>
  <c r="N577" i="10"/>
  <c r="N618" i="10"/>
  <c r="P618" i="10" s="1"/>
  <c r="O425" i="10"/>
  <c r="O517" i="10"/>
  <c r="O509" i="10"/>
  <c r="O501" i="10"/>
  <c r="O493" i="10"/>
  <c r="O485" i="10"/>
  <c r="O477" i="10"/>
  <c r="O469" i="10"/>
  <c r="O461" i="10"/>
  <c r="O453" i="10"/>
  <c r="O445" i="10"/>
  <c r="O437" i="10"/>
  <c r="O429" i="10"/>
  <c r="N679" i="10"/>
  <c r="O861" i="10"/>
  <c r="O870" i="10"/>
  <c r="N932" i="10"/>
  <c r="N989" i="10"/>
  <c r="P991" i="10"/>
  <c r="N1028" i="10"/>
  <c r="N1040" i="10"/>
  <c r="P1040" i="10" s="1"/>
  <c r="N606" i="10"/>
  <c r="P606" i="10" s="1"/>
  <c r="O523" i="10"/>
  <c r="O515" i="10"/>
  <c r="O499" i="10"/>
  <c r="O491" i="10"/>
  <c r="O483" i="10"/>
  <c r="O475" i="10"/>
  <c r="O467" i="10"/>
  <c r="O459" i="10"/>
  <c r="O451" i="10"/>
  <c r="O435" i="10"/>
  <c r="O427" i="10"/>
  <c r="N649" i="10"/>
  <c r="N825" i="10"/>
  <c r="N860" i="10"/>
  <c r="N866" i="10"/>
  <c r="N884" i="10"/>
  <c r="N891" i="10"/>
  <c r="N893" i="10"/>
  <c r="O943" i="10"/>
  <c r="N971" i="10"/>
  <c r="N979" i="10"/>
  <c r="N1010" i="10"/>
  <c r="N740" i="10"/>
  <c r="P740" i="10" s="1"/>
  <c r="O834" i="10"/>
  <c r="O818" i="10"/>
  <c r="O802" i="10"/>
  <c r="O878" i="10"/>
  <c r="N921" i="10"/>
  <c r="N594" i="10"/>
  <c r="N669" i="10"/>
  <c r="O635" i="10"/>
  <c r="O719" i="10"/>
  <c r="O711" i="10"/>
  <c r="O695" i="10"/>
  <c r="O687" i="10"/>
  <c r="O679" i="10"/>
  <c r="O671" i="10"/>
  <c r="O663" i="10"/>
  <c r="O655" i="10"/>
  <c r="O647" i="10"/>
  <c r="O639" i="10"/>
  <c r="O894" i="10"/>
  <c r="N952" i="10"/>
  <c r="P952" i="10" s="1"/>
  <c r="N963" i="10"/>
  <c r="N994" i="10"/>
  <c r="P994" i="10" s="1"/>
  <c r="N1014" i="10"/>
  <c r="N1038" i="10"/>
  <c r="N605" i="10"/>
  <c r="N694" i="10"/>
  <c r="N795" i="10"/>
  <c r="N846" i="10"/>
  <c r="P846" i="10" s="1"/>
  <c r="O862" i="10"/>
  <c r="N906" i="10"/>
  <c r="P906" i="10" s="1"/>
  <c r="O910" i="10"/>
  <c r="N941" i="10"/>
  <c r="N970" i="10"/>
  <c r="N976" i="10"/>
  <c r="N978" i="10"/>
  <c r="P978" i="10" s="1"/>
  <c r="N981" i="10"/>
  <c r="N997" i="10"/>
  <c r="N1007" i="10"/>
  <c r="P1007" i="10" s="1"/>
  <c r="N1017" i="10"/>
  <c r="N1027" i="10"/>
  <c r="P1027" i="10" s="1"/>
  <c r="N1029" i="10"/>
  <c r="N1037" i="10"/>
  <c r="N1048" i="10"/>
  <c r="P1048" i="10" s="1"/>
  <c r="N539" i="10"/>
  <c r="P539" i="10" s="1"/>
  <c r="O733" i="10"/>
  <c r="O717" i="10"/>
  <c r="O709" i="10"/>
  <c r="O701" i="10"/>
  <c r="O685" i="10"/>
  <c r="O677" i="10"/>
  <c r="O645" i="10"/>
  <c r="N775" i="10"/>
  <c r="P775" i="10" s="1"/>
  <c r="N791" i="10"/>
  <c r="N794" i="10"/>
  <c r="O854" i="10"/>
  <c r="O845" i="10"/>
  <c r="O929" i="10"/>
  <c r="O921" i="10"/>
  <c r="O913" i="10"/>
  <c r="O905" i="10"/>
  <c r="P905" i="10" s="1"/>
  <c r="O889" i="10"/>
  <c r="O881" i="10"/>
  <c r="O873" i="10"/>
  <c r="O865" i="10"/>
  <c r="O857" i="10"/>
  <c r="N1032" i="10"/>
  <c r="O1049" i="10"/>
  <c r="O1033" i="10"/>
  <c r="O1025" i="10"/>
  <c r="O1017" i="10"/>
  <c r="O1009" i="10"/>
  <c r="O993" i="10"/>
  <c r="O985" i="10"/>
  <c r="O977" i="10"/>
  <c r="O969" i="10"/>
  <c r="O961" i="10"/>
  <c r="O953" i="10"/>
  <c r="O732" i="10"/>
  <c r="O724" i="10"/>
  <c r="O716" i="10"/>
  <c r="N856" i="10"/>
  <c r="N882" i="10"/>
  <c r="N910" i="10"/>
  <c r="N913" i="10"/>
  <c r="N943" i="10"/>
  <c r="N960" i="10"/>
  <c r="P960" i="10" s="1"/>
  <c r="N1001" i="10"/>
  <c r="N1021" i="10"/>
  <c r="N587" i="10"/>
  <c r="P587" i="10" s="1"/>
  <c r="N659" i="10"/>
  <c r="N693" i="10"/>
  <c r="N785" i="10"/>
  <c r="P785" i="10" s="1"/>
  <c r="N831" i="10"/>
  <c r="P831" i="10" s="1"/>
  <c r="N848" i="10"/>
  <c r="P848" i="10" s="1"/>
  <c r="N923" i="10"/>
  <c r="P923" i="10" s="1"/>
  <c r="O934" i="10"/>
  <c r="N957" i="10"/>
  <c r="N964" i="10"/>
  <c r="N966" i="10"/>
  <c r="N1031" i="10"/>
  <c r="P1031" i="10" s="1"/>
  <c r="N1046" i="10"/>
  <c r="N1049" i="10"/>
  <c r="N537" i="10"/>
  <c r="N540" i="10"/>
  <c r="N546" i="10"/>
  <c r="P546" i="10" s="1"/>
  <c r="N607" i="10"/>
  <c r="P607" i="10" s="1"/>
  <c r="O693" i="10"/>
  <c r="O653" i="10"/>
  <c r="O637" i="10"/>
  <c r="N550" i="10"/>
  <c r="P550" i="10" s="1"/>
  <c r="N815" i="10"/>
  <c r="P815" i="10" s="1"/>
  <c r="N598" i="10"/>
  <c r="P598" i="10" s="1"/>
  <c r="N560" i="10"/>
  <c r="N617" i="10"/>
  <c r="P617" i="10" s="1"/>
  <c r="N749" i="10"/>
  <c r="N784" i="10"/>
  <c r="N535" i="10"/>
  <c r="N567" i="10"/>
  <c r="P567" i="10" s="1"/>
  <c r="N608" i="10"/>
  <c r="N627" i="10"/>
  <c r="P627" i="10" s="1"/>
  <c r="N673" i="10"/>
  <c r="O727" i="10"/>
  <c r="O703" i="10"/>
  <c r="N824" i="10"/>
  <c r="N620" i="10"/>
  <c r="P620" i="10" s="1"/>
  <c r="O524" i="10"/>
  <c r="O516" i="10"/>
  <c r="O508" i="10"/>
  <c r="O500" i="10"/>
  <c r="O492" i="10"/>
  <c r="O484" i="10"/>
  <c r="O476" i="10"/>
  <c r="O468" i="10"/>
  <c r="O460" i="10"/>
  <c r="O452" i="10"/>
  <c r="O444" i="10"/>
  <c r="O436" i="10"/>
  <c r="O428" i="10"/>
  <c r="N660" i="10"/>
  <c r="N722" i="10"/>
  <c r="P722" i="10" s="1"/>
  <c r="N727" i="10"/>
  <c r="O734" i="10"/>
  <c r="O726" i="10"/>
  <c r="O718" i="10"/>
  <c r="O710" i="10"/>
  <c r="O702" i="10"/>
  <c r="O694" i="10"/>
  <c r="O686" i="10"/>
  <c r="O678" i="10"/>
  <c r="O670" i="10"/>
  <c r="O662" i="10"/>
  <c r="O654" i="10"/>
  <c r="P654" i="10" s="1"/>
  <c r="O646" i="10"/>
  <c r="O638" i="10"/>
  <c r="N778" i="10"/>
  <c r="N834" i="10"/>
  <c r="O522" i="10"/>
  <c r="O514" i="10"/>
  <c r="O506" i="10"/>
  <c r="O498" i="10"/>
  <c r="O490" i="10"/>
  <c r="O482" i="10"/>
  <c r="O474" i="10"/>
  <c r="O466" i="10"/>
  <c r="O458" i="10"/>
  <c r="O450" i="10"/>
  <c r="O442" i="10"/>
  <c r="O434" i="10"/>
  <c r="O426" i="10"/>
  <c r="N652" i="10"/>
  <c r="N672" i="10"/>
  <c r="O708" i="10"/>
  <c r="O700" i="10"/>
  <c r="O692" i="10"/>
  <c r="O684" i="10"/>
  <c r="O676" i="10"/>
  <c r="P676" i="10" s="1"/>
  <c r="O668" i="10"/>
  <c r="O660" i="10"/>
  <c r="O652" i="10"/>
  <c r="O644" i="10"/>
  <c r="O636" i="10"/>
  <c r="N556" i="10"/>
  <c r="N597" i="10"/>
  <c r="P597" i="10" s="1"/>
  <c r="N625" i="10"/>
  <c r="P625" i="10" s="1"/>
  <c r="O521" i="10"/>
  <c r="O513" i="10"/>
  <c r="O505" i="10"/>
  <c r="O497" i="10"/>
  <c r="O489" i="10"/>
  <c r="O481" i="10"/>
  <c r="O473" i="10"/>
  <c r="O465" i="10"/>
  <c r="O457" i="10"/>
  <c r="O449" i="10"/>
  <c r="O441" i="10"/>
  <c r="O433" i="10"/>
  <c r="N734" i="10"/>
  <c r="O731" i="10"/>
  <c r="O723" i="10"/>
  <c r="O715" i="10"/>
  <c r="O707" i="10"/>
  <c r="O699" i="10"/>
  <c r="O691" i="10"/>
  <c r="O683" i="10"/>
  <c r="P683" i="10" s="1"/>
  <c r="O675" i="10"/>
  <c r="O667" i="10"/>
  <c r="O659" i="10"/>
  <c r="O651" i="10"/>
  <c r="O643" i="10"/>
  <c r="N751" i="10"/>
  <c r="P751" i="10" s="1"/>
  <c r="N777" i="10"/>
  <c r="N808" i="10"/>
  <c r="N616" i="10"/>
  <c r="N629" i="10"/>
  <c r="O520" i="10"/>
  <c r="O512" i="10"/>
  <c r="O504" i="10"/>
  <c r="O496" i="10"/>
  <c r="O488" i="10"/>
  <c r="O480" i="10"/>
  <c r="O472" i="10"/>
  <c r="O464" i="10"/>
  <c r="O456" i="10"/>
  <c r="O448" i="10"/>
  <c r="O440" i="10"/>
  <c r="O432" i="10"/>
  <c r="N705" i="10"/>
  <c r="O730" i="10"/>
  <c r="O722" i="10"/>
  <c r="O714" i="10"/>
  <c r="O706" i="10"/>
  <c r="O698" i="10"/>
  <c r="O690" i="10"/>
  <c r="O682" i="10"/>
  <c r="O674" i="10"/>
  <c r="O666" i="10"/>
  <c r="O658" i="10"/>
  <c r="O650" i="10"/>
  <c r="O642" i="10"/>
  <c r="N770" i="10"/>
  <c r="P770" i="10" s="1"/>
  <c r="N814" i="10"/>
  <c r="O519" i="10"/>
  <c r="O511" i="10"/>
  <c r="O503" i="10"/>
  <c r="O495" i="10"/>
  <c r="O487" i="10"/>
  <c r="O479" i="10"/>
  <c r="O471" i="10"/>
  <c r="O463" i="10"/>
  <c r="O455" i="10"/>
  <c r="O447" i="10"/>
  <c r="O439" i="10"/>
  <c r="O431" i="10"/>
  <c r="N650" i="10"/>
  <c r="N651" i="10"/>
  <c r="N696" i="10"/>
  <c r="N714" i="10"/>
  <c r="O729" i="10"/>
  <c r="O721" i="10"/>
  <c r="O713" i="10"/>
  <c r="O705" i="10"/>
  <c r="O697" i="10"/>
  <c r="O689" i="10"/>
  <c r="O681" i="10"/>
  <c r="O673" i="10"/>
  <c r="O665" i="10"/>
  <c r="O657" i="10"/>
  <c r="O649" i="10"/>
  <c r="O641" i="10"/>
  <c r="N748" i="10"/>
  <c r="N805" i="10"/>
  <c r="P805" i="10" s="1"/>
  <c r="N807" i="10"/>
  <c r="P807" i="10" s="1"/>
  <c r="N596" i="10"/>
  <c r="P596" i="10" s="1"/>
  <c r="O518" i="10"/>
  <c r="O510" i="10"/>
  <c r="O502" i="10"/>
  <c r="O494" i="10"/>
  <c r="O486" i="10"/>
  <c r="O478" i="10"/>
  <c r="O470" i="10"/>
  <c r="O462" i="10"/>
  <c r="O454" i="10"/>
  <c r="O446" i="10"/>
  <c r="O438" i="10"/>
  <c r="O430" i="10"/>
  <c r="N642" i="10"/>
  <c r="N647" i="10"/>
  <c r="N680" i="10"/>
  <c r="N690" i="10"/>
  <c r="P690" i="10" s="1"/>
  <c r="N700" i="10"/>
  <c r="O728" i="10"/>
  <c r="O720" i="10"/>
  <c r="O712" i="10"/>
  <c r="O704" i="10"/>
  <c r="O696" i="10"/>
  <c r="O688" i="10"/>
  <c r="O680" i="10"/>
  <c r="P680" i="10" s="1"/>
  <c r="O672" i="10"/>
  <c r="O664" i="10"/>
  <c r="O656" i="10"/>
  <c r="O648" i="10"/>
  <c r="O640" i="10"/>
  <c r="N757" i="10"/>
  <c r="P757" i="10" s="1"/>
  <c r="N798" i="10"/>
  <c r="N835" i="10"/>
  <c r="O669" i="10"/>
  <c r="O833" i="10"/>
  <c r="O825" i="10"/>
  <c r="O809" i="10"/>
  <c r="O801" i="10"/>
  <c r="N953" i="10"/>
  <c r="N985" i="10"/>
  <c r="P985" i="10" s="1"/>
  <c r="N1009" i="10"/>
  <c r="O832" i="10"/>
  <c r="N982" i="10"/>
  <c r="N996" i="10"/>
  <c r="N1026" i="10"/>
  <c r="P1026" i="10" s="1"/>
  <c r="N876" i="10"/>
  <c r="N865" i="10"/>
  <c r="N875" i="10"/>
  <c r="P875" i="10" s="1"/>
  <c r="N916" i="10"/>
  <c r="N961" i="10"/>
  <c r="N864" i="10"/>
  <c r="P864" i="10" s="1"/>
  <c r="N896" i="10"/>
  <c r="N849" i="10"/>
  <c r="N912" i="10"/>
  <c r="P941" i="10"/>
  <c r="N942" i="10"/>
  <c r="N956" i="10"/>
  <c r="N973" i="10"/>
  <c r="N1000" i="10"/>
  <c r="P1000" i="10" s="1"/>
  <c r="N1012" i="10"/>
  <c r="N1022" i="10"/>
  <c r="N847" i="10"/>
  <c r="N863" i="10"/>
  <c r="P863" i="10" s="1"/>
  <c r="N874" i="10"/>
  <c r="N883" i="10"/>
  <c r="P883" i="10" s="1"/>
  <c r="N895" i="10"/>
  <c r="N903" i="10"/>
  <c r="P903" i="10" s="1"/>
  <c r="N915" i="10"/>
  <c r="P915" i="10" s="1"/>
  <c r="N922" i="10"/>
  <c r="P922" i="10" s="1"/>
  <c r="N940" i="10"/>
  <c r="N993" i="10"/>
  <c r="N999" i="10"/>
  <c r="N1005" i="10"/>
  <c r="N1019" i="10"/>
  <c r="P1019" i="10" s="1"/>
  <c r="N1036" i="10"/>
  <c r="N1042" i="10"/>
  <c r="P1042" i="10" s="1"/>
  <c r="O777" i="10"/>
  <c r="O753" i="10"/>
  <c r="N878" i="10"/>
  <c r="N881" i="10"/>
  <c r="P881" i="10" s="1"/>
  <c r="O937" i="10"/>
  <c r="O824" i="10"/>
  <c r="O816" i="10"/>
  <c r="O808" i="10"/>
  <c r="O800" i="10"/>
  <c r="O784" i="10"/>
  <c r="O776" i="10"/>
  <c r="O760" i="10"/>
  <c r="O752" i="10"/>
  <c r="N854" i="10"/>
  <c r="P854" i="10" s="1"/>
  <c r="N855" i="10"/>
  <c r="P855" i="10" s="1"/>
  <c r="N857" i="10"/>
  <c r="N859" i="10"/>
  <c r="N872" i="10"/>
  <c r="P872" i="10" s="1"/>
  <c r="N887" i="10"/>
  <c r="P887" i="10" s="1"/>
  <c r="N934" i="10"/>
  <c r="P934" i="10" s="1"/>
  <c r="N935" i="10"/>
  <c r="N936" i="10"/>
  <c r="P936" i="10" s="1"/>
  <c r="N937" i="10"/>
  <c r="N944" i="10"/>
  <c r="P944" i="10" s="1"/>
  <c r="N969" i="10"/>
  <c r="N984" i="10"/>
  <c r="P984" i="10" s="1"/>
  <c r="N1044" i="10"/>
  <c r="O1030" i="10"/>
  <c r="O966" i="10"/>
  <c r="N858" i="10"/>
  <c r="P858" i="10" s="1"/>
  <c r="N870" i="10"/>
  <c r="N873" i="10"/>
  <c r="N885" i="10"/>
  <c r="N886" i="10"/>
  <c r="N904" i="10"/>
  <c r="P904" i="10" s="1"/>
  <c r="N911" i="10"/>
  <c r="N929" i="10"/>
  <c r="O933" i="10"/>
  <c r="P933" i="10" s="1"/>
  <c r="O901" i="10"/>
  <c r="O893" i="10"/>
  <c r="O885" i="10"/>
  <c r="O877" i="10"/>
  <c r="N955" i="10"/>
  <c r="N995" i="10"/>
  <c r="P995" i="10" s="1"/>
  <c r="N1008" i="10"/>
  <c r="P1008" i="10" s="1"/>
  <c r="N1024" i="10"/>
  <c r="P1024" i="10" s="1"/>
  <c r="O965" i="10"/>
  <c r="P965" i="10" s="1"/>
  <c r="O924" i="10"/>
  <c r="O908" i="10"/>
  <c r="O900" i="10"/>
  <c r="O884" i="10"/>
  <c r="O876" i="10"/>
  <c r="O868" i="10"/>
  <c r="O980" i="10"/>
  <c r="O972" i="10"/>
  <c r="O964" i="10"/>
  <c r="O956" i="10"/>
  <c r="N852" i="10"/>
  <c r="N869" i="10"/>
  <c r="P869" i="10" s="1"/>
  <c r="O897" i="10"/>
  <c r="N919" i="10"/>
  <c r="N920" i="10"/>
  <c r="P920" i="10" s="1"/>
  <c r="N924" i="10"/>
  <c r="N925" i="10"/>
  <c r="P925" i="10" s="1"/>
  <c r="N926" i="10"/>
  <c r="P926" i="10" s="1"/>
  <c r="O939" i="10"/>
  <c r="P970" i="10"/>
  <c r="N987" i="10"/>
  <c r="P987" i="10" s="1"/>
  <c r="O828" i="10"/>
  <c r="O820" i="10"/>
  <c r="O812" i="10"/>
  <c r="O804" i="10"/>
  <c r="O796" i="10"/>
  <c r="O788" i="10"/>
  <c r="O780" i="10"/>
  <c r="O764" i="10"/>
  <c r="O756" i="10"/>
  <c r="O748" i="10"/>
  <c r="O849" i="10"/>
  <c r="N850" i="10"/>
  <c r="P850" i="10" s="1"/>
  <c r="N853" i="10"/>
  <c r="N862" i="10"/>
  <c r="P862" i="10" s="1"/>
  <c r="N871" i="10"/>
  <c r="N877" i="10"/>
  <c r="N897" i="10"/>
  <c r="N901" i="10"/>
  <c r="N931" i="10"/>
  <c r="N954" i="10"/>
  <c r="P954" i="10" s="1"/>
  <c r="N959" i="10"/>
  <c r="P959" i="10" s="1"/>
  <c r="N1006" i="10"/>
  <c r="N1016" i="10"/>
  <c r="P1016" i="10" s="1"/>
  <c r="N1030" i="10"/>
  <c r="N1039" i="10"/>
  <c r="P1039" i="10" s="1"/>
  <c r="P977" i="10"/>
  <c r="P999" i="10"/>
  <c r="P1047" i="10"/>
  <c r="P976" i="10"/>
  <c r="P979" i="10"/>
  <c r="P1010" i="10"/>
  <c r="O1046" i="10"/>
  <c r="P1046" i="10" s="1"/>
  <c r="O1038" i="10"/>
  <c r="P1038" i="10" s="1"/>
  <c r="O1006" i="10"/>
  <c r="O998" i="10"/>
  <c r="O982" i="10"/>
  <c r="O974" i="10"/>
  <c r="O958" i="10"/>
  <c r="O1045" i="10"/>
  <c r="O1037" i="10"/>
  <c r="P1037" i="10" s="1"/>
  <c r="O1029" i="10"/>
  <c r="P1029" i="10" s="1"/>
  <c r="O1013" i="10"/>
  <c r="O997" i="10"/>
  <c r="P997" i="10" s="1"/>
  <c r="O981" i="10"/>
  <c r="O973" i="10"/>
  <c r="P973" i="10" s="1"/>
  <c r="O957" i="10"/>
  <c r="P957" i="10" s="1"/>
  <c r="O1044" i="10"/>
  <c r="O1022" i="10"/>
  <c r="O990" i="10"/>
  <c r="O1014" i="10"/>
  <c r="O989" i="10"/>
  <c r="P989" i="10" s="1"/>
  <c r="O1005" i="10"/>
  <c r="O1012" i="10"/>
  <c r="O1004" i="10"/>
  <c r="N992" i="10"/>
  <c r="P992" i="10" s="1"/>
  <c r="N1004" i="10"/>
  <c r="N1033" i="10"/>
  <c r="P1033" i="10" s="1"/>
  <c r="N1043" i="10"/>
  <c r="P1043" i="10" s="1"/>
  <c r="N950" i="10"/>
  <c r="P950" i="10" s="1"/>
  <c r="O1011" i="10"/>
  <c r="O1021" i="10"/>
  <c r="P1021" i="10" s="1"/>
  <c r="N1025" i="10"/>
  <c r="N958" i="10"/>
  <c r="N968" i="10"/>
  <c r="P968" i="10" s="1"/>
  <c r="N983" i="10"/>
  <c r="P983" i="10" s="1"/>
  <c r="N1003" i="10"/>
  <c r="P1003" i="10" s="1"/>
  <c r="N1035" i="10"/>
  <c r="P1035" i="10" s="1"/>
  <c r="N986" i="10"/>
  <c r="P986" i="10" s="1"/>
  <c r="N990" i="10"/>
  <c r="P1032" i="10"/>
  <c r="O1041" i="10"/>
  <c r="N980" i="10"/>
  <c r="O1001" i="10"/>
  <c r="P1001" i="10" s="1"/>
  <c r="N1013" i="10"/>
  <c r="N1023" i="10"/>
  <c r="P1023" i="10" s="1"/>
  <c r="N1045" i="10"/>
  <c r="O852" i="10"/>
  <c r="O892" i="10"/>
  <c r="O860" i="10"/>
  <c r="P847" i="10"/>
  <c r="P891" i="10"/>
  <c r="N909" i="10"/>
  <c r="O916" i="10"/>
  <c r="N880" i="10"/>
  <c r="P880" i="10" s="1"/>
  <c r="N890" i="10"/>
  <c r="P890" i="10" s="1"/>
  <c r="O896" i="10"/>
  <c r="N900" i="10"/>
  <c r="N851" i="10"/>
  <c r="N861" i="10"/>
  <c r="N907" i="10"/>
  <c r="N917" i="10"/>
  <c r="P917" i="10" s="1"/>
  <c r="P919" i="10"/>
  <c r="N868" i="10"/>
  <c r="N888" i="10"/>
  <c r="N908" i="10"/>
  <c r="N927" i="10"/>
  <c r="P927" i="10" s="1"/>
  <c r="N928" i="10"/>
  <c r="N879" i="10"/>
  <c r="N889" i="10"/>
  <c r="P889" i="10" s="1"/>
  <c r="N894" i="10"/>
  <c r="N898" i="10"/>
  <c r="P898" i="10" s="1"/>
  <c r="N899" i="10"/>
  <c r="P899" i="10" s="1"/>
  <c r="N918" i="10"/>
  <c r="P921" i="10"/>
  <c r="N930" i="10"/>
  <c r="P930" i="10" s="1"/>
  <c r="N938" i="10"/>
  <c r="P938" i="10" s="1"/>
  <c r="O835" i="10"/>
  <c r="O819" i="10"/>
  <c r="O811" i="10"/>
  <c r="O803" i="10"/>
  <c r="O795" i="10"/>
  <c r="O787" i="10"/>
  <c r="O771" i="10"/>
  <c r="O763" i="10"/>
  <c r="O755" i="10"/>
  <c r="O747" i="10"/>
  <c r="N639" i="10"/>
  <c r="P639" i="10" s="1"/>
  <c r="N665" i="10"/>
  <c r="N767" i="10"/>
  <c r="N579" i="10"/>
  <c r="P579" i="10" s="1"/>
  <c r="N558" i="10"/>
  <c r="P558" i="10" s="1"/>
  <c r="N532" i="10"/>
  <c r="P532" i="10" s="1"/>
  <c r="N533" i="10"/>
  <c r="P533" i="10" s="1"/>
  <c r="P541" i="10"/>
  <c r="N547" i="10"/>
  <c r="P547" i="10" s="1"/>
  <c r="N557" i="10"/>
  <c r="P557" i="10" s="1"/>
  <c r="N580" i="10"/>
  <c r="P580" i="10" s="1"/>
  <c r="N664" i="10"/>
  <c r="N591" i="10"/>
  <c r="N542" i="10"/>
  <c r="P542" i="10" s="1"/>
  <c r="N713" i="10"/>
  <c r="P540" i="10"/>
  <c r="N663" i="10"/>
  <c r="N769" i="10"/>
  <c r="P769" i="10" s="1"/>
  <c r="N601" i="10"/>
  <c r="P601" i="10" s="1"/>
  <c r="N712" i="10"/>
  <c r="N559" i="10"/>
  <c r="P559" i="10" s="1"/>
  <c r="N551" i="10"/>
  <c r="P551" i="10" s="1"/>
  <c r="N612" i="10"/>
  <c r="P612" i="10" s="1"/>
  <c r="N531" i="10"/>
  <c r="P531" i="10" s="1"/>
  <c r="N534" i="10"/>
  <c r="P534" i="10" s="1"/>
  <c r="N570" i="10"/>
  <c r="P570" i="10" s="1"/>
  <c r="P767" i="10"/>
  <c r="N568" i="10"/>
  <c r="P568" i="10" s="1"/>
  <c r="N571" i="10"/>
  <c r="P571" i="10" s="1"/>
  <c r="N581" i="10"/>
  <c r="P581" i="10" s="1"/>
  <c r="N592" i="10"/>
  <c r="P592" i="10" s="1"/>
  <c r="N602" i="10"/>
  <c r="P602" i="10" s="1"/>
  <c r="N622" i="10"/>
  <c r="P622" i="10" s="1"/>
  <c r="N644" i="10"/>
  <c r="N670" i="10"/>
  <c r="N682" i="10"/>
  <c r="P682" i="10" s="1"/>
  <c r="N692" i="10"/>
  <c r="P692" i="10" s="1"/>
  <c r="N724" i="10"/>
  <c r="N746" i="10"/>
  <c r="N756" i="10"/>
  <c r="N761" i="10"/>
  <c r="P761" i="10" s="1"/>
  <c r="N781" i="10"/>
  <c r="N802" i="10"/>
  <c r="N812" i="10"/>
  <c r="N821" i="10"/>
  <c r="N543" i="10"/>
  <c r="N621" i="10"/>
  <c r="P621" i="10" s="1"/>
  <c r="P629" i="10"/>
  <c r="P605" i="10"/>
  <c r="N637" i="10"/>
  <c r="P637" i="10" s="1"/>
  <c r="N643" i="10"/>
  <c r="N689" i="10"/>
  <c r="N699" i="10"/>
  <c r="N801" i="10"/>
  <c r="P801" i="10" s="1"/>
  <c r="N811" i="10"/>
  <c r="N828" i="10"/>
  <c r="N838" i="10"/>
  <c r="P838" i="10" s="1"/>
  <c r="N586" i="10"/>
  <c r="P586" i="10" s="1"/>
  <c r="N590" i="10"/>
  <c r="P590" i="10" s="1"/>
  <c r="N600" i="10"/>
  <c r="P600" i="10" s="1"/>
  <c r="N610" i="10"/>
  <c r="P610" i="10" s="1"/>
  <c r="N611" i="10"/>
  <c r="P611" i="10" s="1"/>
  <c r="N619" i="10"/>
  <c r="P619" i="10" s="1"/>
  <c r="N635" i="10"/>
  <c r="N687" i="10"/>
  <c r="N702" i="10"/>
  <c r="P702" i="10" s="1"/>
  <c r="N703" i="10"/>
  <c r="N710" i="10"/>
  <c r="P710" i="10" s="1"/>
  <c r="N711" i="10"/>
  <c r="N720" i="10"/>
  <c r="N721" i="10"/>
  <c r="N758" i="10"/>
  <c r="P758" i="10" s="1"/>
  <c r="N768" i="10"/>
  <c r="N589" i="10"/>
  <c r="P589" i="10" s="1"/>
  <c r="N609" i="10"/>
  <c r="N662" i="10"/>
  <c r="N697" i="10"/>
  <c r="N709" i="10"/>
  <c r="N719" i="10"/>
  <c r="P719" i="10" s="1"/>
  <c r="N729" i="10"/>
  <c r="P729" i="10" s="1"/>
  <c r="N730" i="10"/>
  <c r="N731" i="10"/>
  <c r="P731" i="10" s="1"/>
  <c r="N742" i="10"/>
  <c r="N759" i="10"/>
  <c r="P759" i="10" s="1"/>
  <c r="N760" i="10"/>
  <c r="N764" i="10"/>
  <c r="N771" i="10"/>
  <c r="N818" i="10"/>
  <c r="N552" i="10"/>
  <c r="P552" i="10" s="1"/>
  <c r="P560" i="10"/>
  <c r="N562" i="10"/>
  <c r="P562" i="10" s="1"/>
  <c r="N599" i="10"/>
  <c r="P599" i="10" s="1"/>
  <c r="N624" i="10"/>
  <c r="P624" i="10" s="1"/>
  <c r="N686" i="10"/>
  <c r="N695" i="10"/>
  <c r="N707" i="10"/>
  <c r="N717" i="10"/>
  <c r="P727" i="10"/>
  <c r="N741" i="10"/>
  <c r="P741" i="10" s="1"/>
  <c r="N752" i="10"/>
  <c r="N787" i="10"/>
  <c r="N788" i="10"/>
  <c r="N797" i="10"/>
  <c r="P797" i="10" s="1"/>
  <c r="N817" i="10"/>
  <c r="P817" i="10" s="1"/>
  <c r="N640" i="10"/>
  <c r="N641" i="10"/>
  <c r="N655" i="10"/>
  <c r="N661" i="10"/>
  <c r="N732" i="10"/>
  <c r="N733" i="10"/>
  <c r="N765" i="10"/>
  <c r="P765" i="10" s="1"/>
  <c r="N822" i="10"/>
  <c r="N561" i="10"/>
  <c r="P561" i="10" s="1"/>
  <c r="N569" i="10"/>
  <c r="P569" i="10" s="1"/>
  <c r="N572" i="10"/>
  <c r="P572" i="10" s="1"/>
  <c r="N582" i="10"/>
  <c r="P582" i="10" s="1"/>
  <c r="N615" i="10"/>
  <c r="N626" i="10"/>
  <c r="P626" i="10" s="1"/>
  <c r="N645" i="10"/>
  <c r="N667" i="10"/>
  <c r="P667" i="10" s="1"/>
  <c r="N704" i="10"/>
  <c r="P704" i="10" s="1"/>
  <c r="N706" i="10"/>
  <c r="N715" i="10"/>
  <c r="N716" i="10"/>
  <c r="P716" i="10" s="1"/>
  <c r="N725" i="10"/>
  <c r="N726" i="10"/>
  <c r="P726" i="10" s="1"/>
  <c r="N762" i="10"/>
  <c r="P762" i="10" s="1"/>
  <c r="N832" i="10"/>
  <c r="P768" i="10"/>
  <c r="N772" i="10"/>
  <c r="P772" i="10" s="1"/>
  <c r="N776" i="10"/>
  <c r="N780" i="10"/>
  <c r="N790" i="10"/>
  <c r="P791" i="10"/>
  <c r="N816" i="10"/>
  <c r="N839" i="10"/>
  <c r="P839" i="10" s="1"/>
  <c r="N796" i="10"/>
  <c r="P796" i="10" s="1"/>
  <c r="N829" i="10"/>
  <c r="P829" i="10" s="1"/>
  <c r="N806" i="10"/>
  <c r="P806" i="10" s="1"/>
  <c r="N744" i="10"/>
  <c r="N745" i="10"/>
  <c r="P745" i="10" s="1"/>
  <c r="N754" i="10"/>
  <c r="N755" i="10"/>
  <c r="N786" i="10"/>
  <c r="N819" i="10"/>
  <c r="N743" i="10"/>
  <c r="P743" i="10" s="1"/>
  <c r="N753" i="10"/>
  <c r="N763" i="10"/>
  <c r="N766" i="10"/>
  <c r="P766" i="10" s="1"/>
  <c r="N773" i="10"/>
  <c r="P773" i="10" s="1"/>
  <c r="N792" i="10"/>
  <c r="P792" i="10" s="1"/>
  <c r="P804" i="10"/>
  <c r="N809" i="10"/>
  <c r="P809" i="10" s="1"/>
  <c r="N830" i="10"/>
  <c r="P830" i="10" s="1"/>
  <c r="N782" i="10"/>
  <c r="P782" i="10" s="1"/>
  <c r="N799" i="10"/>
  <c r="P799" i="10" s="1"/>
  <c r="N820" i="10"/>
  <c r="N779" i="10"/>
  <c r="P779" i="10" s="1"/>
  <c r="P784" i="10"/>
  <c r="N789" i="10"/>
  <c r="N810" i="10"/>
  <c r="N836" i="10"/>
  <c r="N800" i="10"/>
  <c r="P800" i="10" s="1"/>
  <c r="N826" i="10"/>
  <c r="N827" i="10"/>
  <c r="N837" i="10"/>
  <c r="N783" i="10"/>
  <c r="P783" i="10" s="1"/>
  <c r="N793" i="10"/>
  <c r="P793" i="10" s="1"/>
  <c r="N803" i="10"/>
  <c r="N813" i="10"/>
  <c r="P813" i="10" s="1"/>
  <c r="N823" i="10"/>
  <c r="P823" i="10" s="1"/>
  <c r="N833" i="10"/>
  <c r="N678" i="10"/>
  <c r="N684" i="10"/>
  <c r="P684" i="10" s="1"/>
  <c r="N638" i="10"/>
  <c r="P638" i="10" s="1"/>
  <c r="N648" i="10"/>
  <c r="N658" i="10"/>
  <c r="P658" i="10" s="1"/>
  <c r="N668" i="10"/>
  <c r="N685" i="10"/>
  <c r="P685" i="10" s="1"/>
  <c r="P711" i="10"/>
  <c r="N728" i="10"/>
  <c r="N636" i="10"/>
  <c r="P636" i="10" s="1"/>
  <c r="N646" i="10"/>
  <c r="P646" i="10" s="1"/>
  <c r="N656" i="10"/>
  <c r="N675" i="10"/>
  <c r="P675" i="10" s="1"/>
  <c r="N708" i="10"/>
  <c r="N674" i="10"/>
  <c r="N718" i="10"/>
  <c r="N657" i="10"/>
  <c r="N698" i="10"/>
  <c r="N666" i="10"/>
  <c r="P666" i="10" s="1"/>
  <c r="N688" i="10"/>
  <c r="P688" i="10" s="1"/>
  <c r="N677" i="10"/>
  <c r="P677" i="10" s="1"/>
  <c r="N671" i="10"/>
  <c r="N681" i="10"/>
  <c r="P681" i="10" s="1"/>
  <c r="N691" i="10"/>
  <c r="N701" i="10"/>
  <c r="P530" i="10"/>
  <c r="P609" i="10"/>
  <c r="P535" i="10"/>
  <c r="P537" i="10"/>
  <c r="N538" i="10"/>
  <c r="P538" i="10" s="1"/>
  <c r="N553" i="10"/>
  <c r="P553" i="10" s="1"/>
  <c r="P577" i="10"/>
  <c r="P591" i="10"/>
  <c r="N595" i="10"/>
  <c r="P595" i="10" s="1"/>
  <c r="N545" i="10"/>
  <c r="P545" i="10" s="1"/>
  <c r="N566" i="10"/>
  <c r="P566" i="10" s="1"/>
  <c r="N576" i="10"/>
  <c r="P576" i="10" s="1"/>
  <c r="P594" i="10"/>
  <c r="N536" i="10"/>
  <c r="P536" i="10" s="1"/>
  <c r="N544" i="10"/>
  <c r="P544" i="10" s="1"/>
  <c r="P608" i="10"/>
  <c r="N623" i="10"/>
  <c r="P623" i="10" s="1"/>
  <c r="N548" i="10"/>
  <c r="P548" i="10" s="1"/>
  <c r="N563" i="10"/>
  <c r="P563" i="10" s="1"/>
  <c r="N573" i="10"/>
  <c r="P573" i="10" s="1"/>
  <c r="P588" i="10"/>
  <c r="N603" i="10"/>
  <c r="P603" i="10" s="1"/>
  <c r="N613" i="10"/>
  <c r="P613" i="10" s="1"/>
  <c r="P628" i="10"/>
  <c r="P556" i="10"/>
  <c r="N583" i="10"/>
  <c r="N593" i="10"/>
  <c r="P593" i="10" s="1"/>
  <c r="P616" i="10"/>
  <c r="N604" i="10"/>
  <c r="P604" i="10" s="1"/>
  <c r="N614" i="10"/>
  <c r="P614" i="10" s="1"/>
  <c r="N554" i="10"/>
  <c r="P554" i="10" s="1"/>
  <c r="N555" i="10"/>
  <c r="P555" i="10" s="1"/>
  <c r="N564" i="10"/>
  <c r="P564" i="10" s="1"/>
  <c r="N565" i="10"/>
  <c r="P565" i="10" s="1"/>
  <c r="N574" i="10"/>
  <c r="P574" i="10" s="1"/>
  <c r="N575" i="10"/>
  <c r="P575" i="10" s="1"/>
  <c r="N584" i="10"/>
  <c r="P584" i="10" s="1"/>
  <c r="N585" i="10"/>
  <c r="P585" i="10" s="1"/>
  <c r="P820" i="10" l="1"/>
  <c r="P686" i="10"/>
  <c r="P713" i="10"/>
  <c r="P700" i="10"/>
  <c r="P975" i="10"/>
  <c r="P826" i="10"/>
  <c r="P974" i="10"/>
  <c r="P871" i="10"/>
  <c r="P874" i="10"/>
  <c r="P798" i="10"/>
  <c r="P939" i="10"/>
  <c r="P812" i="10"/>
  <c r="P971" i="10"/>
  <c r="P833" i="10"/>
  <c r="P894" i="10"/>
  <c r="P703" i="10"/>
  <c r="P900" i="10"/>
  <c r="P982" i="10"/>
  <c r="P961" i="10"/>
  <c r="P728" i="10"/>
  <c r="P695" i="10"/>
  <c r="P892" i="10"/>
  <c r="P964" i="10"/>
  <c r="P1036" i="10"/>
  <c r="P790" i="10"/>
  <c r="P955" i="10"/>
  <c r="P744" i="10"/>
  <c r="P835" i="10"/>
  <c r="P1045" i="10"/>
  <c r="P845" i="10"/>
  <c r="P879" i="10"/>
  <c r="P969" i="10"/>
  <c r="P911" i="10"/>
  <c r="P951" i="10"/>
  <c r="P776" i="10"/>
  <c r="P821" i="10"/>
  <c r="P893" i="10"/>
  <c r="P794" i="10"/>
  <c r="P664" i="10"/>
  <c r="P781" i="10"/>
  <c r="P819" i="10"/>
  <c r="P981" i="10"/>
  <c r="P687" i="10"/>
  <c r="P940" i="10"/>
  <c r="P895" i="10"/>
  <c r="P725" i="10"/>
  <c r="P640" i="10"/>
  <c r="P789" i="10"/>
  <c r="P754" i="10"/>
  <c r="P849" i="10"/>
  <c r="P825" i="10"/>
  <c r="P663" i="10"/>
  <c r="P870" i="10"/>
  <c r="P653" i="10"/>
  <c r="P909" i="10"/>
  <c r="P814" i="10"/>
  <c r="P859" i="10"/>
  <c r="P742" i="10"/>
  <c r="P963" i="10"/>
  <c r="P907" i="10"/>
  <c r="P853" i="10"/>
  <c r="P873" i="10"/>
  <c r="P824" i="10"/>
  <c r="P750" i="10"/>
  <c r="P918" i="10"/>
  <c r="P1005" i="10"/>
  <c r="P996" i="10"/>
  <c r="P860" i="10"/>
  <c r="P674" i="10"/>
  <c r="P644" i="10"/>
  <c r="P953" i="10"/>
  <c r="P885" i="10"/>
  <c r="P897" i="10"/>
  <c r="P673" i="10"/>
  <c r="P708" i="10"/>
  <c r="P908" i="10"/>
  <c r="P651" i="10"/>
  <c r="P866" i="10"/>
  <c r="P705" i="10"/>
  <c r="P650" i="10"/>
  <c r="P665" i="10"/>
  <c r="P709" i="10"/>
  <c r="P916" i="10"/>
  <c r="P764" i="10"/>
  <c r="P857" i="10"/>
  <c r="P822" i="10"/>
  <c r="P786" i="10"/>
  <c r="P1041" i="10"/>
  <c r="P1025" i="10"/>
  <c r="P931" i="10"/>
  <c r="P929" i="10"/>
  <c r="P942" i="10"/>
  <c r="P723" i="10"/>
  <c r="P717" i="10"/>
  <c r="P861" i="10"/>
  <c r="P694" i="10"/>
  <c r="P678" i="10"/>
  <c r="P851" i="10"/>
  <c r="P852" i="10"/>
  <c r="P1011" i="10"/>
  <c r="P1012" i="10"/>
  <c r="P935" i="10"/>
  <c r="P928" i="10"/>
  <c r="P886" i="10"/>
  <c r="P669" i="10"/>
  <c r="P749" i="10"/>
  <c r="P671" i="10"/>
  <c r="P810" i="10"/>
  <c r="P661" i="10"/>
  <c r="P888" i="10"/>
  <c r="P998" i="10"/>
  <c r="P972" i="10"/>
  <c r="P932" i="10"/>
  <c r="P837" i="10"/>
  <c r="P715" i="10"/>
  <c r="P868" i="10"/>
  <c r="P865" i="10"/>
  <c r="P834" i="10"/>
  <c r="P1017" i="10"/>
  <c r="P714" i="10"/>
  <c r="P877" i="10"/>
  <c r="P724" i="10"/>
  <c r="P993" i="10"/>
  <c r="P647" i="10"/>
  <c r="P912" i="10"/>
  <c r="P901" i="10"/>
  <c r="P1009" i="10"/>
  <c r="P795" i="10"/>
  <c r="P712" i="10"/>
  <c r="P748" i="10"/>
  <c r="P697" i="10"/>
  <c r="P642" i="10"/>
  <c r="P643" i="10"/>
  <c r="P734" i="10"/>
  <c r="P966" i="10"/>
  <c r="P836" i="10"/>
  <c r="P778" i="10"/>
  <c r="P720" i="10"/>
  <c r="P802" i="10"/>
  <c r="P878" i="10"/>
  <c r="P746" i="10"/>
  <c r="P655" i="10"/>
  <c r="P699" i="10"/>
  <c r="P1030" i="10"/>
  <c r="P672" i="10"/>
  <c r="P659" i="10"/>
  <c r="P884" i="10"/>
  <c r="P641" i="10"/>
  <c r="P788" i="10"/>
  <c r="P679" i="10"/>
  <c r="P649" i="10"/>
  <c r="P701" i="10"/>
  <c r="P816" i="10"/>
  <c r="P780" i="10"/>
  <c r="P635" i="10"/>
  <c r="P1014" i="10"/>
  <c r="P1049" i="10"/>
  <c r="P755" i="10"/>
  <c r="P811" i="10"/>
  <c r="P756" i="10"/>
  <c r="P876" i="10"/>
  <c r="P696" i="10"/>
  <c r="P656" i="10"/>
  <c r="P648" i="10"/>
  <c r="P706" i="10"/>
  <c r="P707" i="10"/>
  <c r="P670" i="10"/>
  <c r="P747" i="10"/>
  <c r="P689" i="10"/>
  <c r="P698" i="10"/>
  <c r="P943" i="10"/>
  <c r="P832" i="10"/>
  <c r="P937" i="10"/>
  <c r="P718" i="10"/>
  <c r="P752" i="10"/>
  <c r="P896" i="10"/>
  <c r="P913" i="10"/>
  <c r="P721" i="10"/>
  <c r="P691" i="10"/>
  <c r="P753" i="10"/>
  <c r="P980" i="10"/>
  <c r="P808" i="10"/>
  <c r="P763" i="10"/>
  <c r="P1004" i="10"/>
  <c r="P1044" i="10"/>
  <c r="P924" i="10"/>
  <c r="P956" i="10"/>
  <c r="P910" i="10"/>
  <c r="P693" i="10"/>
  <c r="P657" i="10"/>
  <c r="P668" i="10"/>
  <c r="P1013" i="10"/>
  <c r="P777" i="10"/>
  <c r="P730" i="10"/>
  <c r="P1022" i="10"/>
  <c r="P760" i="10"/>
  <c r="P771" i="10"/>
  <c r="P1006" i="10"/>
  <c r="P787" i="10"/>
  <c r="P803" i="10"/>
  <c r="P662" i="10"/>
  <c r="P652" i="10"/>
  <c r="P958" i="10"/>
  <c r="P990" i="10"/>
  <c r="P543" i="10"/>
  <c r="P645" i="10"/>
  <c r="P818" i="10"/>
  <c r="P732" i="10"/>
  <c r="P733" i="10"/>
  <c r="P828" i="10"/>
  <c r="P615" i="10"/>
  <c r="P583" i="10"/>
  <c r="P827" i="10"/>
  <c r="P660" i="10"/>
  <c r="C321" i="10" l="1"/>
  <c r="C322" i="10"/>
  <c r="C323" i="10"/>
  <c r="C324" i="10"/>
  <c r="C325" i="10"/>
  <c r="C326" i="10"/>
  <c r="C327" i="10"/>
  <c r="C328" i="10"/>
  <c r="C329" i="10"/>
  <c r="C330" i="10"/>
  <c r="C331" i="10"/>
  <c r="C332" i="10"/>
  <c r="C333" i="10"/>
  <c r="C334" i="10"/>
  <c r="C335" i="10"/>
  <c r="C336" i="10"/>
  <c r="C337" i="10"/>
  <c r="C338" i="10"/>
  <c r="C339" i="10"/>
  <c r="C340" i="10"/>
  <c r="C341" i="10"/>
  <c r="C342" i="10"/>
  <c r="C343" i="10"/>
  <c r="C344" i="10"/>
  <c r="C345" i="10"/>
  <c r="C346" i="10"/>
  <c r="C347" i="10"/>
  <c r="C348" i="10"/>
  <c r="C349" i="10"/>
  <c r="C350" i="10"/>
  <c r="C351" i="10"/>
  <c r="C352" i="10"/>
  <c r="C353" i="10"/>
  <c r="C354" i="10"/>
  <c r="C355" i="10"/>
  <c r="C356" i="10"/>
  <c r="C357" i="10"/>
  <c r="C358" i="10"/>
  <c r="C359" i="10"/>
  <c r="C360" i="10"/>
  <c r="C361" i="10"/>
  <c r="C362" i="10"/>
  <c r="C363" i="10"/>
  <c r="C364" i="10"/>
  <c r="C365" i="10"/>
  <c r="C366" i="10"/>
  <c r="C367" i="10"/>
  <c r="C368" i="10"/>
  <c r="C369" i="10"/>
  <c r="C370" i="10"/>
  <c r="C371" i="10"/>
  <c r="C372" i="10"/>
  <c r="C373" i="10"/>
  <c r="C374" i="10"/>
  <c r="C375" i="10"/>
  <c r="C376" i="10"/>
  <c r="C377" i="10"/>
  <c r="C378" i="10"/>
  <c r="C379" i="10"/>
  <c r="C380" i="10"/>
  <c r="C381" i="10"/>
  <c r="C382" i="10"/>
  <c r="C383" i="10"/>
  <c r="C384" i="10"/>
  <c r="C385" i="10"/>
  <c r="C386" i="10"/>
  <c r="C387" i="10"/>
  <c r="C388" i="10"/>
  <c r="C389" i="10"/>
  <c r="C390" i="10"/>
  <c r="C391" i="10"/>
  <c r="C392" i="10"/>
  <c r="C393" i="10"/>
  <c r="C394" i="10"/>
  <c r="C395" i="10"/>
  <c r="C396" i="10"/>
  <c r="C397" i="10"/>
  <c r="C398" i="10"/>
  <c r="C399" i="10"/>
  <c r="C400" i="10"/>
  <c r="C401" i="10"/>
  <c r="C402" i="10"/>
  <c r="C403" i="10"/>
  <c r="C404" i="10"/>
  <c r="C405" i="10"/>
  <c r="C406" i="10"/>
  <c r="C407" i="10"/>
  <c r="C408" i="10"/>
  <c r="C409" i="10"/>
  <c r="C410" i="10"/>
  <c r="C411" i="10"/>
  <c r="C412" i="10"/>
  <c r="C413" i="10"/>
  <c r="C414" i="10"/>
  <c r="C415" i="10"/>
  <c r="C416" i="10"/>
  <c r="C417" i="10"/>
  <c r="C418" i="10"/>
  <c r="C419" i="10"/>
  <c r="C320" i="10"/>
  <c r="M524" i="10"/>
  <c r="H524" i="10"/>
  <c r="G524" i="10"/>
  <c r="F524" i="10"/>
  <c r="B524" i="10"/>
  <c r="M523" i="10"/>
  <c r="H523" i="10"/>
  <c r="G523" i="10"/>
  <c r="F523" i="10"/>
  <c r="B523" i="10"/>
  <c r="M522" i="10"/>
  <c r="H522" i="10"/>
  <c r="G522" i="10"/>
  <c r="F522" i="10"/>
  <c r="B522" i="10"/>
  <c r="M521" i="10"/>
  <c r="H521" i="10"/>
  <c r="G521" i="10"/>
  <c r="F521" i="10"/>
  <c r="B521" i="10"/>
  <c r="M520" i="10"/>
  <c r="H520" i="10"/>
  <c r="G520" i="10"/>
  <c r="F520" i="10"/>
  <c r="B520" i="10"/>
  <c r="M519" i="10"/>
  <c r="H519" i="10"/>
  <c r="G519" i="10"/>
  <c r="F519" i="10"/>
  <c r="B519" i="10"/>
  <c r="M518" i="10"/>
  <c r="H518" i="10"/>
  <c r="G518" i="10"/>
  <c r="F518" i="10"/>
  <c r="B518" i="10"/>
  <c r="M517" i="10"/>
  <c r="H517" i="10"/>
  <c r="G517" i="10"/>
  <c r="F517" i="10"/>
  <c r="B517" i="10"/>
  <c r="M516" i="10"/>
  <c r="H516" i="10"/>
  <c r="G516" i="10"/>
  <c r="F516" i="10"/>
  <c r="B516" i="10"/>
  <c r="M515" i="10"/>
  <c r="H515" i="10"/>
  <c r="G515" i="10"/>
  <c r="F515" i="10"/>
  <c r="B515" i="10"/>
  <c r="M514" i="10"/>
  <c r="H514" i="10"/>
  <c r="G514" i="10"/>
  <c r="F514" i="10"/>
  <c r="B514" i="10"/>
  <c r="M513" i="10"/>
  <c r="H513" i="10"/>
  <c r="G513" i="10"/>
  <c r="F513" i="10"/>
  <c r="B513" i="10"/>
  <c r="M512" i="10"/>
  <c r="H512" i="10"/>
  <c r="G512" i="10"/>
  <c r="F512" i="10"/>
  <c r="B512" i="10"/>
  <c r="M511" i="10"/>
  <c r="H511" i="10"/>
  <c r="G511" i="10"/>
  <c r="F511" i="10"/>
  <c r="B511" i="10"/>
  <c r="M510" i="10"/>
  <c r="H510" i="10"/>
  <c r="G510" i="10"/>
  <c r="F510" i="10"/>
  <c r="B510" i="10"/>
  <c r="M509" i="10"/>
  <c r="H509" i="10"/>
  <c r="G509" i="10"/>
  <c r="F509" i="10"/>
  <c r="B509" i="10"/>
  <c r="M508" i="10"/>
  <c r="H508" i="10"/>
  <c r="G508" i="10"/>
  <c r="F508" i="10"/>
  <c r="B508" i="10"/>
  <c r="M507" i="10"/>
  <c r="H507" i="10"/>
  <c r="G507" i="10"/>
  <c r="F507" i="10"/>
  <c r="B507" i="10"/>
  <c r="M506" i="10"/>
  <c r="H506" i="10"/>
  <c r="G506" i="10"/>
  <c r="F506" i="10"/>
  <c r="B506" i="10"/>
  <c r="M505" i="10"/>
  <c r="H505" i="10"/>
  <c r="G505" i="10"/>
  <c r="F505" i="10"/>
  <c r="B505" i="10"/>
  <c r="M504" i="10"/>
  <c r="H504" i="10"/>
  <c r="G504" i="10"/>
  <c r="F504" i="10"/>
  <c r="B504" i="10"/>
  <c r="M503" i="10"/>
  <c r="H503" i="10"/>
  <c r="G503" i="10"/>
  <c r="F503" i="10"/>
  <c r="B503" i="10"/>
  <c r="M502" i="10"/>
  <c r="H502" i="10"/>
  <c r="G502" i="10"/>
  <c r="F502" i="10"/>
  <c r="B502" i="10"/>
  <c r="M501" i="10"/>
  <c r="H501" i="10"/>
  <c r="G501" i="10"/>
  <c r="F501" i="10"/>
  <c r="B501" i="10"/>
  <c r="M500" i="10"/>
  <c r="H500" i="10"/>
  <c r="G500" i="10"/>
  <c r="F500" i="10"/>
  <c r="B500" i="10"/>
  <c r="M499" i="10"/>
  <c r="H499" i="10"/>
  <c r="G499" i="10"/>
  <c r="F499" i="10"/>
  <c r="B499" i="10"/>
  <c r="M498" i="10"/>
  <c r="H498" i="10"/>
  <c r="G498" i="10"/>
  <c r="F498" i="10"/>
  <c r="B498" i="10"/>
  <c r="M497" i="10"/>
  <c r="H497" i="10"/>
  <c r="G497" i="10"/>
  <c r="F497" i="10"/>
  <c r="B497" i="10"/>
  <c r="M496" i="10"/>
  <c r="H496" i="10"/>
  <c r="G496" i="10"/>
  <c r="F496" i="10"/>
  <c r="B496" i="10"/>
  <c r="M495" i="10"/>
  <c r="H495" i="10"/>
  <c r="G495" i="10"/>
  <c r="F495" i="10"/>
  <c r="B495" i="10"/>
  <c r="M494" i="10"/>
  <c r="H494" i="10"/>
  <c r="G494" i="10"/>
  <c r="F494" i="10"/>
  <c r="B494" i="10"/>
  <c r="M493" i="10"/>
  <c r="H493" i="10"/>
  <c r="G493" i="10"/>
  <c r="F493" i="10"/>
  <c r="B493" i="10"/>
  <c r="M492" i="10"/>
  <c r="H492" i="10"/>
  <c r="G492" i="10"/>
  <c r="F492" i="10"/>
  <c r="B492" i="10"/>
  <c r="M491" i="10"/>
  <c r="H491" i="10"/>
  <c r="G491" i="10"/>
  <c r="F491" i="10"/>
  <c r="B491" i="10"/>
  <c r="M490" i="10"/>
  <c r="H490" i="10"/>
  <c r="G490" i="10"/>
  <c r="F490" i="10"/>
  <c r="B490" i="10"/>
  <c r="M489" i="10"/>
  <c r="H489" i="10"/>
  <c r="G489" i="10"/>
  <c r="F489" i="10"/>
  <c r="B489" i="10"/>
  <c r="M488" i="10"/>
  <c r="H488" i="10"/>
  <c r="G488" i="10"/>
  <c r="F488" i="10"/>
  <c r="B488" i="10"/>
  <c r="M487" i="10"/>
  <c r="H487" i="10"/>
  <c r="G487" i="10"/>
  <c r="F487" i="10"/>
  <c r="B487" i="10"/>
  <c r="M486" i="10"/>
  <c r="H486" i="10"/>
  <c r="G486" i="10"/>
  <c r="F486" i="10"/>
  <c r="B486" i="10"/>
  <c r="M485" i="10"/>
  <c r="H485" i="10"/>
  <c r="G485" i="10"/>
  <c r="F485" i="10"/>
  <c r="B485" i="10"/>
  <c r="M484" i="10"/>
  <c r="H484" i="10"/>
  <c r="G484" i="10"/>
  <c r="F484" i="10"/>
  <c r="B484" i="10"/>
  <c r="M483" i="10"/>
  <c r="H483" i="10"/>
  <c r="G483" i="10"/>
  <c r="F483" i="10"/>
  <c r="B483" i="10"/>
  <c r="M482" i="10"/>
  <c r="H482" i="10"/>
  <c r="G482" i="10"/>
  <c r="F482" i="10"/>
  <c r="B482" i="10"/>
  <c r="M481" i="10"/>
  <c r="H481" i="10"/>
  <c r="G481" i="10"/>
  <c r="F481" i="10"/>
  <c r="B481" i="10"/>
  <c r="M480" i="10"/>
  <c r="H480" i="10"/>
  <c r="G480" i="10"/>
  <c r="F480" i="10"/>
  <c r="B480" i="10"/>
  <c r="M479" i="10"/>
  <c r="H479" i="10"/>
  <c r="G479" i="10"/>
  <c r="F479" i="10"/>
  <c r="B479" i="10"/>
  <c r="M478" i="10"/>
  <c r="H478" i="10"/>
  <c r="G478" i="10"/>
  <c r="F478" i="10"/>
  <c r="B478" i="10"/>
  <c r="M477" i="10"/>
  <c r="H477" i="10"/>
  <c r="G477" i="10"/>
  <c r="F477" i="10"/>
  <c r="B477" i="10"/>
  <c r="M476" i="10"/>
  <c r="H476" i="10"/>
  <c r="G476" i="10"/>
  <c r="F476" i="10"/>
  <c r="B476" i="10"/>
  <c r="M475" i="10"/>
  <c r="H475" i="10"/>
  <c r="G475" i="10"/>
  <c r="F475" i="10"/>
  <c r="B475" i="10"/>
  <c r="M474" i="10"/>
  <c r="H474" i="10"/>
  <c r="G474" i="10"/>
  <c r="F474" i="10"/>
  <c r="B474" i="10"/>
  <c r="M473" i="10"/>
  <c r="H473" i="10"/>
  <c r="G473" i="10"/>
  <c r="F473" i="10"/>
  <c r="B473" i="10"/>
  <c r="M472" i="10"/>
  <c r="H472" i="10"/>
  <c r="G472" i="10"/>
  <c r="F472" i="10"/>
  <c r="B472" i="10"/>
  <c r="M471" i="10"/>
  <c r="H471" i="10"/>
  <c r="G471" i="10"/>
  <c r="F471" i="10"/>
  <c r="B471" i="10"/>
  <c r="M470" i="10"/>
  <c r="H470" i="10"/>
  <c r="G470" i="10"/>
  <c r="F470" i="10"/>
  <c r="B470" i="10"/>
  <c r="M469" i="10"/>
  <c r="H469" i="10"/>
  <c r="G469" i="10"/>
  <c r="F469" i="10"/>
  <c r="B469" i="10"/>
  <c r="M468" i="10"/>
  <c r="H468" i="10"/>
  <c r="G468" i="10"/>
  <c r="F468" i="10"/>
  <c r="B468" i="10"/>
  <c r="M467" i="10"/>
  <c r="H467" i="10"/>
  <c r="G467" i="10"/>
  <c r="F467" i="10"/>
  <c r="B467" i="10"/>
  <c r="M466" i="10"/>
  <c r="H466" i="10"/>
  <c r="G466" i="10"/>
  <c r="F466" i="10"/>
  <c r="B466" i="10"/>
  <c r="M465" i="10"/>
  <c r="H465" i="10"/>
  <c r="G465" i="10"/>
  <c r="F465" i="10"/>
  <c r="B465" i="10"/>
  <c r="M464" i="10"/>
  <c r="H464" i="10"/>
  <c r="G464" i="10"/>
  <c r="F464" i="10"/>
  <c r="B464" i="10"/>
  <c r="M463" i="10"/>
  <c r="H463" i="10"/>
  <c r="G463" i="10"/>
  <c r="F463" i="10"/>
  <c r="B463" i="10"/>
  <c r="M462" i="10"/>
  <c r="H462" i="10"/>
  <c r="G462" i="10"/>
  <c r="F462" i="10"/>
  <c r="B462" i="10"/>
  <c r="M461" i="10"/>
  <c r="H461" i="10"/>
  <c r="G461" i="10"/>
  <c r="F461" i="10"/>
  <c r="B461" i="10"/>
  <c r="M460" i="10"/>
  <c r="H460" i="10"/>
  <c r="G460" i="10"/>
  <c r="F460" i="10"/>
  <c r="B460" i="10"/>
  <c r="M459" i="10"/>
  <c r="H459" i="10"/>
  <c r="G459" i="10"/>
  <c r="F459" i="10"/>
  <c r="B459" i="10"/>
  <c r="M458" i="10"/>
  <c r="H458" i="10"/>
  <c r="G458" i="10"/>
  <c r="F458" i="10"/>
  <c r="B458" i="10"/>
  <c r="M457" i="10"/>
  <c r="H457" i="10"/>
  <c r="G457" i="10"/>
  <c r="F457" i="10"/>
  <c r="B457" i="10"/>
  <c r="M456" i="10"/>
  <c r="H456" i="10"/>
  <c r="G456" i="10"/>
  <c r="F456" i="10"/>
  <c r="B456" i="10"/>
  <c r="M455" i="10"/>
  <c r="H455" i="10"/>
  <c r="G455" i="10"/>
  <c r="F455" i="10"/>
  <c r="B455" i="10"/>
  <c r="M454" i="10"/>
  <c r="H454" i="10"/>
  <c r="G454" i="10"/>
  <c r="F454" i="10"/>
  <c r="B454" i="10"/>
  <c r="M453" i="10"/>
  <c r="H453" i="10"/>
  <c r="G453" i="10"/>
  <c r="F453" i="10"/>
  <c r="B453" i="10"/>
  <c r="M452" i="10"/>
  <c r="H452" i="10"/>
  <c r="G452" i="10"/>
  <c r="F452" i="10"/>
  <c r="B452" i="10"/>
  <c r="M451" i="10"/>
  <c r="H451" i="10"/>
  <c r="G451" i="10"/>
  <c r="F451" i="10"/>
  <c r="B451" i="10"/>
  <c r="M450" i="10"/>
  <c r="H450" i="10"/>
  <c r="G450" i="10"/>
  <c r="F450" i="10"/>
  <c r="B450" i="10"/>
  <c r="M449" i="10"/>
  <c r="H449" i="10"/>
  <c r="G449" i="10"/>
  <c r="F449" i="10"/>
  <c r="B449" i="10"/>
  <c r="M448" i="10"/>
  <c r="H448" i="10"/>
  <c r="G448" i="10"/>
  <c r="F448" i="10"/>
  <c r="B448" i="10"/>
  <c r="M447" i="10"/>
  <c r="H447" i="10"/>
  <c r="G447" i="10"/>
  <c r="F447" i="10"/>
  <c r="B447" i="10"/>
  <c r="M446" i="10"/>
  <c r="H446" i="10"/>
  <c r="G446" i="10"/>
  <c r="F446" i="10"/>
  <c r="B446" i="10"/>
  <c r="M445" i="10"/>
  <c r="H445" i="10"/>
  <c r="G445" i="10"/>
  <c r="F445" i="10"/>
  <c r="B445" i="10"/>
  <c r="M444" i="10"/>
  <c r="H444" i="10"/>
  <c r="G444" i="10"/>
  <c r="F444" i="10"/>
  <c r="B444" i="10"/>
  <c r="M443" i="10"/>
  <c r="H443" i="10"/>
  <c r="G443" i="10"/>
  <c r="F443" i="10"/>
  <c r="B443" i="10"/>
  <c r="M442" i="10"/>
  <c r="H442" i="10"/>
  <c r="G442" i="10"/>
  <c r="F442" i="10"/>
  <c r="B442" i="10"/>
  <c r="M441" i="10"/>
  <c r="H441" i="10"/>
  <c r="G441" i="10"/>
  <c r="F441" i="10"/>
  <c r="B441" i="10"/>
  <c r="M440" i="10"/>
  <c r="H440" i="10"/>
  <c r="G440" i="10"/>
  <c r="F440" i="10"/>
  <c r="B440" i="10"/>
  <c r="M439" i="10"/>
  <c r="H439" i="10"/>
  <c r="G439" i="10"/>
  <c r="F439" i="10"/>
  <c r="B439" i="10"/>
  <c r="M438" i="10"/>
  <c r="H438" i="10"/>
  <c r="G438" i="10"/>
  <c r="F438" i="10"/>
  <c r="B438" i="10"/>
  <c r="M437" i="10"/>
  <c r="H437" i="10"/>
  <c r="G437" i="10"/>
  <c r="F437" i="10"/>
  <c r="B437" i="10"/>
  <c r="M436" i="10"/>
  <c r="H436" i="10"/>
  <c r="G436" i="10"/>
  <c r="F436" i="10"/>
  <c r="B436" i="10"/>
  <c r="M435" i="10"/>
  <c r="H435" i="10"/>
  <c r="G435" i="10"/>
  <c r="F435" i="10"/>
  <c r="B435" i="10"/>
  <c r="M434" i="10"/>
  <c r="H434" i="10"/>
  <c r="G434" i="10"/>
  <c r="F434" i="10"/>
  <c r="B434" i="10"/>
  <c r="M433" i="10"/>
  <c r="H433" i="10"/>
  <c r="G433" i="10"/>
  <c r="F433" i="10"/>
  <c r="B433" i="10"/>
  <c r="M432" i="10"/>
  <c r="H432" i="10"/>
  <c r="G432" i="10"/>
  <c r="F432" i="10"/>
  <c r="B432" i="10"/>
  <c r="M431" i="10"/>
  <c r="H431" i="10"/>
  <c r="G431" i="10"/>
  <c r="F431" i="10"/>
  <c r="B431" i="10"/>
  <c r="M430" i="10"/>
  <c r="H430" i="10"/>
  <c r="G430" i="10"/>
  <c r="F430" i="10"/>
  <c r="B430" i="10"/>
  <c r="M429" i="10"/>
  <c r="H429" i="10"/>
  <c r="G429" i="10"/>
  <c r="F429" i="10"/>
  <c r="B429" i="10"/>
  <c r="M428" i="10"/>
  <c r="H428" i="10"/>
  <c r="G428" i="10"/>
  <c r="F428" i="10"/>
  <c r="B428" i="10"/>
  <c r="M427" i="10"/>
  <c r="H427" i="10"/>
  <c r="G427" i="10"/>
  <c r="F427" i="10"/>
  <c r="B427" i="10"/>
  <c r="M426" i="10"/>
  <c r="H426" i="10"/>
  <c r="G426" i="10"/>
  <c r="F426" i="10"/>
  <c r="B426" i="10"/>
  <c r="M425" i="10"/>
  <c r="H425" i="10"/>
  <c r="G425" i="10"/>
  <c r="F425" i="10"/>
  <c r="B425" i="10"/>
  <c r="F321" i="10"/>
  <c r="F322" i="10"/>
  <c r="F323" i="10"/>
  <c r="F324" i="10"/>
  <c r="F325" i="10"/>
  <c r="F326" i="10"/>
  <c r="F327" i="10"/>
  <c r="F328" i="10"/>
  <c r="F329" i="10"/>
  <c r="F330" i="10"/>
  <c r="F331" i="10"/>
  <c r="F332" i="10"/>
  <c r="F333" i="10"/>
  <c r="F334" i="10"/>
  <c r="F335" i="10"/>
  <c r="F336" i="10"/>
  <c r="F337" i="10"/>
  <c r="F338" i="10"/>
  <c r="F339" i="10"/>
  <c r="F340" i="10"/>
  <c r="F341" i="10"/>
  <c r="F342" i="10"/>
  <c r="F343" i="10"/>
  <c r="F344" i="10"/>
  <c r="F345" i="10"/>
  <c r="F346" i="10"/>
  <c r="F347" i="10"/>
  <c r="F348" i="10"/>
  <c r="F349" i="10"/>
  <c r="F350" i="10"/>
  <c r="F351" i="10"/>
  <c r="F352" i="10"/>
  <c r="F353" i="10"/>
  <c r="F354" i="10"/>
  <c r="F355" i="10"/>
  <c r="F356" i="10"/>
  <c r="F357" i="10"/>
  <c r="F358" i="10"/>
  <c r="F359" i="10"/>
  <c r="F360" i="10"/>
  <c r="F361" i="10"/>
  <c r="F362" i="10"/>
  <c r="F363" i="10"/>
  <c r="F364" i="10"/>
  <c r="F365" i="10"/>
  <c r="F366" i="10"/>
  <c r="F367" i="10"/>
  <c r="F368" i="10"/>
  <c r="F369" i="10"/>
  <c r="F370" i="10"/>
  <c r="F371" i="10"/>
  <c r="F372" i="10"/>
  <c r="F373" i="10"/>
  <c r="F374" i="10"/>
  <c r="F375" i="10"/>
  <c r="F376" i="10"/>
  <c r="F377" i="10"/>
  <c r="F378" i="10"/>
  <c r="F379" i="10"/>
  <c r="F380" i="10"/>
  <c r="F381" i="10"/>
  <c r="F382" i="10"/>
  <c r="F383" i="10"/>
  <c r="F384" i="10"/>
  <c r="F385" i="10"/>
  <c r="F386" i="10"/>
  <c r="F387" i="10"/>
  <c r="F388" i="10"/>
  <c r="F389" i="10"/>
  <c r="F390" i="10"/>
  <c r="F391" i="10"/>
  <c r="F392" i="10"/>
  <c r="F393" i="10"/>
  <c r="F394" i="10"/>
  <c r="F395" i="10"/>
  <c r="F396" i="10"/>
  <c r="F397" i="10"/>
  <c r="F398" i="10"/>
  <c r="F399" i="10"/>
  <c r="F400" i="10"/>
  <c r="F401" i="10"/>
  <c r="F402" i="10"/>
  <c r="F403" i="10"/>
  <c r="F404" i="10"/>
  <c r="F405" i="10"/>
  <c r="F406" i="10"/>
  <c r="F407" i="10"/>
  <c r="F408" i="10"/>
  <c r="F409" i="10"/>
  <c r="F410" i="10"/>
  <c r="F411" i="10"/>
  <c r="F412" i="10"/>
  <c r="F413" i="10"/>
  <c r="F414" i="10"/>
  <c r="F415" i="10"/>
  <c r="F416" i="10"/>
  <c r="F417" i="10"/>
  <c r="F418" i="10"/>
  <c r="F320" i="10"/>
  <c r="D321" i="10"/>
  <c r="D322" i="10"/>
  <c r="D323" i="10"/>
  <c r="D324" i="10"/>
  <c r="D325" i="10"/>
  <c r="D326" i="10"/>
  <c r="D327" i="10"/>
  <c r="D328" i="10"/>
  <c r="D329" i="10"/>
  <c r="D330" i="10"/>
  <c r="D331" i="10"/>
  <c r="D332" i="10"/>
  <c r="D333" i="10"/>
  <c r="D334" i="10"/>
  <c r="D335" i="10"/>
  <c r="D336" i="10"/>
  <c r="D337" i="10"/>
  <c r="D338" i="10"/>
  <c r="D339" i="10"/>
  <c r="D340" i="10"/>
  <c r="D341" i="10"/>
  <c r="D342" i="10"/>
  <c r="D343" i="10"/>
  <c r="D344" i="10"/>
  <c r="D345" i="10"/>
  <c r="D346" i="10"/>
  <c r="D347" i="10"/>
  <c r="D348" i="10"/>
  <c r="D349" i="10"/>
  <c r="D350" i="10"/>
  <c r="D351" i="10"/>
  <c r="D352" i="10"/>
  <c r="D353" i="10"/>
  <c r="D354" i="10"/>
  <c r="D355" i="10"/>
  <c r="D356" i="10"/>
  <c r="D357" i="10"/>
  <c r="D358" i="10"/>
  <c r="D359" i="10"/>
  <c r="D360" i="10"/>
  <c r="D361" i="10"/>
  <c r="D362" i="10"/>
  <c r="D363" i="10"/>
  <c r="D364" i="10"/>
  <c r="D365" i="10"/>
  <c r="D366" i="10"/>
  <c r="D367" i="10"/>
  <c r="D368" i="10"/>
  <c r="D369" i="10"/>
  <c r="D370" i="10"/>
  <c r="D371" i="10"/>
  <c r="D372" i="10"/>
  <c r="D373" i="10"/>
  <c r="D374" i="10"/>
  <c r="D375" i="10"/>
  <c r="D376" i="10"/>
  <c r="D377" i="10"/>
  <c r="D378" i="10"/>
  <c r="D379" i="10"/>
  <c r="D380" i="10"/>
  <c r="D381" i="10"/>
  <c r="D382" i="10"/>
  <c r="D383" i="10"/>
  <c r="D384" i="10"/>
  <c r="D385" i="10"/>
  <c r="D386" i="10"/>
  <c r="D387" i="10"/>
  <c r="D388" i="10"/>
  <c r="D389" i="10"/>
  <c r="D390" i="10"/>
  <c r="D391" i="10"/>
  <c r="D392" i="10"/>
  <c r="D393" i="10"/>
  <c r="D394" i="10"/>
  <c r="D395" i="10"/>
  <c r="D396" i="10"/>
  <c r="D397" i="10"/>
  <c r="D398" i="10"/>
  <c r="D399" i="10"/>
  <c r="D400" i="10"/>
  <c r="D401" i="10"/>
  <c r="D402" i="10"/>
  <c r="D403" i="10"/>
  <c r="D404" i="10"/>
  <c r="D405" i="10"/>
  <c r="D406" i="10"/>
  <c r="D407" i="10"/>
  <c r="D408" i="10"/>
  <c r="D409" i="10"/>
  <c r="D410" i="10"/>
  <c r="D411" i="10"/>
  <c r="D412" i="10"/>
  <c r="D413" i="10"/>
  <c r="D414" i="10"/>
  <c r="D415" i="10"/>
  <c r="D416" i="10"/>
  <c r="D417" i="10"/>
  <c r="D418" i="10"/>
  <c r="D419" i="10"/>
  <c r="D320" i="10"/>
  <c r="M419" i="10"/>
  <c r="H419" i="10"/>
  <c r="G419" i="10"/>
  <c r="N419" i="10" s="1"/>
  <c r="B419" i="10"/>
  <c r="M418" i="10"/>
  <c r="H418" i="10"/>
  <c r="G418" i="10"/>
  <c r="B418" i="10"/>
  <c r="M417" i="10"/>
  <c r="H417" i="10"/>
  <c r="G417" i="10"/>
  <c r="B417" i="10"/>
  <c r="M416" i="10"/>
  <c r="H416" i="10"/>
  <c r="G416" i="10"/>
  <c r="B416" i="10"/>
  <c r="M415" i="10"/>
  <c r="H415" i="10"/>
  <c r="G415" i="10"/>
  <c r="B415" i="10"/>
  <c r="M414" i="10"/>
  <c r="H414" i="10"/>
  <c r="G414" i="10"/>
  <c r="B414" i="10"/>
  <c r="M413" i="10"/>
  <c r="H413" i="10"/>
  <c r="G413" i="10"/>
  <c r="B413" i="10"/>
  <c r="M412" i="10"/>
  <c r="H412" i="10"/>
  <c r="G412" i="10"/>
  <c r="B412" i="10"/>
  <c r="M411" i="10"/>
  <c r="H411" i="10"/>
  <c r="G411" i="10"/>
  <c r="B411" i="10"/>
  <c r="M410" i="10"/>
  <c r="H410" i="10"/>
  <c r="G410" i="10"/>
  <c r="B410" i="10"/>
  <c r="M409" i="10"/>
  <c r="H409" i="10"/>
  <c r="G409" i="10"/>
  <c r="B409" i="10"/>
  <c r="M408" i="10"/>
  <c r="H408" i="10"/>
  <c r="G408" i="10"/>
  <c r="B408" i="10"/>
  <c r="M407" i="10"/>
  <c r="H407" i="10"/>
  <c r="G407" i="10"/>
  <c r="B407" i="10"/>
  <c r="M406" i="10"/>
  <c r="H406" i="10"/>
  <c r="G406" i="10"/>
  <c r="B406" i="10"/>
  <c r="M405" i="10"/>
  <c r="H405" i="10"/>
  <c r="G405" i="10"/>
  <c r="B405" i="10"/>
  <c r="M404" i="10"/>
  <c r="H404" i="10"/>
  <c r="G404" i="10"/>
  <c r="B404" i="10"/>
  <c r="M403" i="10"/>
  <c r="H403" i="10"/>
  <c r="G403" i="10"/>
  <c r="B403" i="10"/>
  <c r="M402" i="10"/>
  <c r="H402" i="10"/>
  <c r="G402" i="10"/>
  <c r="B402" i="10"/>
  <c r="M401" i="10"/>
  <c r="H401" i="10"/>
  <c r="G401" i="10"/>
  <c r="B401" i="10"/>
  <c r="M400" i="10"/>
  <c r="H400" i="10"/>
  <c r="G400" i="10"/>
  <c r="B400" i="10"/>
  <c r="M399" i="10"/>
  <c r="H399" i="10"/>
  <c r="G399" i="10"/>
  <c r="B399" i="10"/>
  <c r="M398" i="10"/>
  <c r="H398" i="10"/>
  <c r="G398" i="10"/>
  <c r="B398" i="10"/>
  <c r="M397" i="10"/>
  <c r="H397" i="10"/>
  <c r="G397" i="10"/>
  <c r="B397" i="10"/>
  <c r="M396" i="10"/>
  <c r="H396" i="10"/>
  <c r="G396" i="10"/>
  <c r="B396" i="10"/>
  <c r="M395" i="10"/>
  <c r="H395" i="10"/>
  <c r="G395" i="10"/>
  <c r="B395" i="10"/>
  <c r="M394" i="10"/>
  <c r="H394" i="10"/>
  <c r="G394" i="10"/>
  <c r="B394" i="10"/>
  <c r="M393" i="10"/>
  <c r="H393" i="10"/>
  <c r="G393" i="10"/>
  <c r="B393" i="10"/>
  <c r="M392" i="10"/>
  <c r="H392" i="10"/>
  <c r="G392" i="10"/>
  <c r="B392" i="10"/>
  <c r="M391" i="10"/>
  <c r="H391" i="10"/>
  <c r="G391" i="10"/>
  <c r="B391" i="10"/>
  <c r="M390" i="10"/>
  <c r="H390" i="10"/>
  <c r="G390" i="10"/>
  <c r="B390" i="10"/>
  <c r="M389" i="10"/>
  <c r="H389" i="10"/>
  <c r="G389" i="10"/>
  <c r="B389" i="10"/>
  <c r="M388" i="10"/>
  <c r="H388" i="10"/>
  <c r="G388" i="10"/>
  <c r="B388" i="10"/>
  <c r="M387" i="10"/>
  <c r="H387" i="10"/>
  <c r="G387" i="10"/>
  <c r="B387" i="10"/>
  <c r="M386" i="10"/>
  <c r="H386" i="10"/>
  <c r="G386" i="10"/>
  <c r="B386" i="10"/>
  <c r="M385" i="10"/>
  <c r="H385" i="10"/>
  <c r="G385" i="10"/>
  <c r="B385" i="10"/>
  <c r="M384" i="10"/>
  <c r="H384" i="10"/>
  <c r="G384" i="10"/>
  <c r="B384" i="10"/>
  <c r="M383" i="10"/>
  <c r="H383" i="10"/>
  <c r="G383" i="10"/>
  <c r="B383" i="10"/>
  <c r="M382" i="10"/>
  <c r="H382" i="10"/>
  <c r="G382" i="10"/>
  <c r="B382" i="10"/>
  <c r="M381" i="10"/>
  <c r="H381" i="10"/>
  <c r="G381" i="10"/>
  <c r="B381" i="10"/>
  <c r="M380" i="10"/>
  <c r="H380" i="10"/>
  <c r="G380" i="10"/>
  <c r="B380" i="10"/>
  <c r="M379" i="10"/>
  <c r="H379" i="10"/>
  <c r="G379" i="10"/>
  <c r="B379" i="10"/>
  <c r="M378" i="10"/>
  <c r="H378" i="10"/>
  <c r="G378" i="10"/>
  <c r="B378" i="10"/>
  <c r="M377" i="10"/>
  <c r="H377" i="10"/>
  <c r="G377" i="10"/>
  <c r="B377" i="10"/>
  <c r="M376" i="10"/>
  <c r="H376" i="10"/>
  <c r="G376" i="10"/>
  <c r="B376" i="10"/>
  <c r="M375" i="10"/>
  <c r="H375" i="10"/>
  <c r="G375" i="10"/>
  <c r="B375" i="10"/>
  <c r="M374" i="10"/>
  <c r="H374" i="10"/>
  <c r="G374" i="10"/>
  <c r="B374" i="10"/>
  <c r="M373" i="10"/>
  <c r="H373" i="10"/>
  <c r="G373" i="10"/>
  <c r="B373" i="10"/>
  <c r="M372" i="10"/>
  <c r="H372" i="10"/>
  <c r="G372" i="10"/>
  <c r="B372" i="10"/>
  <c r="M371" i="10"/>
  <c r="H371" i="10"/>
  <c r="G371" i="10"/>
  <c r="B371" i="10"/>
  <c r="M370" i="10"/>
  <c r="H370" i="10"/>
  <c r="G370" i="10"/>
  <c r="B370" i="10"/>
  <c r="M369" i="10"/>
  <c r="H369" i="10"/>
  <c r="G369" i="10"/>
  <c r="B369" i="10"/>
  <c r="M368" i="10"/>
  <c r="H368" i="10"/>
  <c r="G368" i="10"/>
  <c r="B368" i="10"/>
  <c r="M367" i="10"/>
  <c r="H367" i="10"/>
  <c r="G367" i="10"/>
  <c r="B367" i="10"/>
  <c r="M366" i="10"/>
  <c r="H366" i="10"/>
  <c r="G366" i="10"/>
  <c r="B366" i="10"/>
  <c r="M365" i="10"/>
  <c r="H365" i="10"/>
  <c r="G365" i="10"/>
  <c r="B365" i="10"/>
  <c r="M364" i="10"/>
  <c r="H364" i="10"/>
  <c r="G364" i="10"/>
  <c r="B364" i="10"/>
  <c r="M363" i="10"/>
  <c r="H363" i="10"/>
  <c r="G363" i="10"/>
  <c r="B363" i="10"/>
  <c r="M362" i="10"/>
  <c r="H362" i="10"/>
  <c r="G362" i="10"/>
  <c r="B362" i="10"/>
  <c r="M361" i="10"/>
  <c r="H361" i="10"/>
  <c r="G361" i="10"/>
  <c r="B361" i="10"/>
  <c r="M360" i="10"/>
  <c r="H360" i="10"/>
  <c r="G360" i="10"/>
  <c r="B360" i="10"/>
  <c r="M359" i="10"/>
  <c r="H359" i="10"/>
  <c r="G359" i="10"/>
  <c r="B359" i="10"/>
  <c r="M358" i="10"/>
  <c r="H358" i="10"/>
  <c r="G358" i="10"/>
  <c r="B358" i="10"/>
  <c r="M357" i="10"/>
  <c r="H357" i="10"/>
  <c r="G357" i="10"/>
  <c r="B357" i="10"/>
  <c r="M356" i="10"/>
  <c r="H356" i="10"/>
  <c r="G356" i="10"/>
  <c r="B356" i="10"/>
  <c r="M355" i="10"/>
  <c r="H355" i="10"/>
  <c r="G355" i="10"/>
  <c r="B355" i="10"/>
  <c r="M354" i="10"/>
  <c r="H354" i="10"/>
  <c r="G354" i="10"/>
  <c r="B354" i="10"/>
  <c r="M353" i="10"/>
  <c r="H353" i="10"/>
  <c r="G353" i="10"/>
  <c r="B353" i="10"/>
  <c r="M352" i="10"/>
  <c r="H352" i="10"/>
  <c r="G352" i="10"/>
  <c r="B352" i="10"/>
  <c r="M351" i="10"/>
  <c r="H351" i="10"/>
  <c r="G351" i="10"/>
  <c r="B351" i="10"/>
  <c r="M350" i="10"/>
  <c r="H350" i="10"/>
  <c r="G350" i="10"/>
  <c r="B350" i="10"/>
  <c r="M349" i="10"/>
  <c r="H349" i="10"/>
  <c r="G349" i="10"/>
  <c r="B349" i="10"/>
  <c r="M348" i="10"/>
  <c r="H348" i="10"/>
  <c r="G348" i="10"/>
  <c r="B348" i="10"/>
  <c r="M347" i="10"/>
  <c r="H347" i="10"/>
  <c r="G347" i="10"/>
  <c r="B347" i="10"/>
  <c r="M346" i="10"/>
  <c r="H346" i="10"/>
  <c r="G346" i="10"/>
  <c r="B346" i="10"/>
  <c r="M345" i="10"/>
  <c r="H345" i="10"/>
  <c r="G345" i="10"/>
  <c r="B345" i="10"/>
  <c r="M344" i="10"/>
  <c r="H344" i="10"/>
  <c r="G344" i="10"/>
  <c r="B344" i="10"/>
  <c r="M343" i="10"/>
  <c r="H343" i="10"/>
  <c r="G343" i="10"/>
  <c r="B343" i="10"/>
  <c r="M342" i="10"/>
  <c r="H342" i="10"/>
  <c r="G342" i="10"/>
  <c r="B342" i="10"/>
  <c r="M341" i="10"/>
  <c r="H341" i="10"/>
  <c r="G341" i="10"/>
  <c r="B341" i="10"/>
  <c r="M340" i="10"/>
  <c r="H340" i="10"/>
  <c r="G340" i="10"/>
  <c r="B340" i="10"/>
  <c r="M339" i="10"/>
  <c r="H339" i="10"/>
  <c r="G339" i="10"/>
  <c r="B339" i="10"/>
  <c r="M338" i="10"/>
  <c r="H338" i="10"/>
  <c r="G338" i="10"/>
  <c r="B338" i="10"/>
  <c r="M337" i="10"/>
  <c r="H337" i="10"/>
  <c r="G337" i="10"/>
  <c r="B337" i="10"/>
  <c r="M336" i="10"/>
  <c r="H336" i="10"/>
  <c r="G336" i="10"/>
  <c r="B336" i="10"/>
  <c r="M335" i="10"/>
  <c r="H335" i="10"/>
  <c r="G335" i="10"/>
  <c r="B335" i="10"/>
  <c r="M334" i="10"/>
  <c r="H334" i="10"/>
  <c r="G334" i="10"/>
  <c r="B334" i="10"/>
  <c r="M333" i="10"/>
  <c r="H333" i="10"/>
  <c r="G333" i="10"/>
  <c r="B333" i="10"/>
  <c r="M332" i="10"/>
  <c r="H332" i="10"/>
  <c r="G332" i="10"/>
  <c r="B332" i="10"/>
  <c r="M331" i="10"/>
  <c r="H331" i="10"/>
  <c r="G331" i="10"/>
  <c r="B331" i="10"/>
  <c r="M330" i="10"/>
  <c r="H330" i="10"/>
  <c r="G330" i="10"/>
  <c r="B330" i="10"/>
  <c r="M329" i="10"/>
  <c r="H329" i="10"/>
  <c r="G329" i="10"/>
  <c r="B329" i="10"/>
  <c r="M328" i="10"/>
  <c r="H328" i="10"/>
  <c r="G328" i="10"/>
  <c r="B328" i="10"/>
  <c r="M327" i="10"/>
  <c r="H327" i="10"/>
  <c r="G327" i="10"/>
  <c r="B327" i="10"/>
  <c r="M326" i="10"/>
  <c r="H326" i="10"/>
  <c r="G326" i="10"/>
  <c r="B326" i="10"/>
  <c r="M325" i="10"/>
  <c r="H325" i="10"/>
  <c r="G325" i="10"/>
  <c r="B325" i="10"/>
  <c r="M324" i="10"/>
  <c r="H324" i="10"/>
  <c r="G324" i="10"/>
  <c r="B324" i="10"/>
  <c r="M323" i="10"/>
  <c r="H323" i="10"/>
  <c r="G323" i="10"/>
  <c r="B323" i="10"/>
  <c r="M322" i="10"/>
  <c r="H322" i="10"/>
  <c r="G322" i="10"/>
  <c r="B322" i="10"/>
  <c r="M321" i="10"/>
  <c r="H321" i="10"/>
  <c r="G321" i="10"/>
  <c r="B321" i="10"/>
  <c r="M320" i="10"/>
  <c r="H320" i="10"/>
  <c r="G320" i="10"/>
  <c r="B320" i="10"/>
  <c r="L216" i="10"/>
  <c r="L217" i="10"/>
  <c r="L218" i="10"/>
  <c r="L219" i="10"/>
  <c r="L220" i="10"/>
  <c r="L221" i="10"/>
  <c r="L222" i="10"/>
  <c r="L223" i="10"/>
  <c r="L224" i="10"/>
  <c r="L225" i="10"/>
  <c r="L226" i="10"/>
  <c r="L227" i="10"/>
  <c r="L228" i="10"/>
  <c r="L229" i="10"/>
  <c r="L230" i="10"/>
  <c r="L231" i="10"/>
  <c r="L232" i="10"/>
  <c r="L233" i="10"/>
  <c r="L234" i="10"/>
  <c r="L235" i="10"/>
  <c r="L236" i="10"/>
  <c r="L237" i="10"/>
  <c r="L238" i="10"/>
  <c r="L239" i="10"/>
  <c r="L240" i="10"/>
  <c r="L241" i="10"/>
  <c r="L242" i="10"/>
  <c r="L243" i="10"/>
  <c r="L244" i="10"/>
  <c r="L245" i="10"/>
  <c r="L246" i="10"/>
  <c r="L247" i="10"/>
  <c r="L248" i="10"/>
  <c r="L249" i="10"/>
  <c r="L250" i="10"/>
  <c r="L251" i="10"/>
  <c r="L252" i="10"/>
  <c r="L253" i="10"/>
  <c r="L254" i="10"/>
  <c r="L255" i="10"/>
  <c r="L256" i="10"/>
  <c r="L257" i="10"/>
  <c r="L258" i="10"/>
  <c r="L259" i="10"/>
  <c r="L260" i="10"/>
  <c r="L261" i="10"/>
  <c r="L262" i="10"/>
  <c r="L263" i="10"/>
  <c r="L264" i="10"/>
  <c r="L265" i="10"/>
  <c r="L266" i="10"/>
  <c r="L267" i="10"/>
  <c r="L268" i="10"/>
  <c r="L269" i="10"/>
  <c r="L270" i="10"/>
  <c r="L271" i="10"/>
  <c r="L272" i="10"/>
  <c r="L273" i="10"/>
  <c r="L274" i="10"/>
  <c r="L275" i="10"/>
  <c r="L276" i="10"/>
  <c r="L277" i="10"/>
  <c r="L278" i="10"/>
  <c r="L279" i="10"/>
  <c r="L280" i="10"/>
  <c r="L281" i="10"/>
  <c r="L282" i="10"/>
  <c r="L283" i="10"/>
  <c r="L284" i="10"/>
  <c r="L285" i="10"/>
  <c r="L286" i="10"/>
  <c r="L287" i="10"/>
  <c r="L288" i="10"/>
  <c r="L289" i="10"/>
  <c r="L290" i="10"/>
  <c r="L291" i="10"/>
  <c r="L292" i="10"/>
  <c r="L293" i="10"/>
  <c r="L294" i="10"/>
  <c r="L295" i="10"/>
  <c r="L296" i="10"/>
  <c r="L297" i="10"/>
  <c r="L298" i="10"/>
  <c r="L299" i="10"/>
  <c r="L300" i="10"/>
  <c r="L301" i="10"/>
  <c r="L302" i="10"/>
  <c r="L303" i="10"/>
  <c r="L304" i="10"/>
  <c r="L305" i="10"/>
  <c r="L306" i="10"/>
  <c r="L307" i="10"/>
  <c r="L308" i="10"/>
  <c r="L309" i="10"/>
  <c r="L310" i="10"/>
  <c r="L311" i="10"/>
  <c r="L312" i="10"/>
  <c r="L313" i="10"/>
  <c r="L314" i="10"/>
  <c r="L215" i="10"/>
  <c r="F216" i="10"/>
  <c r="F217" i="10"/>
  <c r="F218" i="10"/>
  <c r="F219" i="10"/>
  <c r="F220" i="10"/>
  <c r="F221" i="10"/>
  <c r="F222" i="10"/>
  <c r="F223" i="10"/>
  <c r="F224" i="10"/>
  <c r="F225" i="10"/>
  <c r="F226" i="10"/>
  <c r="F227" i="10"/>
  <c r="F228" i="10"/>
  <c r="F229" i="10"/>
  <c r="F230" i="10"/>
  <c r="F231" i="10"/>
  <c r="F232" i="10"/>
  <c r="F233" i="10"/>
  <c r="F234" i="10"/>
  <c r="F235" i="10"/>
  <c r="F236" i="10"/>
  <c r="F237" i="10"/>
  <c r="F238" i="10"/>
  <c r="F239" i="10"/>
  <c r="F240" i="10"/>
  <c r="F241" i="10"/>
  <c r="F242" i="10"/>
  <c r="F243" i="10"/>
  <c r="F244" i="10"/>
  <c r="F245" i="10"/>
  <c r="F246" i="10"/>
  <c r="F247" i="10"/>
  <c r="F248" i="10"/>
  <c r="F249" i="10"/>
  <c r="F250" i="10"/>
  <c r="F251" i="10"/>
  <c r="F252" i="10"/>
  <c r="F253" i="10"/>
  <c r="F254" i="10"/>
  <c r="F255" i="10"/>
  <c r="F256" i="10"/>
  <c r="F257" i="10"/>
  <c r="F258" i="10"/>
  <c r="F259" i="10"/>
  <c r="F260" i="10"/>
  <c r="F261" i="10"/>
  <c r="F262" i="10"/>
  <c r="F263" i="10"/>
  <c r="F264" i="10"/>
  <c r="F265" i="10"/>
  <c r="F266" i="10"/>
  <c r="F267" i="10"/>
  <c r="F268" i="10"/>
  <c r="F269" i="10"/>
  <c r="F270" i="10"/>
  <c r="F271" i="10"/>
  <c r="F272" i="10"/>
  <c r="F273" i="10"/>
  <c r="F274" i="10"/>
  <c r="F275" i="10"/>
  <c r="F276" i="10"/>
  <c r="F277" i="10"/>
  <c r="F278" i="10"/>
  <c r="F279" i="10"/>
  <c r="F280" i="10"/>
  <c r="F281" i="10"/>
  <c r="F282" i="10"/>
  <c r="F283" i="10"/>
  <c r="F284" i="10"/>
  <c r="F285" i="10"/>
  <c r="F286" i="10"/>
  <c r="F287" i="10"/>
  <c r="F288" i="10"/>
  <c r="F289" i="10"/>
  <c r="F290" i="10"/>
  <c r="F291" i="10"/>
  <c r="F292" i="10"/>
  <c r="F293" i="10"/>
  <c r="F294" i="10"/>
  <c r="F295" i="10"/>
  <c r="F296" i="10"/>
  <c r="F297" i="10"/>
  <c r="F298" i="10"/>
  <c r="F299" i="10"/>
  <c r="F300" i="10"/>
  <c r="F301" i="10"/>
  <c r="F302" i="10"/>
  <c r="F303" i="10"/>
  <c r="F304" i="10"/>
  <c r="F305" i="10"/>
  <c r="F306" i="10"/>
  <c r="F307" i="10"/>
  <c r="F308" i="10"/>
  <c r="F309" i="10"/>
  <c r="F310" i="10"/>
  <c r="F311" i="10"/>
  <c r="F312" i="10"/>
  <c r="F313" i="10"/>
  <c r="F314" i="10"/>
  <c r="F215" i="10"/>
  <c r="M314" i="10"/>
  <c r="H314" i="10"/>
  <c r="G314" i="10"/>
  <c r="B314" i="10"/>
  <c r="M313" i="10"/>
  <c r="H313" i="10"/>
  <c r="G313" i="10"/>
  <c r="B313" i="10"/>
  <c r="M312" i="10"/>
  <c r="H312" i="10"/>
  <c r="G312" i="10"/>
  <c r="B312" i="10"/>
  <c r="M311" i="10"/>
  <c r="H311" i="10"/>
  <c r="G311" i="10"/>
  <c r="B311" i="10"/>
  <c r="M310" i="10"/>
  <c r="H310" i="10"/>
  <c r="G310" i="10"/>
  <c r="B310" i="10"/>
  <c r="M309" i="10"/>
  <c r="H309" i="10"/>
  <c r="G309" i="10"/>
  <c r="B309" i="10"/>
  <c r="M308" i="10"/>
  <c r="H308" i="10"/>
  <c r="G308" i="10"/>
  <c r="B308" i="10"/>
  <c r="M307" i="10"/>
  <c r="H307" i="10"/>
  <c r="G307" i="10"/>
  <c r="B307" i="10"/>
  <c r="M306" i="10"/>
  <c r="H306" i="10"/>
  <c r="G306" i="10"/>
  <c r="B306" i="10"/>
  <c r="M305" i="10"/>
  <c r="H305" i="10"/>
  <c r="G305" i="10"/>
  <c r="B305" i="10"/>
  <c r="M304" i="10"/>
  <c r="H304" i="10"/>
  <c r="G304" i="10"/>
  <c r="B304" i="10"/>
  <c r="M303" i="10"/>
  <c r="H303" i="10"/>
  <c r="G303" i="10"/>
  <c r="B303" i="10"/>
  <c r="M302" i="10"/>
  <c r="H302" i="10"/>
  <c r="G302" i="10"/>
  <c r="B302" i="10"/>
  <c r="M301" i="10"/>
  <c r="H301" i="10"/>
  <c r="G301" i="10"/>
  <c r="B301" i="10"/>
  <c r="M300" i="10"/>
  <c r="H300" i="10"/>
  <c r="G300" i="10"/>
  <c r="B300" i="10"/>
  <c r="M299" i="10"/>
  <c r="H299" i="10"/>
  <c r="G299" i="10"/>
  <c r="B299" i="10"/>
  <c r="M298" i="10"/>
  <c r="H298" i="10"/>
  <c r="G298" i="10"/>
  <c r="B298" i="10"/>
  <c r="M297" i="10"/>
  <c r="H297" i="10"/>
  <c r="G297" i="10"/>
  <c r="B297" i="10"/>
  <c r="M296" i="10"/>
  <c r="H296" i="10"/>
  <c r="G296" i="10"/>
  <c r="B296" i="10"/>
  <c r="M295" i="10"/>
  <c r="H295" i="10"/>
  <c r="G295" i="10"/>
  <c r="B295" i="10"/>
  <c r="M294" i="10"/>
  <c r="H294" i="10"/>
  <c r="G294" i="10"/>
  <c r="B294" i="10"/>
  <c r="M293" i="10"/>
  <c r="H293" i="10"/>
  <c r="G293" i="10"/>
  <c r="B293" i="10"/>
  <c r="M292" i="10"/>
  <c r="H292" i="10"/>
  <c r="G292" i="10"/>
  <c r="B292" i="10"/>
  <c r="M291" i="10"/>
  <c r="H291" i="10"/>
  <c r="G291" i="10"/>
  <c r="B291" i="10"/>
  <c r="M290" i="10"/>
  <c r="H290" i="10"/>
  <c r="G290" i="10"/>
  <c r="B290" i="10"/>
  <c r="M289" i="10"/>
  <c r="H289" i="10"/>
  <c r="G289" i="10"/>
  <c r="B289" i="10"/>
  <c r="M288" i="10"/>
  <c r="H288" i="10"/>
  <c r="G288" i="10"/>
  <c r="B288" i="10"/>
  <c r="M287" i="10"/>
  <c r="H287" i="10"/>
  <c r="G287" i="10"/>
  <c r="B287" i="10"/>
  <c r="M286" i="10"/>
  <c r="H286" i="10"/>
  <c r="G286" i="10"/>
  <c r="B286" i="10"/>
  <c r="M285" i="10"/>
  <c r="H285" i="10"/>
  <c r="G285" i="10"/>
  <c r="B285" i="10"/>
  <c r="M284" i="10"/>
  <c r="H284" i="10"/>
  <c r="G284" i="10"/>
  <c r="B284" i="10"/>
  <c r="M283" i="10"/>
  <c r="H283" i="10"/>
  <c r="G283" i="10"/>
  <c r="B283" i="10"/>
  <c r="M282" i="10"/>
  <c r="H282" i="10"/>
  <c r="G282" i="10"/>
  <c r="B282" i="10"/>
  <c r="M281" i="10"/>
  <c r="H281" i="10"/>
  <c r="G281" i="10"/>
  <c r="B281" i="10"/>
  <c r="M280" i="10"/>
  <c r="H280" i="10"/>
  <c r="G280" i="10"/>
  <c r="B280" i="10"/>
  <c r="M279" i="10"/>
  <c r="H279" i="10"/>
  <c r="G279" i="10"/>
  <c r="B279" i="10"/>
  <c r="M278" i="10"/>
  <c r="H278" i="10"/>
  <c r="G278" i="10"/>
  <c r="B278" i="10"/>
  <c r="M277" i="10"/>
  <c r="H277" i="10"/>
  <c r="G277" i="10"/>
  <c r="B277" i="10"/>
  <c r="M276" i="10"/>
  <c r="H276" i="10"/>
  <c r="G276" i="10"/>
  <c r="B276" i="10"/>
  <c r="M275" i="10"/>
  <c r="H275" i="10"/>
  <c r="G275" i="10"/>
  <c r="B275" i="10"/>
  <c r="M274" i="10"/>
  <c r="H274" i="10"/>
  <c r="G274" i="10"/>
  <c r="B274" i="10"/>
  <c r="M273" i="10"/>
  <c r="H273" i="10"/>
  <c r="G273" i="10"/>
  <c r="B273" i="10"/>
  <c r="M272" i="10"/>
  <c r="H272" i="10"/>
  <c r="G272" i="10"/>
  <c r="B272" i="10"/>
  <c r="M271" i="10"/>
  <c r="H271" i="10"/>
  <c r="G271" i="10"/>
  <c r="B271" i="10"/>
  <c r="M270" i="10"/>
  <c r="H270" i="10"/>
  <c r="G270" i="10"/>
  <c r="B270" i="10"/>
  <c r="M269" i="10"/>
  <c r="H269" i="10"/>
  <c r="G269" i="10"/>
  <c r="B269" i="10"/>
  <c r="M268" i="10"/>
  <c r="H268" i="10"/>
  <c r="G268" i="10"/>
  <c r="B268" i="10"/>
  <c r="M267" i="10"/>
  <c r="H267" i="10"/>
  <c r="G267" i="10"/>
  <c r="B267" i="10"/>
  <c r="M266" i="10"/>
  <c r="H266" i="10"/>
  <c r="G266" i="10"/>
  <c r="B266" i="10"/>
  <c r="M265" i="10"/>
  <c r="H265" i="10"/>
  <c r="G265" i="10"/>
  <c r="B265" i="10"/>
  <c r="M264" i="10"/>
  <c r="H264" i="10"/>
  <c r="G264" i="10"/>
  <c r="B264" i="10"/>
  <c r="M263" i="10"/>
  <c r="H263" i="10"/>
  <c r="G263" i="10"/>
  <c r="B263" i="10"/>
  <c r="M262" i="10"/>
  <c r="H262" i="10"/>
  <c r="G262" i="10"/>
  <c r="B262" i="10"/>
  <c r="M261" i="10"/>
  <c r="H261" i="10"/>
  <c r="G261" i="10"/>
  <c r="B261" i="10"/>
  <c r="M260" i="10"/>
  <c r="H260" i="10"/>
  <c r="G260" i="10"/>
  <c r="B260" i="10"/>
  <c r="M259" i="10"/>
  <c r="H259" i="10"/>
  <c r="G259" i="10"/>
  <c r="B259" i="10"/>
  <c r="M258" i="10"/>
  <c r="H258" i="10"/>
  <c r="G258" i="10"/>
  <c r="B258" i="10"/>
  <c r="M257" i="10"/>
  <c r="H257" i="10"/>
  <c r="G257" i="10"/>
  <c r="B257" i="10"/>
  <c r="M256" i="10"/>
  <c r="H256" i="10"/>
  <c r="G256" i="10"/>
  <c r="B256" i="10"/>
  <c r="M255" i="10"/>
  <c r="H255" i="10"/>
  <c r="G255" i="10"/>
  <c r="B255" i="10"/>
  <c r="M254" i="10"/>
  <c r="H254" i="10"/>
  <c r="G254" i="10"/>
  <c r="B254" i="10"/>
  <c r="M253" i="10"/>
  <c r="H253" i="10"/>
  <c r="G253" i="10"/>
  <c r="B253" i="10"/>
  <c r="M252" i="10"/>
  <c r="H252" i="10"/>
  <c r="G252" i="10"/>
  <c r="B252" i="10"/>
  <c r="M251" i="10"/>
  <c r="H251" i="10"/>
  <c r="G251" i="10"/>
  <c r="B251" i="10"/>
  <c r="M250" i="10"/>
  <c r="H250" i="10"/>
  <c r="G250" i="10"/>
  <c r="B250" i="10"/>
  <c r="M249" i="10"/>
  <c r="H249" i="10"/>
  <c r="G249" i="10"/>
  <c r="B249" i="10"/>
  <c r="M248" i="10"/>
  <c r="H248" i="10"/>
  <c r="G248" i="10"/>
  <c r="B248" i="10"/>
  <c r="M247" i="10"/>
  <c r="H247" i="10"/>
  <c r="G247" i="10"/>
  <c r="B247" i="10"/>
  <c r="M246" i="10"/>
  <c r="H246" i="10"/>
  <c r="G246" i="10"/>
  <c r="B246" i="10"/>
  <c r="M245" i="10"/>
  <c r="H245" i="10"/>
  <c r="G245" i="10"/>
  <c r="B245" i="10"/>
  <c r="M244" i="10"/>
  <c r="H244" i="10"/>
  <c r="G244" i="10"/>
  <c r="B244" i="10"/>
  <c r="M243" i="10"/>
  <c r="H243" i="10"/>
  <c r="G243" i="10"/>
  <c r="B243" i="10"/>
  <c r="M242" i="10"/>
  <c r="H242" i="10"/>
  <c r="G242" i="10"/>
  <c r="B242" i="10"/>
  <c r="M241" i="10"/>
  <c r="H241" i="10"/>
  <c r="G241" i="10"/>
  <c r="B241" i="10"/>
  <c r="M240" i="10"/>
  <c r="H240" i="10"/>
  <c r="G240" i="10"/>
  <c r="B240" i="10"/>
  <c r="M239" i="10"/>
  <c r="H239" i="10"/>
  <c r="G239" i="10"/>
  <c r="B239" i="10"/>
  <c r="M238" i="10"/>
  <c r="H238" i="10"/>
  <c r="G238" i="10"/>
  <c r="B238" i="10"/>
  <c r="M237" i="10"/>
  <c r="H237" i="10"/>
  <c r="G237" i="10"/>
  <c r="B237" i="10"/>
  <c r="M236" i="10"/>
  <c r="H236" i="10"/>
  <c r="G236" i="10"/>
  <c r="B236" i="10"/>
  <c r="M235" i="10"/>
  <c r="H235" i="10"/>
  <c r="G235" i="10"/>
  <c r="B235" i="10"/>
  <c r="M234" i="10"/>
  <c r="H234" i="10"/>
  <c r="G234" i="10"/>
  <c r="B234" i="10"/>
  <c r="M233" i="10"/>
  <c r="H233" i="10"/>
  <c r="G233" i="10"/>
  <c r="B233" i="10"/>
  <c r="M232" i="10"/>
  <c r="H232" i="10"/>
  <c r="G232" i="10"/>
  <c r="B232" i="10"/>
  <c r="M231" i="10"/>
  <c r="H231" i="10"/>
  <c r="G231" i="10"/>
  <c r="B231" i="10"/>
  <c r="M230" i="10"/>
  <c r="H230" i="10"/>
  <c r="G230" i="10"/>
  <c r="B230" i="10"/>
  <c r="M229" i="10"/>
  <c r="H229" i="10"/>
  <c r="G229" i="10"/>
  <c r="B229" i="10"/>
  <c r="M228" i="10"/>
  <c r="H228" i="10"/>
  <c r="G228" i="10"/>
  <c r="B228" i="10"/>
  <c r="M227" i="10"/>
  <c r="H227" i="10"/>
  <c r="G227" i="10"/>
  <c r="B227" i="10"/>
  <c r="M226" i="10"/>
  <c r="H226" i="10"/>
  <c r="G226" i="10"/>
  <c r="B226" i="10"/>
  <c r="M225" i="10"/>
  <c r="H225" i="10"/>
  <c r="G225" i="10"/>
  <c r="B225" i="10"/>
  <c r="M224" i="10"/>
  <c r="H224" i="10"/>
  <c r="G224" i="10"/>
  <c r="B224" i="10"/>
  <c r="M223" i="10"/>
  <c r="H223" i="10"/>
  <c r="G223" i="10"/>
  <c r="B223" i="10"/>
  <c r="M222" i="10"/>
  <c r="H222" i="10"/>
  <c r="G222" i="10"/>
  <c r="B222" i="10"/>
  <c r="M221" i="10"/>
  <c r="H221" i="10"/>
  <c r="G221" i="10"/>
  <c r="B221" i="10"/>
  <c r="M220" i="10"/>
  <c r="H220" i="10"/>
  <c r="G220" i="10"/>
  <c r="B220" i="10"/>
  <c r="M219" i="10"/>
  <c r="H219" i="10"/>
  <c r="G219" i="10"/>
  <c r="B219" i="10"/>
  <c r="M218" i="10"/>
  <c r="H218" i="10"/>
  <c r="G218" i="10"/>
  <c r="B218" i="10"/>
  <c r="M217" i="10"/>
  <c r="H217" i="10"/>
  <c r="G217" i="10"/>
  <c r="B217" i="10"/>
  <c r="M216" i="10"/>
  <c r="H216" i="10"/>
  <c r="G216" i="10"/>
  <c r="B216" i="10"/>
  <c r="M215" i="10"/>
  <c r="H215" i="10"/>
  <c r="G215" i="10"/>
  <c r="B215" i="10"/>
  <c r="M209" i="10"/>
  <c r="H209" i="10"/>
  <c r="G209" i="10"/>
  <c r="F209" i="10"/>
  <c r="D209" i="10"/>
  <c r="C209" i="10"/>
  <c r="B209" i="10"/>
  <c r="M208" i="10"/>
  <c r="H208" i="10"/>
  <c r="G208" i="10"/>
  <c r="F208" i="10"/>
  <c r="D208" i="10"/>
  <c r="C208" i="10"/>
  <c r="B208" i="10"/>
  <c r="M207" i="10"/>
  <c r="H207" i="10"/>
  <c r="G207" i="10"/>
  <c r="F207" i="10"/>
  <c r="D207" i="10"/>
  <c r="C207" i="10"/>
  <c r="B207" i="10"/>
  <c r="M206" i="10"/>
  <c r="H206" i="10"/>
  <c r="G206" i="10"/>
  <c r="F206" i="10"/>
  <c r="D206" i="10"/>
  <c r="C206" i="10"/>
  <c r="B206" i="10"/>
  <c r="M205" i="10"/>
  <c r="H205" i="10"/>
  <c r="G205" i="10"/>
  <c r="F205" i="10"/>
  <c r="D205" i="10"/>
  <c r="C205" i="10"/>
  <c r="B205" i="10"/>
  <c r="M204" i="10"/>
  <c r="H204" i="10"/>
  <c r="G204" i="10"/>
  <c r="F204" i="10"/>
  <c r="D204" i="10"/>
  <c r="C204" i="10"/>
  <c r="B204" i="10"/>
  <c r="M203" i="10"/>
  <c r="H203" i="10"/>
  <c r="G203" i="10"/>
  <c r="F203" i="10"/>
  <c r="D203" i="10"/>
  <c r="C203" i="10"/>
  <c r="B203" i="10"/>
  <c r="M202" i="10"/>
  <c r="H202" i="10"/>
  <c r="G202" i="10"/>
  <c r="F202" i="10"/>
  <c r="D202" i="10"/>
  <c r="C202" i="10"/>
  <c r="B202" i="10"/>
  <c r="M201" i="10"/>
  <c r="H201" i="10"/>
  <c r="G201" i="10"/>
  <c r="F201" i="10"/>
  <c r="D201" i="10"/>
  <c r="C201" i="10"/>
  <c r="B201" i="10"/>
  <c r="M200" i="10"/>
  <c r="H200" i="10"/>
  <c r="G200" i="10"/>
  <c r="F200" i="10"/>
  <c r="D200" i="10"/>
  <c r="C200" i="10"/>
  <c r="B200" i="10"/>
  <c r="M199" i="10"/>
  <c r="H199" i="10"/>
  <c r="G199" i="10"/>
  <c r="F199" i="10"/>
  <c r="D199" i="10"/>
  <c r="C199" i="10"/>
  <c r="B199" i="10"/>
  <c r="M198" i="10"/>
  <c r="H198" i="10"/>
  <c r="G198" i="10"/>
  <c r="F198" i="10"/>
  <c r="D198" i="10"/>
  <c r="C198" i="10"/>
  <c r="B198" i="10"/>
  <c r="M197" i="10"/>
  <c r="H197" i="10"/>
  <c r="G197" i="10"/>
  <c r="F197" i="10"/>
  <c r="D197" i="10"/>
  <c r="C197" i="10"/>
  <c r="B197" i="10"/>
  <c r="M196" i="10"/>
  <c r="H196" i="10"/>
  <c r="G196" i="10"/>
  <c r="F196" i="10"/>
  <c r="D196" i="10"/>
  <c r="C196" i="10"/>
  <c r="B196" i="10"/>
  <c r="M195" i="10"/>
  <c r="H195" i="10"/>
  <c r="G195" i="10"/>
  <c r="F195" i="10"/>
  <c r="D195" i="10"/>
  <c r="C195" i="10"/>
  <c r="B195" i="10"/>
  <c r="M194" i="10"/>
  <c r="H194" i="10"/>
  <c r="G194" i="10"/>
  <c r="F194" i="10"/>
  <c r="D194" i="10"/>
  <c r="C194" i="10"/>
  <c r="B194" i="10"/>
  <c r="M193" i="10"/>
  <c r="H193" i="10"/>
  <c r="G193" i="10"/>
  <c r="F193" i="10"/>
  <c r="D193" i="10"/>
  <c r="C193" i="10"/>
  <c r="B193" i="10"/>
  <c r="M192" i="10"/>
  <c r="H192" i="10"/>
  <c r="G192" i="10"/>
  <c r="F192" i="10"/>
  <c r="D192" i="10"/>
  <c r="C192" i="10"/>
  <c r="B192" i="10"/>
  <c r="M191" i="10"/>
  <c r="H191" i="10"/>
  <c r="G191" i="10"/>
  <c r="F191" i="10"/>
  <c r="D191" i="10"/>
  <c r="C191" i="10"/>
  <c r="B191" i="10"/>
  <c r="M190" i="10"/>
  <c r="H190" i="10"/>
  <c r="G190" i="10"/>
  <c r="F190" i="10"/>
  <c r="D190" i="10"/>
  <c r="C190" i="10"/>
  <c r="B190" i="10"/>
  <c r="M189" i="10"/>
  <c r="H189" i="10"/>
  <c r="G189" i="10"/>
  <c r="F189" i="10"/>
  <c r="D189" i="10"/>
  <c r="C189" i="10"/>
  <c r="B189" i="10"/>
  <c r="M188" i="10"/>
  <c r="H188" i="10"/>
  <c r="G188" i="10"/>
  <c r="F188" i="10"/>
  <c r="D188" i="10"/>
  <c r="C188" i="10"/>
  <c r="B188" i="10"/>
  <c r="M187" i="10"/>
  <c r="H187" i="10"/>
  <c r="G187" i="10"/>
  <c r="F187" i="10"/>
  <c r="D187" i="10"/>
  <c r="C187" i="10"/>
  <c r="B187" i="10"/>
  <c r="M186" i="10"/>
  <c r="H186" i="10"/>
  <c r="G186" i="10"/>
  <c r="F186" i="10"/>
  <c r="D186" i="10"/>
  <c r="C186" i="10"/>
  <c r="B186" i="10"/>
  <c r="M185" i="10"/>
  <c r="H185" i="10"/>
  <c r="G185" i="10"/>
  <c r="F185" i="10"/>
  <c r="D185" i="10"/>
  <c r="C185" i="10"/>
  <c r="B185" i="10"/>
  <c r="M184" i="10"/>
  <c r="H184" i="10"/>
  <c r="G184" i="10"/>
  <c r="F184" i="10"/>
  <c r="D184" i="10"/>
  <c r="C184" i="10"/>
  <c r="B184" i="10"/>
  <c r="M183" i="10"/>
  <c r="H183" i="10"/>
  <c r="G183" i="10"/>
  <c r="F183" i="10"/>
  <c r="D183" i="10"/>
  <c r="C183" i="10"/>
  <c r="B183" i="10"/>
  <c r="M182" i="10"/>
  <c r="H182" i="10"/>
  <c r="G182" i="10"/>
  <c r="F182" i="10"/>
  <c r="D182" i="10"/>
  <c r="C182" i="10"/>
  <c r="B182" i="10"/>
  <c r="M181" i="10"/>
  <c r="H181" i="10"/>
  <c r="G181" i="10"/>
  <c r="F181" i="10"/>
  <c r="D181" i="10"/>
  <c r="C181" i="10"/>
  <c r="B181" i="10"/>
  <c r="M180" i="10"/>
  <c r="H180" i="10"/>
  <c r="G180" i="10"/>
  <c r="F180" i="10"/>
  <c r="D180" i="10"/>
  <c r="C180" i="10"/>
  <c r="O180" i="10" s="1"/>
  <c r="B180" i="10"/>
  <c r="M179" i="10"/>
  <c r="H179" i="10"/>
  <c r="G179" i="10"/>
  <c r="F179" i="10"/>
  <c r="D179" i="10"/>
  <c r="C179" i="10"/>
  <c r="B179" i="10"/>
  <c r="M178" i="10"/>
  <c r="H178" i="10"/>
  <c r="G178" i="10"/>
  <c r="F178" i="10"/>
  <c r="D178" i="10"/>
  <c r="C178" i="10"/>
  <c r="B178" i="10"/>
  <c r="M177" i="10"/>
  <c r="H177" i="10"/>
  <c r="G177" i="10"/>
  <c r="F177" i="10"/>
  <c r="D177" i="10"/>
  <c r="C177" i="10"/>
  <c r="B177" i="10"/>
  <c r="M176" i="10"/>
  <c r="H176" i="10"/>
  <c r="G176" i="10"/>
  <c r="F176" i="10"/>
  <c r="D176" i="10"/>
  <c r="C176" i="10"/>
  <c r="B176" i="10"/>
  <c r="M175" i="10"/>
  <c r="H175" i="10"/>
  <c r="G175" i="10"/>
  <c r="F175" i="10"/>
  <c r="D175" i="10"/>
  <c r="C175" i="10"/>
  <c r="B175" i="10"/>
  <c r="M174" i="10"/>
  <c r="H174" i="10"/>
  <c r="G174" i="10"/>
  <c r="F174" i="10"/>
  <c r="D174" i="10"/>
  <c r="C174" i="10"/>
  <c r="B174" i="10"/>
  <c r="M173" i="10"/>
  <c r="H173" i="10"/>
  <c r="G173" i="10"/>
  <c r="F173" i="10"/>
  <c r="D173" i="10"/>
  <c r="C173" i="10"/>
  <c r="B173" i="10"/>
  <c r="M172" i="10"/>
  <c r="H172" i="10"/>
  <c r="G172" i="10"/>
  <c r="F172" i="10"/>
  <c r="D172" i="10"/>
  <c r="C172" i="10"/>
  <c r="O172" i="10" s="1"/>
  <c r="B172" i="10"/>
  <c r="M171" i="10"/>
  <c r="H171" i="10"/>
  <c r="G171" i="10"/>
  <c r="F171" i="10"/>
  <c r="D171" i="10"/>
  <c r="C171" i="10"/>
  <c r="B171" i="10"/>
  <c r="M170" i="10"/>
  <c r="H170" i="10"/>
  <c r="G170" i="10"/>
  <c r="F170" i="10"/>
  <c r="D170" i="10"/>
  <c r="C170" i="10"/>
  <c r="B170" i="10"/>
  <c r="M169" i="10"/>
  <c r="H169" i="10"/>
  <c r="G169" i="10"/>
  <c r="F169" i="10"/>
  <c r="D169" i="10"/>
  <c r="C169" i="10"/>
  <c r="B169" i="10"/>
  <c r="M168" i="10"/>
  <c r="H168" i="10"/>
  <c r="G168" i="10"/>
  <c r="F168" i="10"/>
  <c r="D168" i="10"/>
  <c r="C168" i="10"/>
  <c r="B168" i="10"/>
  <c r="M167" i="10"/>
  <c r="H167" i="10"/>
  <c r="G167" i="10"/>
  <c r="F167" i="10"/>
  <c r="D167" i="10"/>
  <c r="C167" i="10"/>
  <c r="B167" i="10"/>
  <c r="M166" i="10"/>
  <c r="H166" i="10"/>
  <c r="G166" i="10"/>
  <c r="F166" i="10"/>
  <c r="D166" i="10"/>
  <c r="C166" i="10"/>
  <c r="B166" i="10"/>
  <c r="M165" i="10"/>
  <c r="H165" i="10"/>
  <c r="G165" i="10"/>
  <c r="F165" i="10"/>
  <c r="D165" i="10"/>
  <c r="C165" i="10"/>
  <c r="B165" i="10"/>
  <c r="M164" i="10"/>
  <c r="H164" i="10"/>
  <c r="G164" i="10"/>
  <c r="F164" i="10"/>
  <c r="D164" i="10"/>
  <c r="C164" i="10"/>
  <c r="O164" i="10" s="1"/>
  <c r="B164" i="10"/>
  <c r="M163" i="10"/>
  <c r="H163" i="10"/>
  <c r="G163" i="10"/>
  <c r="F163" i="10"/>
  <c r="D163" i="10"/>
  <c r="C163" i="10"/>
  <c r="B163" i="10"/>
  <c r="M162" i="10"/>
  <c r="H162" i="10"/>
  <c r="G162" i="10"/>
  <c r="F162" i="10"/>
  <c r="D162" i="10"/>
  <c r="C162" i="10"/>
  <c r="B162" i="10"/>
  <c r="M161" i="10"/>
  <c r="H161" i="10"/>
  <c r="G161" i="10"/>
  <c r="F161" i="10"/>
  <c r="D161" i="10"/>
  <c r="C161" i="10"/>
  <c r="B161" i="10"/>
  <c r="M160" i="10"/>
  <c r="H160" i="10"/>
  <c r="G160" i="10"/>
  <c r="F160" i="10"/>
  <c r="D160" i="10"/>
  <c r="C160" i="10"/>
  <c r="B160" i="10"/>
  <c r="M159" i="10"/>
  <c r="H159" i="10"/>
  <c r="G159" i="10"/>
  <c r="F159" i="10"/>
  <c r="D159" i="10"/>
  <c r="C159" i="10"/>
  <c r="B159" i="10"/>
  <c r="M158" i="10"/>
  <c r="H158" i="10"/>
  <c r="G158" i="10"/>
  <c r="F158" i="10"/>
  <c r="D158" i="10"/>
  <c r="C158" i="10"/>
  <c r="B158" i="10"/>
  <c r="M157" i="10"/>
  <c r="H157" i="10"/>
  <c r="G157" i="10"/>
  <c r="F157" i="10"/>
  <c r="D157" i="10"/>
  <c r="C157" i="10"/>
  <c r="B157" i="10"/>
  <c r="M156" i="10"/>
  <c r="H156" i="10"/>
  <c r="G156" i="10"/>
  <c r="F156" i="10"/>
  <c r="D156" i="10"/>
  <c r="C156" i="10"/>
  <c r="O156" i="10" s="1"/>
  <c r="B156" i="10"/>
  <c r="M155" i="10"/>
  <c r="H155" i="10"/>
  <c r="G155" i="10"/>
  <c r="F155" i="10"/>
  <c r="D155" i="10"/>
  <c r="C155" i="10"/>
  <c r="B155" i="10"/>
  <c r="M154" i="10"/>
  <c r="H154" i="10"/>
  <c r="G154" i="10"/>
  <c r="F154" i="10"/>
  <c r="D154" i="10"/>
  <c r="C154" i="10"/>
  <c r="B154" i="10"/>
  <c r="M153" i="10"/>
  <c r="H153" i="10"/>
  <c r="G153" i="10"/>
  <c r="F153" i="10"/>
  <c r="D153" i="10"/>
  <c r="C153" i="10"/>
  <c r="B153" i="10"/>
  <c r="M152" i="10"/>
  <c r="H152" i="10"/>
  <c r="G152" i="10"/>
  <c r="F152" i="10"/>
  <c r="D152" i="10"/>
  <c r="C152" i="10"/>
  <c r="B152" i="10"/>
  <c r="M151" i="10"/>
  <c r="H151" i="10"/>
  <c r="G151" i="10"/>
  <c r="F151" i="10"/>
  <c r="D151" i="10"/>
  <c r="C151" i="10"/>
  <c r="B151" i="10"/>
  <c r="M150" i="10"/>
  <c r="H150" i="10"/>
  <c r="G150" i="10"/>
  <c r="F150" i="10"/>
  <c r="D150" i="10"/>
  <c r="C150" i="10"/>
  <c r="B150" i="10"/>
  <c r="M149" i="10"/>
  <c r="H149" i="10"/>
  <c r="G149" i="10"/>
  <c r="F149" i="10"/>
  <c r="D149" i="10"/>
  <c r="C149" i="10"/>
  <c r="B149" i="10"/>
  <c r="M148" i="10"/>
  <c r="H148" i="10"/>
  <c r="G148" i="10"/>
  <c r="F148" i="10"/>
  <c r="D148" i="10"/>
  <c r="C148" i="10"/>
  <c r="O148" i="10" s="1"/>
  <c r="B148" i="10"/>
  <c r="M147" i="10"/>
  <c r="H147" i="10"/>
  <c r="G147" i="10"/>
  <c r="F147" i="10"/>
  <c r="D147" i="10"/>
  <c r="C147" i="10"/>
  <c r="B147" i="10"/>
  <c r="M146" i="10"/>
  <c r="H146" i="10"/>
  <c r="G146" i="10"/>
  <c r="F146" i="10"/>
  <c r="D146" i="10"/>
  <c r="C146" i="10"/>
  <c r="B146" i="10"/>
  <c r="M145" i="10"/>
  <c r="H145" i="10"/>
  <c r="G145" i="10"/>
  <c r="F145" i="10"/>
  <c r="D145" i="10"/>
  <c r="C145" i="10"/>
  <c r="B145" i="10"/>
  <c r="M144" i="10"/>
  <c r="H144" i="10"/>
  <c r="G144" i="10"/>
  <c r="F144" i="10"/>
  <c r="D144" i="10"/>
  <c r="C144" i="10"/>
  <c r="B144" i="10"/>
  <c r="M143" i="10"/>
  <c r="H143" i="10"/>
  <c r="G143" i="10"/>
  <c r="F143" i="10"/>
  <c r="D143" i="10"/>
  <c r="C143" i="10"/>
  <c r="B143" i="10"/>
  <c r="M142" i="10"/>
  <c r="H142" i="10"/>
  <c r="G142" i="10"/>
  <c r="F142" i="10"/>
  <c r="D142" i="10"/>
  <c r="C142" i="10"/>
  <c r="B142" i="10"/>
  <c r="M141" i="10"/>
  <c r="H141" i="10"/>
  <c r="G141" i="10"/>
  <c r="F141" i="10"/>
  <c r="D141" i="10"/>
  <c r="C141" i="10"/>
  <c r="B141" i="10"/>
  <c r="M140" i="10"/>
  <c r="H140" i="10"/>
  <c r="G140" i="10"/>
  <c r="F140" i="10"/>
  <c r="D140" i="10"/>
  <c r="C140" i="10"/>
  <c r="O140" i="10" s="1"/>
  <c r="B140" i="10"/>
  <c r="M139" i="10"/>
  <c r="H139" i="10"/>
  <c r="G139" i="10"/>
  <c r="F139" i="10"/>
  <c r="D139" i="10"/>
  <c r="C139" i="10"/>
  <c r="B139" i="10"/>
  <c r="M138" i="10"/>
  <c r="H138" i="10"/>
  <c r="G138" i="10"/>
  <c r="F138" i="10"/>
  <c r="D138" i="10"/>
  <c r="C138" i="10"/>
  <c r="B138" i="10"/>
  <c r="M137" i="10"/>
  <c r="H137" i="10"/>
  <c r="G137" i="10"/>
  <c r="F137" i="10"/>
  <c r="D137" i="10"/>
  <c r="C137" i="10"/>
  <c r="B137" i="10"/>
  <c r="M136" i="10"/>
  <c r="H136" i="10"/>
  <c r="G136" i="10"/>
  <c r="F136" i="10"/>
  <c r="D136" i="10"/>
  <c r="C136" i="10"/>
  <c r="B136" i="10"/>
  <c r="M135" i="10"/>
  <c r="H135" i="10"/>
  <c r="G135" i="10"/>
  <c r="F135" i="10"/>
  <c r="D135" i="10"/>
  <c r="C135" i="10"/>
  <c r="B135" i="10"/>
  <c r="M134" i="10"/>
  <c r="H134" i="10"/>
  <c r="G134" i="10"/>
  <c r="F134" i="10"/>
  <c r="D134" i="10"/>
  <c r="C134" i="10"/>
  <c r="B134" i="10"/>
  <c r="M133" i="10"/>
  <c r="H133" i="10"/>
  <c r="G133" i="10"/>
  <c r="F133" i="10"/>
  <c r="D133" i="10"/>
  <c r="C133" i="10"/>
  <c r="B133" i="10"/>
  <c r="M132" i="10"/>
  <c r="H132" i="10"/>
  <c r="G132" i="10"/>
  <c r="F132" i="10"/>
  <c r="D132" i="10"/>
  <c r="C132" i="10"/>
  <c r="O132" i="10" s="1"/>
  <c r="B132" i="10"/>
  <c r="M131" i="10"/>
  <c r="H131" i="10"/>
  <c r="G131" i="10"/>
  <c r="F131" i="10"/>
  <c r="D131" i="10"/>
  <c r="C131" i="10"/>
  <c r="B131" i="10"/>
  <c r="M130" i="10"/>
  <c r="H130" i="10"/>
  <c r="G130" i="10"/>
  <c r="F130" i="10"/>
  <c r="D130" i="10"/>
  <c r="C130" i="10"/>
  <c r="B130" i="10"/>
  <c r="M129" i="10"/>
  <c r="H129" i="10"/>
  <c r="G129" i="10"/>
  <c r="F129" i="10"/>
  <c r="D129" i="10"/>
  <c r="C129" i="10"/>
  <c r="B129" i="10"/>
  <c r="M128" i="10"/>
  <c r="H128" i="10"/>
  <c r="G128" i="10"/>
  <c r="F128" i="10"/>
  <c r="D128" i="10"/>
  <c r="C128" i="10"/>
  <c r="B128" i="10"/>
  <c r="M127" i="10"/>
  <c r="H127" i="10"/>
  <c r="G127" i="10"/>
  <c r="F127" i="10"/>
  <c r="D127" i="10"/>
  <c r="C127" i="10"/>
  <c r="B127" i="10"/>
  <c r="M126" i="10"/>
  <c r="H126" i="10"/>
  <c r="G126" i="10"/>
  <c r="F126" i="10"/>
  <c r="D126" i="10"/>
  <c r="C126" i="10"/>
  <c r="B126" i="10"/>
  <c r="M125" i="10"/>
  <c r="H125" i="10"/>
  <c r="G125" i="10"/>
  <c r="F125" i="10"/>
  <c r="D125" i="10"/>
  <c r="C125" i="10"/>
  <c r="B125" i="10"/>
  <c r="M124" i="10"/>
  <c r="H124" i="10"/>
  <c r="G124" i="10"/>
  <c r="F124" i="10"/>
  <c r="D124" i="10"/>
  <c r="C124" i="10"/>
  <c r="O124" i="10" s="1"/>
  <c r="B124" i="10"/>
  <c r="M123" i="10"/>
  <c r="H123" i="10"/>
  <c r="G123" i="10"/>
  <c r="F123" i="10"/>
  <c r="D123" i="10"/>
  <c r="C123" i="10"/>
  <c r="B123" i="10"/>
  <c r="M122" i="10"/>
  <c r="H122" i="10"/>
  <c r="G122" i="10"/>
  <c r="F122" i="10"/>
  <c r="D122" i="10"/>
  <c r="C122" i="10"/>
  <c r="B122" i="10"/>
  <c r="M121" i="10"/>
  <c r="H121" i="10"/>
  <c r="G121" i="10"/>
  <c r="F121" i="10"/>
  <c r="D121" i="10"/>
  <c r="C121" i="10"/>
  <c r="B121" i="10"/>
  <c r="M120" i="10"/>
  <c r="H120" i="10"/>
  <c r="G120" i="10"/>
  <c r="F120" i="10"/>
  <c r="D120" i="10"/>
  <c r="C120" i="10"/>
  <c r="B120" i="10"/>
  <c r="M119" i="10"/>
  <c r="H119" i="10"/>
  <c r="G119" i="10"/>
  <c r="F119" i="10"/>
  <c r="D119" i="10"/>
  <c r="C119" i="10"/>
  <c r="B119" i="10"/>
  <c r="M118" i="10"/>
  <c r="H118" i="10"/>
  <c r="G118" i="10"/>
  <c r="F118" i="10"/>
  <c r="D118" i="10"/>
  <c r="C118" i="10"/>
  <c r="B118" i="10"/>
  <c r="M117" i="10"/>
  <c r="H117" i="10"/>
  <c r="G117" i="10"/>
  <c r="F117" i="10"/>
  <c r="D117" i="10"/>
  <c r="C117" i="10"/>
  <c r="B117" i="10"/>
  <c r="M116" i="10"/>
  <c r="H116" i="10"/>
  <c r="G116" i="10"/>
  <c r="F116" i="10"/>
  <c r="D116" i="10"/>
  <c r="C116" i="10"/>
  <c r="O116" i="10" s="1"/>
  <c r="B116" i="10"/>
  <c r="M115" i="10"/>
  <c r="H115" i="10"/>
  <c r="G115" i="10"/>
  <c r="F115" i="10"/>
  <c r="D115" i="10"/>
  <c r="C115" i="10"/>
  <c r="B115" i="10"/>
  <c r="M114" i="10"/>
  <c r="H114" i="10"/>
  <c r="G114" i="10"/>
  <c r="F114" i="10"/>
  <c r="D114" i="10"/>
  <c r="C114" i="10"/>
  <c r="B114" i="10"/>
  <c r="M113" i="10"/>
  <c r="H113" i="10"/>
  <c r="G113" i="10"/>
  <c r="F113" i="10"/>
  <c r="D113" i="10"/>
  <c r="C113" i="10"/>
  <c r="B113" i="10"/>
  <c r="M112" i="10"/>
  <c r="H112" i="10"/>
  <c r="G112" i="10"/>
  <c r="F112" i="10"/>
  <c r="D112" i="10"/>
  <c r="C112" i="10"/>
  <c r="B112" i="10"/>
  <c r="M111" i="10"/>
  <c r="H111" i="10"/>
  <c r="G111" i="10"/>
  <c r="F111" i="10"/>
  <c r="D111" i="10"/>
  <c r="C111" i="10"/>
  <c r="B111" i="10"/>
  <c r="M110" i="10"/>
  <c r="H110" i="10"/>
  <c r="G110" i="10"/>
  <c r="F110" i="10"/>
  <c r="D110" i="10"/>
  <c r="C110" i="10"/>
  <c r="B110" i="10"/>
  <c r="O185" i="10" l="1"/>
  <c r="O193" i="10"/>
  <c r="O201" i="10"/>
  <c r="N417" i="10"/>
  <c r="O209" i="10"/>
  <c r="O184" i="10"/>
  <c r="O183" i="10"/>
  <c r="P183" i="10" s="1"/>
  <c r="O191" i="10"/>
  <c r="O199" i="10"/>
  <c r="N249" i="10"/>
  <c r="N409" i="10"/>
  <c r="N217" i="10"/>
  <c r="N338" i="10"/>
  <c r="O110" i="10"/>
  <c r="O118" i="10"/>
  <c r="O126" i="10"/>
  <c r="O134" i="10"/>
  <c r="O142" i="10"/>
  <c r="O158" i="10"/>
  <c r="O166" i="10"/>
  <c r="O174" i="10"/>
  <c r="O182" i="10"/>
  <c r="N329" i="10"/>
  <c r="N461" i="10"/>
  <c r="N127" i="10"/>
  <c r="N337" i="10"/>
  <c r="N387" i="10"/>
  <c r="N121" i="10"/>
  <c r="N242" i="10"/>
  <c r="N153" i="10"/>
  <c r="O207" i="10"/>
  <c r="N339" i="10"/>
  <c r="N348" i="10"/>
  <c r="N371" i="10"/>
  <c r="N330" i="10"/>
  <c r="N332" i="10"/>
  <c r="N345" i="10"/>
  <c r="N320" i="10"/>
  <c r="P320" i="10" s="1"/>
  <c r="N360" i="10"/>
  <c r="N362" i="10"/>
  <c r="N411" i="10"/>
  <c r="O112" i="10"/>
  <c r="O120" i="10"/>
  <c r="O128" i="10"/>
  <c r="O136" i="10"/>
  <c r="O144" i="10"/>
  <c r="O152" i="10"/>
  <c r="O160" i="10"/>
  <c r="O168" i="10"/>
  <c r="O176" i="10"/>
  <c r="N182" i="10"/>
  <c r="N183" i="10"/>
  <c r="N184" i="10"/>
  <c r="O187" i="10"/>
  <c r="O195" i="10"/>
  <c r="O203" i="10"/>
  <c r="N218" i="10"/>
  <c r="N271" i="10"/>
  <c r="N275" i="10"/>
  <c r="P275" i="10" s="1"/>
  <c r="N356" i="10"/>
  <c r="N400" i="10"/>
  <c r="O416" i="10"/>
  <c r="O408" i="10"/>
  <c r="O400" i="10"/>
  <c r="O392" i="10"/>
  <c r="O384" i="10"/>
  <c r="O376" i="10"/>
  <c r="O368" i="10"/>
  <c r="O360" i="10"/>
  <c r="O352" i="10"/>
  <c r="O344" i="10"/>
  <c r="O336" i="10"/>
  <c r="O328" i="10"/>
  <c r="N225" i="10"/>
  <c r="P225" i="10" s="1"/>
  <c r="N215" i="10"/>
  <c r="P215" i="10" s="1"/>
  <c r="N283" i="10"/>
  <c r="P283" i="10" s="1"/>
  <c r="N243" i="10"/>
  <c r="N235" i="10"/>
  <c r="N219" i="10"/>
  <c r="P219" i="10" s="1"/>
  <c r="N380" i="10"/>
  <c r="N439" i="10"/>
  <c r="N430" i="10"/>
  <c r="N138" i="10"/>
  <c r="N428" i="10"/>
  <c r="P428" i="10" s="1"/>
  <c r="N274" i="10"/>
  <c r="P274" i="10" s="1"/>
  <c r="N308" i="10"/>
  <c r="P308" i="10" s="1"/>
  <c r="N314" i="10"/>
  <c r="P314" i="10" s="1"/>
  <c r="N312" i="10"/>
  <c r="P312" i="10" s="1"/>
  <c r="N304" i="10"/>
  <c r="P304" i="10" s="1"/>
  <c r="N272" i="10"/>
  <c r="N216" i="10"/>
  <c r="N340" i="10"/>
  <c r="N366" i="10"/>
  <c r="N368" i="10"/>
  <c r="N226" i="10"/>
  <c r="P226" i="10" s="1"/>
  <c r="N236" i="10"/>
  <c r="P236" i="10" s="1"/>
  <c r="N280" i="10"/>
  <c r="N379" i="10"/>
  <c r="N170" i="10"/>
  <c r="N178" i="10"/>
  <c r="N234" i="10"/>
  <c r="N384" i="10"/>
  <c r="P384" i="10" s="1"/>
  <c r="O113" i="10"/>
  <c r="N124" i="10"/>
  <c r="O129" i="10"/>
  <c r="O137" i="10"/>
  <c r="O145" i="10"/>
  <c r="O153" i="10"/>
  <c r="O161" i="10"/>
  <c r="O169" i="10"/>
  <c r="N173" i="10"/>
  <c r="O188" i="10"/>
  <c r="O196" i="10"/>
  <c r="O204" i="10"/>
  <c r="N372" i="10"/>
  <c r="N489" i="10"/>
  <c r="P489" i="10" s="1"/>
  <c r="N162" i="10"/>
  <c r="N172" i="10"/>
  <c r="P172" i="10" s="1"/>
  <c r="N197" i="10"/>
  <c r="N288" i="10"/>
  <c r="P288" i="10" s="1"/>
  <c r="N325" i="10"/>
  <c r="N344" i="10"/>
  <c r="N357" i="10"/>
  <c r="N389" i="10"/>
  <c r="N402" i="10"/>
  <c r="N436" i="10"/>
  <c r="P436" i="10" s="1"/>
  <c r="O415" i="10"/>
  <c r="O407" i="10"/>
  <c r="O399" i="10"/>
  <c r="O391" i="10"/>
  <c r="O383" i="10"/>
  <c r="O375" i="10"/>
  <c r="O367" i="10"/>
  <c r="O359" i="10"/>
  <c r="O351" i="10"/>
  <c r="O343" i="10"/>
  <c r="O335" i="10"/>
  <c r="O327" i="10"/>
  <c r="O121" i="10"/>
  <c r="P121" i="10" s="1"/>
  <c r="O111" i="10"/>
  <c r="O119" i="10"/>
  <c r="O127" i="10"/>
  <c r="O135" i="10"/>
  <c r="O143" i="10"/>
  <c r="O151" i="10"/>
  <c r="O159" i="10"/>
  <c r="O167" i="10"/>
  <c r="N171" i="10"/>
  <c r="O175" i="10"/>
  <c r="N179" i="10"/>
  <c r="O186" i="10"/>
  <c r="O194" i="10"/>
  <c r="O202" i="10"/>
  <c r="N227" i="10"/>
  <c r="P227" i="10" s="1"/>
  <c r="N248" i="10"/>
  <c r="P248" i="10" s="1"/>
  <c r="N276" i="10"/>
  <c r="P276" i="10" s="1"/>
  <c r="N307" i="10"/>
  <c r="N289" i="10"/>
  <c r="P289" i="10" s="1"/>
  <c r="N281" i="10"/>
  <c r="P281" i="10" s="1"/>
  <c r="N273" i="10"/>
  <c r="N322" i="10"/>
  <c r="N334" i="10"/>
  <c r="N369" i="10"/>
  <c r="N404" i="10"/>
  <c r="N435" i="10"/>
  <c r="N483" i="10"/>
  <c r="P483" i="10" s="1"/>
  <c r="N493" i="10"/>
  <c r="P493" i="10" s="1"/>
  <c r="N513" i="10"/>
  <c r="N521" i="10"/>
  <c r="P521" i="10" s="1"/>
  <c r="O414" i="10"/>
  <c r="O406" i="10"/>
  <c r="O398" i="10"/>
  <c r="P398" i="10" s="1"/>
  <c r="O390" i="10"/>
  <c r="O382" i="10"/>
  <c r="O374" i="10"/>
  <c r="O366" i="10"/>
  <c r="O358" i="10"/>
  <c r="O350" i="10"/>
  <c r="O342" i="10"/>
  <c r="O334" i="10"/>
  <c r="P334" i="10" s="1"/>
  <c r="O326" i="10"/>
  <c r="N267" i="10"/>
  <c r="P267" i="10" s="1"/>
  <c r="N349" i="10"/>
  <c r="N397" i="10"/>
  <c r="N418" i="10"/>
  <c r="O413" i="10"/>
  <c r="O405" i="10"/>
  <c r="O397" i="10"/>
  <c r="O389" i="10"/>
  <c r="O381" i="10"/>
  <c r="O373" i="10"/>
  <c r="O365" i="10"/>
  <c r="O357" i="10"/>
  <c r="O349" i="10"/>
  <c r="O341" i="10"/>
  <c r="O333" i="10"/>
  <c r="O325" i="10"/>
  <c r="P325" i="10" s="1"/>
  <c r="O177" i="10"/>
  <c r="P177" i="10" s="1"/>
  <c r="O150" i="10"/>
  <c r="O117" i="10"/>
  <c r="O125" i="10"/>
  <c r="O133" i="10"/>
  <c r="O141" i="10"/>
  <c r="N144" i="10"/>
  <c r="O149" i="10"/>
  <c r="O157" i="10"/>
  <c r="O165" i="10"/>
  <c r="O173" i="10"/>
  <c r="N177" i="10"/>
  <c r="O181" i="10"/>
  <c r="O192" i="10"/>
  <c r="O200" i="10"/>
  <c r="N202" i="10"/>
  <c r="O208" i="10"/>
  <c r="P208" i="10" s="1"/>
  <c r="N324" i="10"/>
  <c r="N331" i="10"/>
  <c r="N336" i="10"/>
  <c r="P336" i="10" s="1"/>
  <c r="N341" i="10"/>
  <c r="N361" i="10"/>
  <c r="N388" i="10"/>
  <c r="N401" i="10"/>
  <c r="N426" i="10"/>
  <c r="P426" i="10" s="1"/>
  <c r="N453" i="10"/>
  <c r="P453" i="10" s="1"/>
  <c r="N462" i="10"/>
  <c r="P462" i="10" s="1"/>
  <c r="N470" i="10"/>
  <c r="P470" i="10" s="1"/>
  <c r="O320" i="10"/>
  <c r="O412" i="10"/>
  <c r="O404" i="10"/>
  <c r="O396" i="10"/>
  <c r="O388" i="10"/>
  <c r="P388" i="10" s="1"/>
  <c r="O380" i="10"/>
  <c r="O372" i="10"/>
  <c r="O364" i="10"/>
  <c r="O356" i="10"/>
  <c r="O348" i="10"/>
  <c r="P348" i="10" s="1"/>
  <c r="O340" i="10"/>
  <c r="O332" i="10"/>
  <c r="O324" i="10"/>
  <c r="N176" i="10"/>
  <c r="N201" i="10"/>
  <c r="N209" i="10"/>
  <c r="N310" i="10"/>
  <c r="P310" i="10" s="1"/>
  <c r="N286" i="10"/>
  <c r="N246" i="10"/>
  <c r="P246" i="10" s="1"/>
  <c r="N392" i="10"/>
  <c r="N394" i="10"/>
  <c r="N464" i="10"/>
  <c r="P464" i="10" s="1"/>
  <c r="N473" i="10"/>
  <c r="P473" i="10" s="1"/>
  <c r="N503" i="10"/>
  <c r="P503" i="10" s="1"/>
  <c r="O419" i="10"/>
  <c r="P419" i="10" s="1"/>
  <c r="O411" i="10"/>
  <c r="O403" i="10"/>
  <c r="O395" i="10"/>
  <c r="O387" i="10"/>
  <c r="P387" i="10" s="1"/>
  <c r="O379" i="10"/>
  <c r="O371" i="10"/>
  <c r="P371" i="10" s="1"/>
  <c r="O363" i="10"/>
  <c r="O355" i="10"/>
  <c r="O347" i="10"/>
  <c r="O339" i="10"/>
  <c r="P339" i="10" s="1"/>
  <c r="O331" i="10"/>
  <c r="O323" i="10"/>
  <c r="O115" i="10"/>
  <c r="O123" i="10"/>
  <c r="O131" i="10"/>
  <c r="N134" i="10"/>
  <c r="O139" i="10"/>
  <c r="O147" i="10"/>
  <c r="N150" i="10"/>
  <c r="O155" i="10"/>
  <c r="O163" i="10"/>
  <c r="O171" i="10"/>
  <c r="N175" i="10"/>
  <c r="O179" i="10"/>
  <c r="O190" i="10"/>
  <c r="O198" i="10"/>
  <c r="N200" i="10"/>
  <c r="O206" i="10"/>
  <c r="N264" i="10"/>
  <c r="P264" i="10" s="1"/>
  <c r="N309" i="10"/>
  <c r="N328" i="10"/>
  <c r="N370" i="10"/>
  <c r="N377" i="10"/>
  <c r="N378" i="10"/>
  <c r="P378" i="10" s="1"/>
  <c r="N399" i="10"/>
  <c r="P399" i="10" s="1"/>
  <c r="N359" i="10"/>
  <c r="P359" i="10" s="1"/>
  <c r="N425" i="10"/>
  <c r="P425" i="10" s="1"/>
  <c r="O418" i="10"/>
  <c r="O410" i="10"/>
  <c r="O402" i="10"/>
  <c r="O394" i="10"/>
  <c r="O386" i="10"/>
  <c r="O378" i="10"/>
  <c r="O370" i="10"/>
  <c r="O362" i="10"/>
  <c r="O354" i="10"/>
  <c r="O346" i="10"/>
  <c r="O338" i="10"/>
  <c r="P338" i="10" s="1"/>
  <c r="O330" i="10"/>
  <c r="O322" i="10"/>
  <c r="O114" i="10"/>
  <c r="O122" i="10"/>
  <c r="O130" i="10"/>
  <c r="P130" i="10" s="1"/>
  <c r="O138" i="10"/>
  <c r="O146" i="10"/>
  <c r="O154" i="10"/>
  <c r="O162" i="10"/>
  <c r="O170" i="10"/>
  <c r="N174" i="10"/>
  <c r="P174" i="10" s="1"/>
  <c r="O178" i="10"/>
  <c r="O189" i="10"/>
  <c r="O197" i="10"/>
  <c r="O205" i="10"/>
  <c r="N268" i="10"/>
  <c r="P268" i="10" s="1"/>
  <c r="N284" i="10"/>
  <c r="P284" i="10" s="1"/>
  <c r="N396" i="10"/>
  <c r="N412" i="10"/>
  <c r="N350" i="10"/>
  <c r="N440" i="10"/>
  <c r="P440" i="10" s="1"/>
  <c r="N463" i="10"/>
  <c r="P463" i="10" s="1"/>
  <c r="N490" i="10"/>
  <c r="P490" i="10" s="1"/>
  <c r="O417" i="10"/>
  <c r="O409" i="10"/>
  <c r="P409" i="10" s="1"/>
  <c r="O401" i="10"/>
  <c r="O393" i="10"/>
  <c r="O385" i="10"/>
  <c r="O377" i="10"/>
  <c r="P377" i="10" s="1"/>
  <c r="O369" i="10"/>
  <c r="O361" i="10"/>
  <c r="O353" i="10"/>
  <c r="O345" i="10"/>
  <c r="O337" i="10"/>
  <c r="O329" i="10"/>
  <c r="O321" i="10"/>
  <c r="N114" i="10"/>
  <c r="P114" i="10" s="1"/>
  <c r="N123" i="10"/>
  <c r="N152" i="10"/>
  <c r="N410" i="10"/>
  <c r="N431" i="10"/>
  <c r="P431" i="10" s="1"/>
  <c r="N113" i="10"/>
  <c r="N122" i="10"/>
  <c r="N133" i="10"/>
  <c r="P133" i="10" s="1"/>
  <c r="N158" i="10"/>
  <c r="N167" i="10"/>
  <c r="N168" i="10"/>
  <c r="N166" i="10"/>
  <c r="P166" i="10" s="1"/>
  <c r="N313" i="10"/>
  <c r="P313" i="10" s="1"/>
  <c r="N305" i="10"/>
  <c r="P305" i="10" s="1"/>
  <c r="N443" i="10"/>
  <c r="P443" i="10" s="1"/>
  <c r="N112" i="10"/>
  <c r="N139" i="10"/>
  <c r="N120" i="10"/>
  <c r="N130" i="10"/>
  <c r="N132" i="10"/>
  <c r="P132" i="10" s="1"/>
  <c r="N156" i="10"/>
  <c r="P156" i="10" s="1"/>
  <c r="N165" i="10"/>
  <c r="N240" i="10"/>
  <c r="N110" i="10"/>
  <c r="N164" i="10"/>
  <c r="P164" i="10" s="1"/>
  <c r="N126" i="10"/>
  <c r="N163" i="10"/>
  <c r="N205" i="10"/>
  <c r="P205" i="10" s="1"/>
  <c r="N302" i="10"/>
  <c r="P302" i="10" s="1"/>
  <c r="N270" i="10"/>
  <c r="P270" i="10" s="1"/>
  <c r="N238" i="10"/>
  <c r="P238" i="10" s="1"/>
  <c r="P124" i="10"/>
  <c r="N135" i="10"/>
  <c r="N136" i="10"/>
  <c r="N140" i="10"/>
  <c r="P140" i="10" s="1"/>
  <c r="N125" i="10"/>
  <c r="N161" i="10"/>
  <c r="P161" i="10" s="1"/>
  <c r="N358" i="10"/>
  <c r="N301" i="10"/>
  <c r="P301" i="10" s="1"/>
  <c r="N237" i="10"/>
  <c r="P237" i="10" s="1"/>
  <c r="N374" i="10"/>
  <c r="N381" i="10"/>
  <c r="N398" i="10"/>
  <c r="N390" i="10"/>
  <c r="N382" i="10"/>
  <c r="N437" i="10"/>
  <c r="P437" i="10" s="1"/>
  <c r="N438" i="10"/>
  <c r="P438" i="10" s="1"/>
  <c r="P439" i="10"/>
  <c r="N441" i="10"/>
  <c r="P441" i="10" s="1"/>
  <c r="N442" i="10"/>
  <c r="P442" i="10" s="1"/>
  <c r="N454" i="10"/>
  <c r="P454" i="10" s="1"/>
  <c r="N456" i="10"/>
  <c r="P456" i="10" s="1"/>
  <c r="N459" i="10"/>
  <c r="P459" i="10" s="1"/>
  <c r="N465" i="10"/>
  <c r="P465" i="10" s="1"/>
  <c r="N471" i="10"/>
  <c r="P471" i="10" s="1"/>
  <c r="N472" i="10"/>
  <c r="P472" i="10" s="1"/>
  <c r="N499" i="10"/>
  <c r="P499" i="10" s="1"/>
  <c r="N501" i="10"/>
  <c r="P501" i="10" s="1"/>
  <c r="N509" i="10"/>
  <c r="P509" i="10" s="1"/>
  <c r="N510" i="10"/>
  <c r="P510" i="10" s="1"/>
  <c r="N520" i="10"/>
  <c r="P520" i="10" s="1"/>
  <c r="N522" i="10"/>
  <c r="P522" i="10" s="1"/>
  <c r="N523" i="10"/>
  <c r="P523" i="10" s="1"/>
  <c r="N481" i="10"/>
  <c r="P481" i="10" s="1"/>
  <c r="N160" i="10"/>
  <c r="N208" i="10"/>
  <c r="N447" i="10"/>
  <c r="P447" i="10" s="1"/>
  <c r="N448" i="10"/>
  <c r="P448" i="10" s="1"/>
  <c r="N451" i="10"/>
  <c r="P451" i="10" s="1"/>
  <c r="N457" i="10"/>
  <c r="P457" i="10" s="1"/>
  <c r="N469" i="10"/>
  <c r="P469" i="10" s="1"/>
  <c r="N482" i="10"/>
  <c r="P482" i="10" s="1"/>
  <c r="N502" i="10"/>
  <c r="P502" i="10" s="1"/>
  <c r="N169" i="10"/>
  <c r="N206" i="10"/>
  <c r="N207" i="10"/>
  <c r="N232" i="10"/>
  <c r="P232" i="10" s="1"/>
  <c r="N306" i="10"/>
  <c r="P306" i="10" s="1"/>
  <c r="N321" i="10"/>
  <c r="P321" i="10" s="1"/>
  <c r="N355" i="10"/>
  <c r="N386" i="10"/>
  <c r="N434" i="10"/>
  <c r="P434" i="10" s="1"/>
  <c r="N445" i="10"/>
  <c r="P445" i="10" s="1"/>
  <c r="N479" i="10"/>
  <c r="P479" i="10" s="1"/>
  <c r="N480" i="10"/>
  <c r="P480" i="10" s="1"/>
  <c r="N491" i="10"/>
  <c r="P491" i="10" s="1"/>
  <c r="N496" i="10"/>
  <c r="P496" i="10" s="1"/>
  <c r="N500" i="10"/>
  <c r="P500" i="10" s="1"/>
  <c r="N517" i="10"/>
  <c r="P517" i="10" s="1"/>
  <c r="N519" i="10"/>
  <c r="N196" i="10"/>
  <c r="N204" i="10"/>
  <c r="P204" i="10" s="1"/>
  <c r="N241" i="10"/>
  <c r="P241" i="10" s="1"/>
  <c r="N354" i="10"/>
  <c r="N385" i="10"/>
  <c r="P385" i="10" s="1"/>
  <c r="N395" i="10"/>
  <c r="N405" i="10"/>
  <c r="N429" i="10"/>
  <c r="P429" i="10" s="1"/>
  <c r="P430" i="10"/>
  <c r="N433" i="10"/>
  <c r="P433" i="10" s="1"/>
  <c r="N444" i="10"/>
  <c r="P444" i="10" s="1"/>
  <c r="N449" i="10"/>
  <c r="P449" i="10" s="1"/>
  <c r="N450" i="10"/>
  <c r="P450" i="10" s="1"/>
  <c r="N452" i="10"/>
  <c r="P452" i="10" s="1"/>
  <c r="N492" i="10"/>
  <c r="P492" i="10" s="1"/>
  <c r="N511" i="10"/>
  <c r="P511" i="10" s="1"/>
  <c r="N512" i="10"/>
  <c r="P512" i="10" s="1"/>
  <c r="N203" i="10"/>
  <c r="P203" i="10" s="1"/>
  <c r="N311" i="10"/>
  <c r="P311" i="10" s="1"/>
  <c r="N263" i="10"/>
  <c r="P263" i="10" s="1"/>
  <c r="N247" i="10"/>
  <c r="P247" i="10" s="1"/>
  <c r="N347" i="10"/>
  <c r="N427" i="10"/>
  <c r="P427" i="10" s="1"/>
  <c r="N432" i="10"/>
  <c r="P432" i="10" s="1"/>
  <c r="N455" i="10"/>
  <c r="P455" i="10" s="1"/>
  <c r="N460" i="10"/>
  <c r="P460" i="10" s="1"/>
  <c r="N507" i="10"/>
  <c r="P507" i="10" s="1"/>
  <c r="P272" i="10"/>
  <c r="P435" i="10"/>
  <c r="N484" i="10"/>
  <c r="P484" i="10" s="1"/>
  <c r="N458" i="10"/>
  <c r="P458" i="10" s="1"/>
  <c r="N467" i="10"/>
  <c r="P467" i="10" s="1"/>
  <c r="N488" i="10"/>
  <c r="P488" i="10" s="1"/>
  <c r="N497" i="10"/>
  <c r="P497" i="10" s="1"/>
  <c r="N516" i="10"/>
  <c r="P516" i="10" s="1"/>
  <c r="N474" i="10"/>
  <c r="P474" i="10" s="1"/>
  <c r="P461" i="10"/>
  <c r="N468" i="10"/>
  <c r="P468" i="10" s="1"/>
  <c r="N524" i="10"/>
  <c r="P524" i="10" s="1"/>
  <c r="N475" i="10"/>
  <c r="P475" i="10" s="1"/>
  <c r="N485" i="10"/>
  <c r="P485" i="10" s="1"/>
  <c r="N518" i="10"/>
  <c r="P518" i="10" s="1"/>
  <c r="N498" i="10"/>
  <c r="P498" i="10" s="1"/>
  <c r="N446" i="10"/>
  <c r="P446" i="10" s="1"/>
  <c r="N494" i="10"/>
  <c r="P494" i="10" s="1"/>
  <c r="P513" i="10"/>
  <c r="N466" i="10"/>
  <c r="P466" i="10" s="1"/>
  <c r="N476" i="10"/>
  <c r="P476" i="10" s="1"/>
  <c r="N486" i="10"/>
  <c r="P486" i="10" s="1"/>
  <c r="N495" i="10"/>
  <c r="P495" i="10" s="1"/>
  <c r="N504" i="10"/>
  <c r="P504" i="10" s="1"/>
  <c r="N478" i="10"/>
  <c r="P478" i="10" s="1"/>
  <c r="N508" i="10"/>
  <c r="P508" i="10" s="1"/>
  <c r="N505" i="10"/>
  <c r="P505" i="10" s="1"/>
  <c r="N514" i="10"/>
  <c r="P514" i="10" s="1"/>
  <c r="P519" i="10"/>
  <c r="N477" i="10"/>
  <c r="P477" i="10" s="1"/>
  <c r="N487" i="10"/>
  <c r="P487" i="10" s="1"/>
  <c r="N506" i="10"/>
  <c r="P506" i="10" s="1"/>
  <c r="N515" i="10"/>
  <c r="P515" i="10" s="1"/>
  <c r="N408" i="10"/>
  <c r="N376" i="10"/>
  <c r="N416" i="10"/>
  <c r="N335" i="10"/>
  <c r="P335" i="10" s="1"/>
  <c r="N342" i="10"/>
  <c r="P342" i="10" s="1"/>
  <c r="N375" i="10"/>
  <c r="N406" i="10"/>
  <c r="N367" i="10"/>
  <c r="N407" i="10"/>
  <c r="P417" i="10"/>
  <c r="N326" i="10"/>
  <c r="N415" i="10"/>
  <c r="N391" i="10"/>
  <c r="N414" i="10"/>
  <c r="P341" i="10"/>
  <c r="N413" i="10"/>
  <c r="N327" i="10"/>
  <c r="N353" i="10"/>
  <c r="P353" i="10" s="1"/>
  <c r="N364" i="10"/>
  <c r="P364" i="10" s="1"/>
  <c r="N393" i="10"/>
  <c r="N373" i="10"/>
  <c r="N323" i="10"/>
  <c r="N333" i="10"/>
  <c r="P333" i="10" s="1"/>
  <c r="N343" i="10"/>
  <c r="P376" i="10"/>
  <c r="N351" i="10"/>
  <c r="N352" i="10"/>
  <c r="N365" i="10"/>
  <c r="P365" i="10" s="1"/>
  <c r="N403" i="10"/>
  <c r="P403" i="10" s="1"/>
  <c r="N363" i="10"/>
  <c r="P405" i="10"/>
  <c r="N346" i="10"/>
  <c r="N383" i="10"/>
  <c r="P412" i="10"/>
  <c r="N282" i="10"/>
  <c r="P282" i="10" s="1"/>
  <c r="N228" i="10"/>
  <c r="P228" i="10" s="1"/>
  <c r="N229" i="10"/>
  <c r="P229" i="10" s="1"/>
  <c r="P243" i="10"/>
  <c r="N244" i="10"/>
  <c r="P244" i="10" s="1"/>
  <c r="N245" i="10"/>
  <c r="P245" i="10" s="1"/>
  <c r="P307" i="10"/>
  <c r="P217" i="10"/>
  <c r="N230" i="10"/>
  <c r="P230" i="10" s="1"/>
  <c r="P235" i="10"/>
  <c r="P240" i="10"/>
  <c r="N285" i="10"/>
  <c r="P285" i="10" s="1"/>
  <c r="N287" i="10"/>
  <c r="P287" i="10" s="1"/>
  <c r="P216" i="10"/>
  <c r="P249" i="10"/>
  <c r="N277" i="10"/>
  <c r="P277" i="10" s="1"/>
  <c r="N278" i="10"/>
  <c r="P278" i="10" s="1"/>
  <c r="N279" i="10"/>
  <c r="P279" i="10" s="1"/>
  <c r="P218" i="10"/>
  <c r="N239" i="10"/>
  <c r="P239" i="10" s="1"/>
  <c r="P280" i="10"/>
  <c r="P286" i="10"/>
  <c r="N231" i="10"/>
  <c r="P231" i="10" s="1"/>
  <c r="P234" i="10"/>
  <c r="P242" i="10"/>
  <c r="N220" i="10"/>
  <c r="P220" i="10" s="1"/>
  <c r="N221" i="10"/>
  <c r="P221" i="10" s="1"/>
  <c r="N222" i="10"/>
  <c r="P222" i="10" s="1"/>
  <c r="N223" i="10"/>
  <c r="P223" i="10" s="1"/>
  <c r="N224" i="10"/>
  <c r="P224" i="10" s="1"/>
  <c r="N262" i="10"/>
  <c r="P262" i="10" s="1"/>
  <c r="N266" i="10"/>
  <c r="P266" i="10" s="1"/>
  <c r="P271" i="10"/>
  <c r="P309" i="10"/>
  <c r="N260" i="10"/>
  <c r="P260" i="10" s="1"/>
  <c r="P273" i="10"/>
  <c r="N300" i="10"/>
  <c r="P300" i="10" s="1"/>
  <c r="N233" i="10"/>
  <c r="P233" i="10" s="1"/>
  <c r="N261" i="10"/>
  <c r="P261" i="10" s="1"/>
  <c r="N265" i="10"/>
  <c r="P265" i="10" s="1"/>
  <c r="N269" i="10"/>
  <c r="P269" i="10" s="1"/>
  <c r="N303" i="10"/>
  <c r="P303" i="10" s="1"/>
  <c r="N250" i="10"/>
  <c r="P250" i="10" s="1"/>
  <c r="N251" i="10"/>
  <c r="P251" i="10" s="1"/>
  <c r="N252" i="10"/>
  <c r="P252" i="10" s="1"/>
  <c r="N253" i="10"/>
  <c r="P253" i="10" s="1"/>
  <c r="N254" i="10"/>
  <c r="P254" i="10" s="1"/>
  <c r="N290" i="10"/>
  <c r="P290" i="10" s="1"/>
  <c r="N291" i="10"/>
  <c r="P291" i="10" s="1"/>
  <c r="N292" i="10"/>
  <c r="P292" i="10" s="1"/>
  <c r="N293" i="10"/>
  <c r="P293" i="10" s="1"/>
  <c r="N294" i="10"/>
  <c r="P294" i="10" s="1"/>
  <c r="N255" i="10"/>
  <c r="P255" i="10" s="1"/>
  <c r="N256" i="10"/>
  <c r="P256" i="10" s="1"/>
  <c r="N257" i="10"/>
  <c r="P257" i="10" s="1"/>
  <c r="N258" i="10"/>
  <c r="P258" i="10" s="1"/>
  <c r="N259" i="10"/>
  <c r="P259" i="10" s="1"/>
  <c r="N295" i="10"/>
  <c r="P295" i="10" s="1"/>
  <c r="N296" i="10"/>
  <c r="P296" i="10" s="1"/>
  <c r="N297" i="10"/>
  <c r="P297" i="10" s="1"/>
  <c r="N298" i="10"/>
  <c r="P298" i="10" s="1"/>
  <c r="N299" i="10"/>
  <c r="P299" i="10" s="1"/>
  <c r="N128" i="10"/>
  <c r="P128" i="10" s="1"/>
  <c r="N154" i="10"/>
  <c r="P154" i="10" s="1"/>
  <c r="N199" i="10"/>
  <c r="P209" i="10"/>
  <c r="N111" i="10"/>
  <c r="N131" i="10"/>
  <c r="N137" i="10"/>
  <c r="P137" i="10" s="1"/>
  <c r="N141" i="10"/>
  <c r="P141" i="10" s="1"/>
  <c r="N143" i="10"/>
  <c r="P143" i="10" s="1"/>
  <c r="N155" i="10"/>
  <c r="N115" i="10"/>
  <c r="N116" i="10"/>
  <c r="P116" i="10" s="1"/>
  <c r="N117" i="10"/>
  <c r="N118" i="10"/>
  <c r="N119" i="10"/>
  <c r="N159" i="10"/>
  <c r="N195" i="10"/>
  <c r="N142" i="10"/>
  <c r="P142" i="10" s="1"/>
  <c r="N129" i="10"/>
  <c r="N151" i="10"/>
  <c r="N157" i="10"/>
  <c r="N198" i="10"/>
  <c r="P198" i="10" s="1"/>
  <c r="P200" i="10"/>
  <c r="N180" i="10"/>
  <c r="P180" i="10" s="1"/>
  <c r="N181" i="10"/>
  <c r="N145" i="10"/>
  <c r="P145" i="10" s="1"/>
  <c r="N146" i="10"/>
  <c r="P146" i="10" s="1"/>
  <c r="N147" i="10"/>
  <c r="N148" i="10"/>
  <c r="P148" i="10" s="1"/>
  <c r="N149" i="10"/>
  <c r="N185" i="10"/>
  <c r="P185" i="10" s="1"/>
  <c r="N186" i="10"/>
  <c r="N187" i="10"/>
  <c r="N188" i="10"/>
  <c r="N189" i="10"/>
  <c r="N190" i="10"/>
  <c r="N191" i="10"/>
  <c r="P191" i="10" s="1"/>
  <c r="N192" i="10"/>
  <c r="N193" i="10"/>
  <c r="P193" i="10" s="1"/>
  <c r="N194" i="10"/>
  <c r="P194" i="10" s="1"/>
  <c r="C101" i="10"/>
  <c r="O101" i="10" s="1"/>
  <c r="C102" i="10"/>
  <c r="O102" i="10" s="1"/>
  <c r="C103" i="10"/>
  <c r="O103" i="10" s="1"/>
  <c r="C104" i="10"/>
  <c r="O104" i="10" s="1"/>
  <c r="C45" i="10"/>
  <c r="O45" i="10" s="1"/>
  <c r="C46" i="10"/>
  <c r="O46" i="10" s="1"/>
  <c r="C47" i="10"/>
  <c r="O47" i="10" s="1"/>
  <c r="C48" i="10"/>
  <c r="O48" i="10" s="1"/>
  <c r="C49" i="10"/>
  <c r="O49" i="10" s="1"/>
  <c r="C50" i="10"/>
  <c r="O50" i="10" s="1"/>
  <c r="C51" i="10"/>
  <c r="O51" i="10" s="1"/>
  <c r="C52" i="10"/>
  <c r="O52" i="10" s="1"/>
  <c r="C53" i="10"/>
  <c r="O53" i="10" s="1"/>
  <c r="C54" i="10"/>
  <c r="O54" i="10" s="1"/>
  <c r="C55" i="10"/>
  <c r="O55" i="10" s="1"/>
  <c r="C56" i="10"/>
  <c r="O56" i="10" s="1"/>
  <c r="C57" i="10"/>
  <c r="O57" i="10" s="1"/>
  <c r="C58" i="10"/>
  <c r="O58" i="10" s="1"/>
  <c r="C59" i="10"/>
  <c r="O59" i="10" s="1"/>
  <c r="C60" i="10"/>
  <c r="O60" i="10" s="1"/>
  <c r="C61" i="10"/>
  <c r="O61" i="10" s="1"/>
  <c r="C62" i="10"/>
  <c r="O62" i="10" s="1"/>
  <c r="C63" i="10"/>
  <c r="O63" i="10" s="1"/>
  <c r="C64" i="10"/>
  <c r="O64" i="10" s="1"/>
  <c r="C65" i="10"/>
  <c r="O65" i="10" s="1"/>
  <c r="C66" i="10"/>
  <c r="O66" i="10" s="1"/>
  <c r="C67" i="10"/>
  <c r="O67" i="10" s="1"/>
  <c r="C68" i="10"/>
  <c r="O68" i="10" s="1"/>
  <c r="C69" i="10"/>
  <c r="O69" i="10" s="1"/>
  <c r="C70" i="10"/>
  <c r="O70" i="10" s="1"/>
  <c r="C71" i="10"/>
  <c r="O71" i="10" s="1"/>
  <c r="C72" i="10"/>
  <c r="O72" i="10" s="1"/>
  <c r="C73" i="10"/>
  <c r="O73" i="10" s="1"/>
  <c r="C74" i="10"/>
  <c r="O74" i="10" s="1"/>
  <c r="C75" i="10"/>
  <c r="O75" i="10" s="1"/>
  <c r="C76" i="10"/>
  <c r="O76" i="10" s="1"/>
  <c r="C77" i="10"/>
  <c r="O77" i="10" s="1"/>
  <c r="C78" i="10"/>
  <c r="O78" i="10" s="1"/>
  <c r="C79" i="10"/>
  <c r="O79" i="10" s="1"/>
  <c r="C80" i="10"/>
  <c r="O80" i="10" s="1"/>
  <c r="C81" i="10"/>
  <c r="O81" i="10" s="1"/>
  <c r="C82" i="10"/>
  <c r="O82" i="10" s="1"/>
  <c r="C83" i="10"/>
  <c r="O83" i="10" s="1"/>
  <c r="C84" i="10"/>
  <c r="O84" i="10" s="1"/>
  <c r="C85" i="10"/>
  <c r="O85" i="10" s="1"/>
  <c r="C86" i="10"/>
  <c r="O86" i="10" s="1"/>
  <c r="C87" i="10"/>
  <c r="O87" i="10" s="1"/>
  <c r="C88" i="10"/>
  <c r="O88" i="10" s="1"/>
  <c r="C89" i="10"/>
  <c r="O89" i="10" s="1"/>
  <c r="C90" i="10"/>
  <c r="O90" i="10" s="1"/>
  <c r="C91" i="10"/>
  <c r="O91" i="10" s="1"/>
  <c r="C92" i="10"/>
  <c r="O92" i="10" s="1"/>
  <c r="C93" i="10"/>
  <c r="O93" i="10" s="1"/>
  <c r="C94" i="10"/>
  <c r="O94" i="10" s="1"/>
  <c r="C95" i="10"/>
  <c r="O95" i="10" s="1"/>
  <c r="C96" i="10"/>
  <c r="O96" i="10" s="1"/>
  <c r="C97" i="10"/>
  <c r="O97" i="10" s="1"/>
  <c r="C98" i="10"/>
  <c r="O98" i="10" s="1"/>
  <c r="C99" i="10"/>
  <c r="O99" i="10" s="1"/>
  <c r="C100" i="10"/>
  <c r="O100" i="10" s="1"/>
  <c r="C44" i="10"/>
  <c r="O44" i="10" s="1"/>
  <c r="C35" i="10"/>
  <c r="O35" i="10" s="1"/>
  <c r="C36" i="10"/>
  <c r="O36" i="10" s="1"/>
  <c r="C37" i="10"/>
  <c r="O37" i="10" s="1"/>
  <c r="C38" i="10"/>
  <c r="O38" i="10" s="1"/>
  <c r="C39" i="10"/>
  <c r="O39" i="10" s="1"/>
  <c r="C40" i="10"/>
  <c r="O40" i="10" s="1"/>
  <c r="C41" i="10"/>
  <c r="O41" i="10" s="1"/>
  <c r="C42" i="10"/>
  <c r="O42" i="10" s="1"/>
  <c r="C43" i="10"/>
  <c r="O43" i="10" s="1"/>
  <c r="C34" i="10"/>
  <c r="O34" i="10" s="1"/>
  <c r="C25" i="10"/>
  <c r="O25" i="10" s="1"/>
  <c r="C26" i="10"/>
  <c r="O26" i="10" s="1"/>
  <c r="C27" i="10"/>
  <c r="O27" i="10" s="1"/>
  <c r="C28" i="10"/>
  <c r="O28" i="10" s="1"/>
  <c r="C29" i="10"/>
  <c r="O29" i="10" s="1"/>
  <c r="C30" i="10"/>
  <c r="O30" i="10" s="1"/>
  <c r="C31" i="10"/>
  <c r="O31" i="10" s="1"/>
  <c r="C32" i="10"/>
  <c r="O32" i="10" s="1"/>
  <c r="C33" i="10"/>
  <c r="O33" i="10" s="1"/>
  <c r="C24" i="10"/>
  <c r="O24" i="10" s="1"/>
  <c r="C15" i="10"/>
  <c r="O15" i="10" s="1"/>
  <c r="C16" i="10"/>
  <c r="O16" i="10" s="1"/>
  <c r="C17" i="10"/>
  <c r="O17" i="10" s="1"/>
  <c r="C18" i="10"/>
  <c r="O18" i="10" s="1"/>
  <c r="C19" i="10"/>
  <c r="O19" i="10" s="1"/>
  <c r="C20" i="10"/>
  <c r="O20" i="10" s="1"/>
  <c r="C21" i="10"/>
  <c r="O21" i="10" s="1"/>
  <c r="C22" i="10"/>
  <c r="O22" i="10" s="1"/>
  <c r="C23" i="10"/>
  <c r="O23" i="10" s="1"/>
  <c r="C14" i="10"/>
  <c r="O14" i="10" s="1"/>
  <c r="C5" i="10"/>
  <c r="O5" i="10" s="1"/>
  <c r="C5" i="7"/>
  <c r="C6" i="10"/>
  <c r="O6" i="10" s="1"/>
  <c r="C7" i="10"/>
  <c r="O7" i="10" s="1"/>
  <c r="C8" i="10"/>
  <c r="O8" i="10" s="1"/>
  <c r="C9" i="10"/>
  <c r="O9" i="10" s="1"/>
  <c r="C10" i="10"/>
  <c r="O10" i="10" s="1"/>
  <c r="C11" i="10"/>
  <c r="O11" i="10" s="1"/>
  <c r="C12" i="10"/>
  <c r="O12" i="10" s="1"/>
  <c r="C13" i="10"/>
  <c r="O13" i="10" s="1"/>
  <c r="L104" i="10"/>
  <c r="M104" i="10"/>
  <c r="H104" i="10"/>
  <c r="G104" i="10"/>
  <c r="F104" i="10"/>
  <c r="B104" i="10"/>
  <c r="L103" i="10"/>
  <c r="M103" i="10"/>
  <c r="H103" i="10"/>
  <c r="G103" i="10"/>
  <c r="F103" i="10"/>
  <c r="B103" i="10"/>
  <c r="L102" i="10"/>
  <c r="M102" i="10"/>
  <c r="H102" i="10"/>
  <c r="G102" i="10"/>
  <c r="F102" i="10"/>
  <c r="B102" i="10"/>
  <c r="L101" i="10"/>
  <c r="M101" i="10"/>
  <c r="H101" i="10"/>
  <c r="G101" i="10"/>
  <c r="F101" i="10"/>
  <c r="B101" i="10"/>
  <c r="L100" i="10"/>
  <c r="M100" i="10"/>
  <c r="H100" i="10"/>
  <c r="G100" i="10"/>
  <c r="F100" i="10"/>
  <c r="B100" i="10"/>
  <c r="L99" i="10"/>
  <c r="M99" i="10"/>
  <c r="H99" i="10"/>
  <c r="G99" i="10"/>
  <c r="F99" i="10"/>
  <c r="B99" i="10"/>
  <c r="L98" i="10"/>
  <c r="M98" i="10"/>
  <c r="H98" i="10"/>
  <c r="G98" i="10"/>
  <c r="F98" i="10"/>
  <c r="B98" i="10"/>
  <c r="L97" i="10"/>
  <c r="M97" i="10"/>
  <c r="H97" i="10"/>
  <c r="G97" i="10"/>
  <c r="F97" i="10"/>
  <c r="B97" i="10"/>
  <c r="L96" i="10"/>
  <c r="M96" i="10"/>
  <c r="H96" i="10"/>
  <c r="G96" i="10"/>
  <c r="F96" i="10"/>
  <c r="B96" i="10"/>
  <c r="L95" i="10"/>
  <c r="M95" i="10"/>
  <c r="H95" i="10"/>
  <c r="G95" i="10"/>
  <c r="F95" i="10"/>
  <c r="B95" i="10"/>
  <c r="L94" i="10"/>
  <c r="M94" i="10"/>
  <c r="H94" i="10"/>
  <c r="G94" i="10"/>
  <c r="F94" i="10"/>
  <c r="B94" i="10"/>
  <c r="L93" i="10"/>
  <c r="M93" i="10"/>
  <c r="H93" i="10"/>
  <c r="G93" i="10"/>
  <c r="F93" i="10"/>
  <c r="B93" i="10"/>
  <c r="L92" i="10"/>
  <c r="M92" i="10"/>
  <c r="H92" i="10"/>
  <c r="G92" i="10"/>
  <c r="F92" i="10"/>
  <c r="B92" i="10"/>
  <c r="L91" i="10"/>
  <c r="M91" i="10"/>
  <c r="H91" i="10"/>
  <c r="G91" i="10"/>
  <c r="F91" i="10"/>
  <c r="B91" i="10"/>
  <c r="L90" i="10"/>
  <c r="M90" i="10"/>
  <c r="H90" i="10"/>
  <c r="G90" i="10"/>
  <c r="F90" i="10"/>
  <c r="B90" i="10"/>
  <c r="L89" i="10"/>
  <c r="M89" i="10"/>
  <c r="H89" i="10"/>
  <c r="G89" i="10"/>
  <c r="F89" i="10"/>
  <c r="B89" i="10"/>
  <c r="L88" i="10"/>
  <c r="M88" i="10"/>
  <c r="H88" i="10"/>
  <c r="G88" i="10"/>
  <c r="F88" i="10"/>
  <c r="B88" i="10"/>
  <c r="L87" i="10"/>
  <c r="M87" i="10"/>
  <c r="H87" i="10"/>
  <c r="G87" i="10"/>
  <c r="F87" i="10"/>
  <c r="B87" i="10"/>
  <c r="L86" i="10"/>
  <c r="M86" i="10"/>
  <c r="H86" i="10"/>
  <c r="G86" i="10"/>
  <c r="F86" i="10"/>
  <c r="B86" i="10"/>
  <c r="L85" i="10"/>
  <c r="M85" i="10"/>
  <c r="H85" i="10"/>
  <c r="G85" i="10"/>
  <c r="F85" i="10"/>
  <c r="B85" i="10"/>
  <c r="L84" i="10"/>
  <c r="M84" i="10"/>
  <c r="H84" i="10"/>
  <c r="G84" i="10"/>
  <c r="F84" i="10"/>
  <c r="B84" i="10"/>
  <c r="L83" i="10"/>
  <c r="M83" i="10"/>
  <c r="H83" i="10"/>
  <c r="G83" i="10"/>
  <c r="F83" i="10"/>
  <c r="B83" i="10"/>
  <c r="L82" i="10"/>
  <c r="M82" i="10"/>
  <c r="H82" i="10"/>
  <c r="G82" i="10"/>
  <c r="F82" i="10"/>
  <c r="B82" i="10"/>
  <c r="L81" i="10"/>
  <c r="M81" i="10"/>
  <c r="H81" i="10"/>
  <c r="G81" i="10"/>
  <c r="F81" i="10"/>
  <c r="B81" i="10"/>
  <c r="L80" i="10"/>
  <c r="M80" i="10"/>
  <c r="H80" i="10"/>
  <c r="G80" i="10"/>
  <c r="F80" i="10"/>
  <c r="B80" i="10"/>
  <c r="L79" i="10"/>
  <c r="M79" i="10"/>
  <c r="H79" i="10"/>
  <c r="G79" i="10"/>
  <c r="F79" i="10"/>
  <c r="B79" i="10"/>
  <c r="L78" i="10"/>
  <c r="M78" i="10"/>
  <c r="H78" i="10"/>
  <c r="G78" i="10"/>
  <c r="F78" i="10"/>
  <c r="B78" i="10"/>
  <c r="L77" i="10"/>
  <c r="M77" i="10"/>
  <c r="H77" i="10"/>
  <c r="G77" i="10"/>
  <c r="F77" i="10"/>
  <c r="B77" i="10"/>
  <c r="L76" i="10"/>
  <c r="M76" i="10"/>
  <c r="H76" i="10"/>
  <c r="G76" i="10"/>
  <c r="F76" i="10"/>
  <c r="B76" i="10"/>
  <c r="L75" i="10"/>
  <c r="M75" i="10"/>
  <c r="H75" i="10"/>
  <c r="G75" i="10"/>
  <c r="F75" i="10"/>
  <c r="B75" i="10"/>
  <c r="L74" i="10"/>
  <c r="M74" i="10"/>
  <c r="H74" i="10"/>
  <c r="G74" i="10"/>
  <c r="F74" i="10"/>
  <c r="B74" i="10"/>
  <c r="L73" i="10"/>
  <c r="M73" i="10"/>
  <c r="H73" i="10"/>
  <c r="G73" i="10"/>
  <c r="F73" i="10"/>
  <c r="B73" i="10"/>
  <c r="L72" i="10"/>
  <c r="M72" i="10"/>
  <c r="H72" i="10"/>
  <c r="G72" i="10"/>
  <c r="F72" i="10"/>
  <c r="B72" i="10"/>
  <c r="L71" i="10"/>
  <c r="M71" i="10"/>
  <c r="H71" i="10"/>
  <c r="G71" i="10"/>
  <c r="F71" i="10"/>
  <c r="B71" i="10"/>
  <c r="L70" i="10"/>
  <c r="M70" i="10"/>
  <c r="H70" i="10"/>
  <c r="G70" i="10"/>
  <c r="F70" i="10"/>
  <c r="B70" i="10"/>
  <c r="L69" i="10"/>
  <c r="M69" i="10"/>
  <c r="H69" i="10"/>
  <c r="G69" i="10"/>
  <c r="F69" i="10"/>
  <c r="B69" i="10"/>
  <c r="L68" i="10"/>
  <c r="M68" i="10"/>
  <c r="H68" i="10"/>
  <c r="G68" i="10"/>
  <c r="F68" i="10"/>
  <c r="B68" i="10"/>
  <c r="L67" i="10"/>
  <c r="M67" i="10"/>
  <c r="H67" i="10"/>
  <c r="G67" i="10"/>
  <c r="F67" i="10"/>
  <c r="B67" i="10"/>
  <c r="L66" i="10"/>
  <c r="M66" i="10"/>
  <c r="H66" i="10"/>
  <c r="G66" i="10"/>
  <c r="F66" i="10"/>
  <c r="B66" i="10"/>
  <c r="L65" i="10"/>
  <c r="M65" i="10"/>
  <c r="H65" i="10"/>
  <c r="G65" i="10"/>
  <c r="F65" i="10"/>
  <c r="B65" i="10"/>
  <c r="L64" i="10"/>
  <c r="M64" i="10"/>
  <c r="H64" i="10"/>
  <c r="G64" i="10"/>
  <c r="F64" i="10"/>
  <c r="B64" i="10"/>
  <c r="L63" i="10"/>
  <c r="M63" i="10"/>
  <c r="H63" i="10"/>
  <c r="G63" i="10"/>
  <c r="F63" i="10"/>
  <c r="B63" i="10"/>
  <c r="L62" i="10"/>
  <c r="M62" i="10"/>
  <c r="H62" i="10"/>
  <c r="G62" i="10"/>
  <c r="F62" i="10"/>
  <c r="B62" i="10"/>
  <c r="L61" i="10"/>
  <c r="M61" i="10"/>
  <c r="H61" i="10"/>
  <c r="G61" i="10"/>
  <c r="F61" i="10"/>
  <c r="B61" i="10"/>
  <c r="L60" i="10"/>
  <c r="M60" i="10"/>
  <c r="H60" i="10"/>
  <c r="G60" i="10"/>
  <c r="F60" i="10"/>
  <c r="B60" i="10"/>
  <c r="L59" i="10"/>
  <c r="M59" i="10"/>
  <c r="H59" i="10"/>
  <c r="G59" i="10"/>
  <c r="F59" i="10"/>
  <c r="B59" i="10"/>
  <c r="L58" i="10"/>
  <c r="M58" i="10"/>
  <c r="H58" i="10"/>
  <c r="G58" i="10"/>
  <c r="F58" i="10"/>
  <c r="B58" i="10"/>
  <c r="L57" i="10"/>
  <c r="M57" i="10"/>
  <c r="H57" i="10"/>
  <c r="G57" i="10"/>
  <c r="F57" i="10"/>
  <c r="B57" i="10"/>
  <c r="L56" i="10"/>
  <c r="M56" i="10"/>
  <c r="H56" i="10"/>
  <c r="G56" i="10"/>
  <c r="F56" i="10"/>
  <c r="B56" i="10"/>
  <c r="L55" i="10"/>
  <c r="M55" i="10"/>
  <c r="H55" i="10"/>
  <c r="G55" i="10"/>
  <c r="F55" i="10"/>
  <c r="B55" i="10"/>
  <c r="L54" i="10"/>
  <c r="M54" i="10"/>
  <c r="H54" i="10"/>
  <c r="G54" i="10"/>
  <c r="F54" i="10"/>
  <c r="B54" i="10"/>
  <c r="L53" i="10"/>
  <c r="M53" i="10"/>
  <c r="H53" i="10"/>
  <c r="G53" i="10"/>
  <c r="F53" i="10"/>
  <c r="B53" i="10"/>
  <c r="L52" i="10"/>
  <c r="M52" i="10"/>
  <c r="H52" i="10"/>
  <c r="G52" i="10"/>
  <c r="F52" i="10"/>
  <c r="B52" i="10"/>
  <c r="L51" i="10"/>
  <c r="M51" i="10"/>
  <c r="H51" i="10"/>
  <c r="G51" i="10"/>
  <c r="F51" i="10"/>
  <c r="B51" i="10"/>
  <c r="L50" i="10"/>
  <c r="M50" i="10"/>
  <c r="H50" i="10"/>
  <c r="G50" i="10"/>
  <c r="F50" i="10"/>
  <c r="B50" i="10"/>
  <c r="L49" i="10"/>
  <c r="M49" i="10"/>
  <c r="H49" i="10"/>
  <c r="G49" i="10"/>
  <c r="F49" i="10"/>
  <c r="B49" i="10"/>
  <c r="L48" i="10"/>
  <c r="M48" i="10"/>
  <c r="H48" i="10"/>
  <c r="G48" i="10"/>
  <c r="F48" i="10"/>
  <c r="B48" i="10"/>
  <c r="L47" i="10"/>
  <c r="M47" i="10"/>
  <c r="H47" i="10"/>
  <c r="G47" i="10"/>
  <c r="F47" i="10"/>
  <c r="B47" i="10"/>
  <c r="L46" i="10"/>
  <c r="M46" i="10"/>
  <c r="H46" i="10"/>
  <c r="G46" i="10"/>
  <c r="F46" i="10"/>
  <c r="B46" i="10"/>
  <c r="L45" i="10"/>
  <c r="M45" i="10"/>
  <c r="H45" i="10"/>
  <c r="G45" i="10"/>
  <c r="F45" i="10"/>
  <c r="B45" i="10"/>
  <c r="L44" i="10"/>
  <c r="M44" i="10"/>
  <c r="H44" i="10"/>
  <c r="G44" i="10"/>
  <c r="F44" i="10"/>
  <c r="B44" i="10"/>
  <c r="L43" i="10"/>
  <c r="M43" i="10"/>
  <c r="H43" i="10"/>
  <c r="G43" i="10"/>
  <c r="F43" i="10"/>
  <c r="B43" i="10"/>
  <c r="L42" i="10"/>
  <c r="M42" i="10"/>
  <c r="H42" i="10"/>
  <c r="G42" i="10"/>
  <c r="F42" i="10"/>
  <c r="B42" i="10"/>
  <c r="L41" i="10"/>
  <c r="M41" i="10"/>
  <c r="H41" i="10"/>
  <c r="G41" i="10"/>
  <c r="F41" i="10"/>
  <c r="B41" i="10"/>
  <c r="L40" i="10"/>
  <c r="M40" i="10"/>
  <c r="H40" i="10"/>
  <c r="G40" i="10"/>
  <c r="F40" i="10"/>
  <c r="B40" i="10"/>
  <c r="L39" i="10"/>
  <c r="M39" i="10"/>
  <c r="H39" i="10"/>
  <c r="G39" i="10"/>
  <c r="F39" i="10"/>
  <c r="B39" i="10"/>
  <c r="L38" i="10"/>
  <c r="M38" i="10"/>
  <c r="H38" i="10"/>
  <c r="G38" i="10"/>
  <c r="F38" i="10"/>
  <c r="B38" i="10"/>
  <c r="L37" i="10"/>
  <c r="M37" i="10"/>
  <c r="H37" i="10"/>
  <c r="G37" i="10"/>
  <c r="F37" i="10"/>
  <c r="B37" i="10"/>
  <c r="L36" i="10"/>
  <c r="M36" i="10"/>
  <c r="H36" i="10"/>
  <c r="G36" i="10"/>
  <c r="F36" i="10"/>
  <c r="B36" i="10"/>
  <c r="L35" i="10"/>
  <c r="M35" i="10"/>
  <c r="H35" i="10"/>
  <c r="G35" i="10"/>
  <c r="F35" i="10"/>
  <c r="B35" i="10"/>
  <c r="L34" i="10"/>
  <c r="M34" i="10"/>
  <c r="H34" i="10"/>
  <c r="G34" i="10"/>
  <c r="F34" i="10"/>
  <c r="B34" i="10"/>
  <c r="L33" i="10"/>
  <c r="M33" i="10"/>
  <c r="H33" i="10"/>
  <c r="G33" i="10"/>
  <c r="F33" i="10"/>
  <c r="B33" i="10"/>
  <c r="L32" i="10"/>
  <c r="M32" i="10"/>
  <c r="H32" i="10"/>
  <c r="G32" i="10"/>
  <c r="F32" i="10"/>
  <c r="B32" i="10"/>
  <c r="L31" i="10"/>
  <c r="M31" i="10"/>
  <c r="H31" i="10"/>
  <c r="G31" i="10"/>
  <c r="F31" i="10"/>
  <c r="B31" i="10"/>
  <c r="L30" i="10"/>
  <c r="M30" i="10"/>
  <c r="H30" i="10"/>
  <c r="G30" i="10"/>
  <c r="F30" i="10"/>
  <c r="B30" i="10"/>
  <c r="L29" i="10"/>
  <c r="M29" i="10"/>
  <c r="H29" i="10"/>
  <c r="G29" i="10"/>
  <c r="F29" i="10"/>
  <c r="B29" i="10"/>
  <c r="L28" i="10"/>
  <c r="M28" i="10"/>
  <c r="H28" i="10"/>
  <c r="G28" i="10"/>
  <c r="F28" i="10"/>
  <c r="B28" i="10"/>
  <c r="L27" i="10"/>
  <c r="M27" i="10"/>
  <c r="H27" i="10"/>
  <c r="G27" i="10"/>
  <c r="F27" i="10"/>
  <c r="B27" i="10"/>
  <c r="L26" i="10"/>
  <c r="M26" i="10"/>
  <c r="H26" i="10"/>
  <c r="G26" i="10"/>
  <c r="F26" i="10"/>
  <c r="B26" i="10"/>
  <c r="L25" i="10"/>
  <c r="M25" i="10"/>
  <c r="H25" i="10"/>
  <c r="G25" i="10"/>
  <c r="F25" i="10"/>
  <c r="B25" i="10"/>
  <c r="L24" i="10"/>
  <c r="M24" i="10"/>
  <c r="H24" i="10"/>
  <c r="G24" i="10"/>
  <c r="F24" i="10"/>
  <c r="B24" i="10"/>
  <c r="L23" i="10"/>
  <c r="M23" i="10"/>
  <c r="H23" i="10"/>
  <c r="G23" i="10"/>
  <c r="F23" i="10"/>
  <c r="B23" i="10"/>
  <c r="L22" i="10"/>
  <c r="M22" i="10"/>
  <c r="H22" i="10"/>
  <c r="G22" i="10"/>
  <c r="F22" i="10"/>
  <c r="B22" i="10"/>
  <c r="L21" i="10"/>
  <c r="M21" i="10"/>
  <c r="H21" i="10"/>
  <c r="G21" i="10"/>
  <c r="F21" i="10"/>
  <c r="B21" i="10"/>
  <c r="L20" i="10"/>
  <c r="M20" i="10"/>
  <c r="H20" i="10"/>
  <c r="G20" i="10"/>
  <c r="F20" i="10"/>
  <c r="B20" i="10"/>
  <c r="L19" i="10"/>
  <c r="M19" i="10"/>
  <c r="H19" i="10"/>
  <c r="G19" i="10"/>
  <c r="F19" i="10"/>
  <c r="B19" i="10"/>
  <c r="L18" i="10"/>
  <c r="M18" i="10"/>
  <c r="H18" i="10"/>
  <c r="G18" i="10"/>
  <c r="F18" i="10"/>
  <c r="B18" i="10"/>
  <c r="L17" i="10"/>
  <c r="M17" i="10"/>
  <c r="H17" i="10"/>
  <c r="G17" i="10"/>
  <c r="F17" i="10"/>
  <c r="B17" i="10"/>
  <c r="L16" i="10"/>
  <c r="M16" i="10"/>
  <c r="H16" i="10"/>
  <c r="G16" i="10"/>
  <c r="F16" i="10"/>
  <c r="B16" i="10"/>
  <c r="L15" i="10"/>
  <c r="M15" i="10"/>
  <c r="H15" i="10"/>
  <c r="G15" i="10"/>
  <c r="F15" i="10"/>
  <c r="B15" i="10"/>
  <c r="L14" i="10"/>
  <c r="M14" i="10"/>
  <c r="H14" i="10"/>
  <c r="G14" i="10"/>
  <c r="F14" i="10"/>
  <c r="B14" i="10"/>
  <c r="L13" i="10"/>
  <c r="M13" i="10"/>
  <c r="H13" i="10"/>
  <c r="G13" i="10"/>
  <c r="F13" i="10"/>
  <c r="B13" i="10"/>
  <c r="L12" i="10"/>
  <c r="M12" i="10"/>
  <c r="H12" i="10"/>
  <c r="G12" i="10"/>
  <c r="F12" i="10"/>
  <c r="B12" i="10"/>
  <c r="L11" i="10"/>
  <c r="M11" i="10"/>
  <c r="H11" i="10"/>
  <c r="G11" i="10"/>
  <c r="F11" i="10"/>
  <c r="B11" i="10"/>
  <c r="L10" i="10"/>
  <c r="M10" i="10"/>
  <c r="H10" i="10"/>
  <c r="G10" i="10"/>
  <c r="F10" i="10"/>
  <c r="B10" i="10"/>
  <c r="L9" i="10"/>
  <c r="M9" i="10"/>
  <c r="H9" i="10"/>
  <c r="G9" i="10"/>
  <c r="F9" i="10"/>
  <c r="B9" i="10"/>
  <c r="L8" i="10"/>
  <c r="M8" i="10"/>
  <c r="H8" i="10"/>
  <c r="G8" i="10"/>
  <c r="F8" i="10"/>
  <c r="B8" i="10"/>
  <c r="L7" i="10"/>
  <c r="M7" i="10"/>
  <c r="H7" i="10"/>
  <c r="G7" i="10"/>
  <c r="F7" i="10"/>
  <c r="B7" i="10"/>
  <c r="L6" i="10"/>
  <c r="M6" i="10"/>
  <c r="H6" i="10"/>
  <c r="G6" i="10"/>
  <c r="F6" i="10"/>
  <c r="B6" i="10"/>
  <c r="L5" i="10"/>
  <c r="M5" i="10"/>
  <c r="H5" i="10"/>
  <c r="G5" i="10"/>
  <c r="F5" i="10"/>
  <c r="B5" i="10"/>
  <c r="P186" i="10" l="1"/>
  <c r="P369" i="10"/>
  <c r="P138" i="10"/>
  <c r="P171" i="10"/>
  <c r="P201" i="10"/>
  <c r="P122" i="10"/>
  <c r="P389" i="10"/>
  <c r="P323" i="10"/>
  <c r="P144" i="10"/>
  <c r="P153" i="10"/>
  <c r="P147" i="10"/>
  <c r="P157" i="10"/>
  <c r="P406" i="10"/>
  <c r="P169" i="10"/>
  <c r="P195" i="10"/>
  <c r="P408" i="10"/>
  <c r="P197" i="10"/>
  <c r="P173" i="10"/>
  <c r="P415" i="10"/>
  <c r="P329" i="10"/>
  <c r="P402" i="10"/>
  <c r="P360" i="10"/>
  <c r="P118" i="10"/>
  <c r="P401" i="10"/>
  <c r="P189" i="10"/>
  <c r="P115" i="10"/>
  <c r="P374" i="10"/>
  <c r="P362" i="10"/>
  <c r="P136" i="10"/>
  <c r="P126" i="10"/>
  <c r="P370" i="10"/>
  <c r="P372" i="10"/>
  <c r="P349" i="10"/>
  <c r="P134" i="10"/>
  <c r="P176" i="10"/>
  <c r="P127" i="10"/>
  <c r="P152" i="10"/>
  <c r="P411" i="10"/>
  <c r="P182" i="10"/>
  <c r="P416" i="10"/>
  <c r="P337" i="10"/>
  <c r="P178" i="10"/>
  <c r="P352" i="10"/>
  <c r="P367" i="10"/>
  <c r="P207" i="10"/>
  <c r="P346" i="10"/>
  <c r="P347" i="10"/>
  <c r="P382" i="10"/>
  <c r="P202" i="10"/>
  <c r="P184" i="10"/>
  <c r="P119" i="10"/>
  <c r="P199" i="10"/>
  <c r="P373" i="10"/>
  <c r="P167" i="10"/>
  <c r="P330" i="10"/>
  <c r="P380" i="10"/>
  <c r="P196" i="10"/>
  <c r="P366" i="10"/>
  <c r="P110" i="10"/>
  <c r="P158" i="10"/>
  <c r="P397" i="10"/>
  <c r="P139" i="10"/>
  <c r="P395" i="10"/>
  <c r="P358" i="10"/>
  <c r="P361" i="10"/>
  <c r="P379" i="10"/>
  <c r="P400" i="10"/>
  <c r="P356" i="10"/>
  <c r="P112" i="10"/>
  <c r="P175" i="10"/>
  <c r="P407" i="10"/>
  <c r="P328" i="10"/>
  <c r="P354" i="10"/>
  <c r="P394" i="10"/>
  <c r="P340" i="10"/>
  <c r="P404" i="10"/>
  <c r="P331" i="10"/>
  <c r="P381" i="10"/>
  <c r="P390" i="10"/>
  <c r="P162" i="10"/>
  <c r="P170" i="10"/>
  <c r="P187" i="10"/>
  <c r="P343" i="10"/>
  <c r="P168" i="10"/>
  <c r="P345" i="10"/>
  <c r="P123" i="10"/>
  <c r="P392" i="10"/>
  <c r="P324" i="10"/>
  <c r="P368" i="10"/>
  <c r="P117" i="10"/>
  <c r="P344" i="10"/>
  <c r="P413" i="10"/>
  <c r="P129" i="10"/>
  <c r="P386" i="10"/>
  <c r="P206" i="10"/>
  <c r="P160" i="10"/>
  <c r="P165" i="10"/>
  <c r="P391" i="10"/>
  <c r="P151" i="10"/>
  <c r="P383" i="10"/>
  <c r="P418" i="10"/>
  <c r="P350" i="10"/>
  <c r="P322" i="10"/>
  <c r="P179" i="10"/>
  <c r="P190" i="10"/>
  <c r="P113" i="10"/>
  <c r="P357" i="10"/>
  <c r="P188" i="10"/>
  <c r="P159" i="10"/>
  <c r="P111" i="10"/>
  <c r="P326" i="10"/>
  <c r="P155" i="10"/>
  <c r="P363" i="10"/>
  <c r="P181" i="10"/>
  <c r="P393" i="10"/>
  <c r="P410" i="10"/>
  <c r="P355" i="10"/>
  <c r="P150" i="10"/>
  <c r="N78" i="10"/>
  <c r="P78" i="10" s="1"/>
  <c r="P192" i="10"/>
  <c r="P149" i="10"/>
  <c r="P396" i="10"/>
  <c r="N10" i="10"/>
  <c r="P131" i="10"/>
  <c r="P414" i="10"/>
  <c r="P327" i="10"/>
  <c r="P332" i="10"/>
  <c r="N33" i="10"/>
  <c r="P33" i="10" s="1"/>
  <c r="N75" i="10"/>
  <c r="P75" i="10" s="1"/>
  <c r="N43" i="10"/>
  <c r="P43" i="10" s="1"/>
  <c r="P163" i="10"/>
  <c r="P135" i="10"/>
  <c r="N82" i="10"/>
  <c r="P82" i="10" s="1"/>
  <c r="N79" i="10"/>
  <c r="P79" i="10" s="1"/>
  <c r="N90" i="10"/>
  <c r="P90" i="10" s="1"/>
  <c r="P125" i="10"/>
  <c r="N12" i="10"/>
  <c r="P12" i="10" s="1"/>
  <c r="P351" i="10"/>
  <c r="P120" i="10"/>
  <c r="N11" i="10"/>
  <c r="P375" i="10"/>
  <c r="N8" i="10"/>
  <c r="P8" i="10" s="1"/>
  <c r="N38" i="10"/>
  <c r="P38" i="10" s="1"/>
  <c r="N61" i="10"/>
  <c r="P61" i="10" s="1"/>
  <c r="N62" i="10"/>
  <c r="N9" i="10"/>
  <c r="P9" i="10" s="1"/>
  <c r="N92" i="10"/>
  <c r="N37" i="10"/>
  <c r="N44" i="10"/>
  <c r="P44" i="10" s="1"/>
  <c r="N54" i="10"/>
  <c r="P54" i="10" s="1"/>
  <c r="N58" i="10"/>
  <c r="P58" i="10" s="1"/>
  <c r="N94" i="10"/>
  <c r="P94" i="10" s="1"/>
  <c r="N35" i="10"/>
  <c r="P35" i="10" s="1"/>
  <c r="N50" i="10"/>
  <c r="P50" i="10" s="1"/>
  <c r="N51" i="10"/>
  <c r="P51" i="10" s="1"/>
  <c r="P11" i="10"/>
  <c r="N13" i="10"/>
  <c r="P13" i="10" s="1"/>
  <c r="N21" i="10"/>
  <c r="N22" i="10"/>
  <c r="P22" i="10" s="1"/>
  <c r="N23" i="10"/>
  <c r="P23" i="10" s="1"/>
  <c r="N71" i="10"/>
  <c r="P71" i="10" s="1"/>
  <c r="N72" i="10"/>
  <c r="P72" i="10" s="1"/>
  <c r="N16" i="10"/>
  <c r="P16" i="10" s="1"/>
  <c r="N18" i="10"/>
  <c r="P18" i="10" s="1"/>
  <c r="N19" i="10"/>
  <c r="P19" i="10" s="1"/>
  <c r="N60" i="10"/>
  <c r="N63" i="10"/>
  <c r="P63" i="10" s="1"/>
  <c r="N70" i="10"/>
  <c r="P70" i="10" s="1"/>
  <c r="N77" i="10"/>
  <c r="P77" i="10" s="1"/>
  <c r="N98" i="10"/>
  <c r="P98" i="10" s="1"/>
  <c r="P10" i="10"/>
  <c r="N15" i="10"/>
  <c r="P15" i="10" s="1"/>
  <c r="N17" i="10"/>
  <c r="P17" i="10" s="1"/>
  <c r="N27" i="10"/>
  <c r="P27" i="10" s="1"/>
  <c r="N30" i="10"/>
  <c r="P30" i="10" s="1"/>
  <c r="N32" i="10"/>
  <c r="P32" i="10" s="1"/>
  <c r="N59" i="10"/>
  <c r="N64" i="10"/>
  <c r="N73" i="10"/>
  <c r="P73" i="10" s="1"/>
  <c r="N74" i="10"/>
  <c r="P74" i="10" s="1"/>
  <c r="N96" i="10"/>
  <c r="P96" i="10" s="1"/>
  <c r="N97" i="10"/>
  <c r="P97" i="10" s="1"/>
  <c r="N5" i="10"/>
  <c r="P5" i="10" s="1"/>
  <c r="N6" i="10"/>
  <c r="P6" i="10" s="1"/>
  <c r="N14" i="10"/>
  <c r="P14" i="10" s="1"/>
  <c r="N24" i="10"/>
  <c r="P24" i="10" s="1"/>
  <c r="N28" i="10"/>
  <c r="P28" i="10" s="1"/>
  <c r="N34" i="10"/>
  <c r="P34" i="10" s="1"/>
  <c r="N53" i="10"/>
  <c r="P53" i="10" s="1"/>
  <c r="N55" i="10"/>
  <c r="P55" i="10" s="1"/>
  <c r="N57" i="10"/>
  <c r="P57" i="10" s="1"/>
  <c r="N84" i="10"/>
  <c r="N91" i="10"/>
  <c r="P91" i="10" s="1"/>
  <c r="N7" i="10"/>
  <c r="P7" i="10" s="1"/>
  <c r="N31" i="10"/>
  <c r="P31" i="10" s="1"/>
  <c r="N52" i="10"/>
  <c r="P52" i="10" s="1"/>
  <c r="N83" i="10"/>
  <c r="P83" i="10" s="1"/>
  <c r="N93" i="10"/>
  <c r="P93" i="10" s="1"/>
  <c r="P62" i="10"/>
  <c r="N101" i="10"/>
  <c r="P101" i="10" s="1"/>
  <c r="N20" i="10"/>
  <c r="P20" i="10" s="1"/>
  <c r="N25" i="10"/>
  <c r="P25" i="10" s="1"/>
  <c r="N29" i="10"/>
  <c r="P29" i="10" s="1"/>
  <c r="N40" i="10"/>
  <c r="N41" i="10"/>
  <c r="P41" i="10" s="1"/>
  <c r="N42" i="10"/>
  <c r="P42" i="10" s="1"/>
  <c r="N80" i="10"/>
  <c r="N81" i="10"/>
  <c r="P81" i="10" s="1"/>
  <c r="N100" i="10"/>
  <c r="P100" i="10" s="1"/>
  <c r="N102" i="10"/>
  <c r="P102" i="10" s="1"/>
  <c r="N103" i="10"/>
  <c r="P103" i="10" s="1"/>
  <c r="N104" i="10"/>
  <c r="P104" i="10" s="1"/>
  <c r="N26" i="10"/>
  <c r="P26" i="10" s="1"/>
  <c r="N36" i="10"/>
  <c r="P36" i="10" s="1"/>
  <c r="N76" i="10"/>
  <c r="N39" i="10"/>
  <c r="P39" i="10" s="1"/>
  <c r="P60" i="10"/>
  <c r="P64" i="10"/>
  <c r="P92" i="10"/>
  <c r="N56" i="10"/>
  <c r="P56" i="10" s="1"/>
  <c r="N95" i="10"/>
  <c r="P95" i="10" s="1"/>
  <c r="N99" i="10"/>
  <c r="N65" i="10"/>
  <c r="N66" i="10"/>
  <c r="N67" i="10"/>
  <c r="N68" i="10"/>
  <c r="N69" i="10"/>
  <c r="N45" i="10"/>
  <c r="P45" i="10" s="1"/>
  <c r="N46" i="10"/>
  <c r="P46" i="10" s="1"/>
  <c r="N47" i="10"/>
  <c r="P47" i="10" s="1"/>
  <c r="N48" i="10"/>
  <c r="P48" i="10" s="1"/>
  <c r="N49" i="10"/>
  <c r="P49" i="10" s="1"/>
  <c r="N85" i="10"/>
  <c r="P85" i="10" s="1"/>
  <c r="N86" i="10"/>
  <c r="P86" i="10" s="1"/>
  <c r="N87" i="10"/>
  <c r="P87" i="10" s="1"/>
  <c r="N88" i="10"/>
  <c r="P88" i="10" s="1"/>
  <c r="N89" i="10"/>
  <c r="P89" i="10" s="1"/>
  <c r="P80" i="10" l="1"/>
  <c r="P76" i="10"/>
  <c r="P21" i="10"/>
  <c r="P67" i="10"/>
  <c r="P37" i="10"/>
  <c r="P59" i="10"/>
  <c r="P99" i="10"/>
  <c r="P84" i="10"/>
  <c r="P66" i="10"/>
  <c r="P69" i="10"/>
  <c r="P40" i="10"/>
  <c r="P65" i="10"/>
  <c r="P68" i="10"/>
  <c r="C6" i="7" l="1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K24" i="9"/>
  <c r="R24" i="9" s="1"/>
  <c r="L24" i="9"/>
  <c r="M24" i="9"/>
  <c r="M23" i="9"/>
  <c r="L23" i="9"/>
  <c r="I23" i="9"/>
  <c r="H23" i="9"/>
  <c r="S23" i="9" s="1"/>
  <c r="I24" i="9"/>
  <c r="H24" i="9"/>
  <c r="S24" i="9" s="1"/>
  <c r="M21" i="9"/>
  <c r="L21" i="9"/>
  <c r="K21" i="9"/>
  <c r="I21" i="9"/>
  <c r="H21" i="9"/>
  <c r="E21" i="9"/>
  <c r="C21" i="9"/>
  <c r="M22" i="9"/>
  <c r="L22" i="9"/>
  <c r="K22" i="9"/>
  <c r="I22" i="9"/>
  <c r="H22" i="9"/>
  <c r="E22" i="9"/>
  <c r="C22" i="9"/>
  <c r="S22" i="9" l="1"/>
  <c r="S21" i="9"/>
  <c r="R22" i="9"/>
  <c r="R23" i="9"/>
  <c r="D32" i="9"/>
  <c r="R21" i="9"/>
  <c r="I20" i="9"/>
  <c r="H20" i="9"/>
  <c r="I19" i="9"/>
  <c r="H19" i="9"/>
  <c r="M20" i="9"/>
  <c r="L20" i="9"/>
  <c r="K20" i="9"/>
  <c r="M18" i="9"/>
  <c r="L18" i="9"/>
  <c r="K18" i="9"/>
  <c r="F20" i="9"/>
  <c r="E20" i="9"/>
  <c r="D20" i="9"/>
  <c r="C20" i="9"/>
  <c r="F18" i="9"/>
  <c r="E18" i="9"/>
  <c r="D18" i="9"/>
  <c r="F19" i="9"/>
  <c r="E19" i="9"/>
  <c r="D19" i="9"/>
  <c r="C19" i="9"/>
  <c r="C18" i="9"/>
  <c r="R19" i="9"/>
  <c r="R17" i="9"/>
  <c r="S20" i="9" l="1"/>
  <c r="S19" i="9"/>
  <c r="R20" i="9"/>
  <c r="R18" i="9"/>
  <c r="R29" i="9"/>
  <c r="D31" i="9"/>
  <c r="B32" i="9"/>
  <c r="C32" i="9" s="1"/>
  <c r="R28" i="9"/>
  <c r="M14" i="9"/>
  <c r="L14" i="9"/>
  <c r="K14" i="9"/>
  <c r="F14" i="9"/>
  <c r="E14" i="9"/>
  <c r="D14" i="9"/>
  <c r="C14" i="9"/>
  <c r="M16" i="9"/>
  <c r="L16" i="9"/>
  <c r="K16" i="9"/>
  <c r="D16" i="9"/>
  <c r="C16" i="9"/>
  <c r="I16" i="9"/>
  <c r="H16" i="9"/>
  <c r="F16" i="9"/>
  <c r="F15" i="9"/>
  <c r="E16" i="9"/>
  <c r="I15" i="9"/>
  <c r="D15" i="9"/>
  <c r="C15" i="9"/>
  <c r="E15" i="9"/>
  <c r="H15" i="9"/>
  <c r="R15" i="9"/>
  <c r="R13" i="9"/>
  <c r="H8" i="9"/>
  <c r="H7" i="9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5" i="7"/>
  <c r="I8" i="9"/>
  <c r="I7" i="9"/>
  <c r="M12" i="9"/>
  <c r="L12" i="9"/>
  <c r="I12" i="9"/>
  <c r="H12" i="9"/>
  <c r="S12" i="9" s="1"/>
  <c r="M11" i="9"/>
  <c r="R11" i="9" s="1"/>
  <c r="I11" i="9"/>
  <c r="H11" i="9"/>
  <c r="S11" i="9" s="1"/>
  <c r="I10" i="9"/>
  <c r="M10" i="9"/>
  <c r="L10" i="9"/>
  <c r="R10" i="9" s="1"/>
  <c r="H10" i="9"/>
  <c r="M9" i="9"/>
  <c r="R9" i="9" s="1"/>
  <c r="I9" i="9"/>
  <c r="H9" i="9"/>
  <c r="S9" i="9" l="1"/>
  <c r="S7" i="9"/>
  <c r="S10" i="9"/>
  <c r="S8" i="9"/>
  <c r="R16" i="9"/>
  <c r="S16" i="9"/>
  <c r="S15" i="9"/>
  <c r="R12" i="9"/>
  <c r="R14" i="9"/>
  <c r="F32" i="9"/>
  <c r="E32" i="9"/>
  <c r="B31" i="9"/>
  <c r="F31" i="9"/>
  <c r="H31" i="9" l="1"/>
  <c r="K31" i="9" s="1"/>
  <c r="H32" i="9"/>
  <c r="K32" i="9" s="1"/>
  <c r="G31" i="9"/>
  <c r="G32" i="9"/>
  <c r="C31" i="9"/>
  <c r="E31" i="9"/>
  <c r="I32" i="9" l="1"/>
  <c r="I31" i="9"/>
  <c r="M8" i="9"/>
  <c r="M7" i="9"/>
  <c r="R7" i="9" s="1"/>
  <c r="L8" i="9"/>
  <c r="R8" i="9" s="1"/>
  <c r="R6" i="9"/>
  <c r="C80" i="3" l="1"/>
  <c r="C79" i="3"/>
  <c r="N80" i="3"/>
  <c r="I80" i="3"/>
  <c r="E80" i="3"/>
  <c r="D80" i="3"/>
  <c r="N79" i="3"/>
  <c r="I79" i="3"/>
  <c r="E79" i="3"/>
  <c r="D79" i="3"/>
  <c r="P80" i="3" l="1"/>
  <c r="P79" i="3"/>
  <c r="E74" i="3"/>
  <c r="P74" i="3" s="1"/>
  <c r="D73" i="3"/>
  <c r="N74" i="3"/>
  <c r="I74" i="3"/>
  <c r="C74" i="3"/>
  <c r="N73" i="3"/>
  <c r="I73" i="3"/>
  <c r="E73" i="3"/>
  <c r="C73" i="3"/>
  <c r="C68" i="3"/>
  <c r="D68" i="3"/>
  <c r="D67" i="3"/>
  <c r="N68" i="3"/>
  <c r="I68" i="3"/>
  <c r="E68" i="3"/>
  <c r="N67" i="3"/>
  <c r="I67" i="3"/>
  <c r="E67" i="3"/>
  <c r="C67" i="3"/>
  <c r="N22" i="3"/>
  <c r="I22" i="3"/>
  <c r="G80" i="3"/>
  <c r="O80" i="3" s="1"/>
  <c r="E22" i="3"/>
  <c r="C22" i="3"/>
  <c r="N21" i="3"/>
  <c r="I21" i="3"/>
  <c r="G79" i="3"/>
  <c r="O79" i="3" s="1"/>
  <c r="E21" i="3"/>
  <c r="C21" i="3"/>
  <c r="N16" i="3"/>
  <c r="N104" i="3" s="1"/>
  <c r="I16" i="3"/>
  <c r="I104" i="3" s="1"/>
  <c r="G74" i="3"/>
  <c r="E16" i="3"/>
  <c r="C16" i="3"/>
  <c r="C104" i="3" s="1"/>
  <c r="N15" i="3"/>
  <c r="N103" i="3" s="1"/>
  <c r="I15" i="3"/>
  <c r="I103" i="3" s="1"/>
  <c r="G73" i="3"/>
  <c r="E15" i="3"/>
  <c r="C15" i="3"/>
  <c r="C103" i="3" s="1"/>
  <c r="N10" i="3"/>
  <c r="I10" i="3"/>
  <c r="I98" i="3" s="1"/>
  <c r="G68" i="3"/>
  <c r="E10" i="3"/>
  <c r="C10" i="3"/>
  <c r="C98" i="3" s="1"/>
  <c r="N9" i="3"/>
  <c r="I9" i="3"/>
  <c r="I97" i="3" s="1"/>
  <c r="G67" i="3"/>
  <c r="E9" i="3"/>
  <c r="C9" i="3"/>
  <c r="C97" i="3" s="1"/>
  <c r="P21" i="3" l="1"/>
  <c r="E109" i="3"/>
  <c r="P109" i="3" s="1"/>
  <c r="P10" i="3"/>
  <c r="P98" i="3" s="1"/>
  <c r="E98" i="3"/>
  <c r="P15" i="3"/>
  <c r="P103" i="3" s="1"/>
  <c r="E103" i="3"/>
  <c r="P16" i="3"/>
  <c r="P104" i="3" s="1"/>
  <c r="E104" i="3"/>
  <c r="P9" i="3"/>
  <c r="P97" i="3" s="1"/>
  <c r="E97" i="3"/>
  <c r="P22" i="3"/>
  <c r="E110" i="3"/>
  <c r="P110" i="3" s="1"/>
  <c r="P68" i="3"/>
  <c r="O74" i="3"/>
  <c r="P73" i="3"/>
  <c r="O73" i="3"/>
  <c r="P67" i="3"/>
  <c r="O68" i="3"/>
  <c r="O67" i="3"/>
  <c r="O22" i="3"/>
  <c r="O21" i="3"/>
  <c r="O16" i="3"/>
  <c r="O104" i="3" s="1"/>
  <c r="O15" i="3"/>
  <c r="O103" i="3" s="1"/>
  <c r="O10" i="3"/>
  <c r="O98" i="3" s="1"/>
  <c r="O9" i="3"/>
  <c r="O97" i="3" s="1"/>
  <c r="N6" i="3"/>
  <c r="N5" i="3"/>
  <c r="N93" i="3"/>
  <c r="N94" i="3"/>
  <c r="N8" i="3"/>
  <c r="N11" i="3"/>
  <c r="N12" i="3"/>
  <c r="N13" i="3"/>
  <c r="N14" i="3"/>
  <c r="N17" i="3"/>
  <c r="N18" i="3"/>
  <c r="N19" i="3"/>
  <c r="N20" i="3"/>
  <c r="N23" i="3"/>
  <c r="N24" i="3"/>
  <c r="N25" i="3"/>
  <c r="N26" i="3"/>
  <c r="N29" i="3"/>
  <c r="N30" i="3"/>
  <c r="N31" i="3"/>
  <c r="N32" i="3"/>
  <c r="N39" i="3"/>
  <c r="E95" i="3" l="1"/>
  <c r="M6" i="7" l="1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69" i="7"/>
  <c r="M70" i="7"/>
  <c r="M71" i="7"/>
  <c r="M72" i="7"/>
  <c r="M73" i="7"/>
  <c r="M74" i="7"/>
  <c r="M75" i="7"/>
  <c r="M76" i="7"/>
  <c r="M77" i="7"/>
  <c r="M78" i="7"/>
  <c r="M79" i="7"/>
  <c r="M80" i="7"/>
  <c r="M81" i="7"/>
  <c r="M82" i="7"/>
  <c r="M83" i="7"/>
  <c r="M84" i="7"/>
  <c r="M85" i="7"/>
  <c r="M86" i="7"/>
  <c r="M87" i="7"/>
  <c r="M88" i="7"/>
  <c r="M89" i="7"/>
  <c r="M90" i="7"/>
  <c r="M91" i="7"/>
  <c r="M92" i="7"/>
  <c r="M93" i="7"/>
  <c r="M94" i="7"/>
  <c r="M95" i="7"/>
  <c r="M96" i="7"/>
  <c r="M97" i="7"/>
  <c r="M98" i="7"/>
  <c r="M99" i="7"/>
  <c r="M100" i="7"/>
  <c r="M101" i="7"/>
  <c r="M102" i="7"/>
  <c r="M103" i="7"/>
  <c r="M104" i="7"/>
  <c r="M5" i="7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L53" i="7"/>
  <c r="L54" i="7"/>
  <c r="L55" i="7"/>
  <c r="L56" i="7"/>
  <c r="L57" i="7"/>
  <c r="L58" i="7"/>
  <c r="L59" i="7"/>
  <c r="L60" i="7"/>
  <c r="L61" i="7"/>
  <c r="L62" i="7"/>
  <c r="L63" i="7"/>
  <c r="L64" i="7"/>
  <c r="L65" i="7"/>
  <c r="L66" i="7"/>
  <c r="L67" i="7"/>
  <c r="L68" i="7"/>
  <c r="L69" i="7"/>
  <c r="L70" i="7"/>
  <c r="L71" i="7"/>
  <c r="L72" i="7"/>
  <c r="L73" i="7"/>
  <c r="L74" i="7"/>
  <c r="L75" i="7"/>
  <c r="L76" i="7"/>
  <c r="L77" i="7"/>
  <c r="L78" i="7"/>
  <c r="L79" i="7"/>
  <c r="L80" i="7"/>
  <c r="L81" i="7"/>
  <c r="L82" i="7"/>
  <c r="L83" i="7"/>
  <c r="L84" i="7"/>
  <c r="L85" i="7"/>
  <c r="L86" i="7"/>
  <c r="L87" i="7"/>
  <c r="L88" i="7"/>
  <c r="L89" i="7"/>
  <c r="L90" i="7"/>
  <c r="L91" i="7"/>
  <c r="L92" i="7"/>
  <c r="L93" i="7"/>
  <c r="L94" i="7"/>
  <c r="L95" i="7"/>
  <c r="L96" i="7"/>
  <c r="L97" i="7"/>
  <c r="L98" i="7"/>
  <c r="L99" i="7"/>
  <c r="L100" i="7"/>
  <c r="L101" i="7"/>
  <c r="L102" i="7"/>
  <c r="L103" i="7"/>
  <c r="L104" i="7"/>
  <c r="L5" i="7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G93" i="3"/>
  <c r="G94" i="3"/>
  <c r="G95" i="3"/>
  <c r="G127" i="3"/>
  <c r="G70" i="3"/>
  <c r="G132" i="3"/>
  <c r="G102" i="3"/>
  <c r="G136" i="3"/>
  <c r="G76" i="3"/>
  <c r="G138" i="3"/>
  <c r="G78" i="3"/>
  <c r="G81" i="3"/>
  <c r="G82" i="3"/>
  <c r="G144" i="3"/>
  <c r="G114" i="3"/>
  <c r="G85" i="3"/>
  <c r="G86" i="3"/>
  <c r="G150" i="3"/>
  <c r="G151" i="3"/>
  <c r="N76" i="3"/>
  <c r="N72" i="3"/>
  <c r="N86" i="3"/>
  <c r="N84" i="3"/>
  <c r="N82" i="3"/>
  <c r="N81" i="3"/>
  <c r="N78" i="3"/>
  <c r="N77" i="3"/>
  <c r="N70" i="3"/>
  <c r="N66" i="3"/>
  <c r="N64" i="3"/>
  <c r="N85" i="3"/>
  <c r="N83" i="3"/>
  <c r="N75" i="3"/>
  <c r="N71" i="3"/>
  <c r="N69" i="3"/>
  <c r="N65" i="3"/>
  <c r="N63" i="3"/>
  <c r="N95" i="3"/>
  <c r="N96" i="3"/>
  <c r="N100" i="3"/>
  <c r="N101" i="3"/>
  <c r="N102" i="3"/>
  <c r="N105" i="3"/>
  <c r="N106" i="3"/>
  <c r="N107" i="3"/>
  <c r="N108" i="3"/>
  <c r="N111" i="3"/>
  <c r="N112" i="3"/>
  <c r="N113" i="3"/>
  <c r="N114" i="3"/>
  <c r="N117" i="3"/>
  <c r="N118" i="3"/>
  <c r="N119" i="3"/>
  <c r="N125" i="3"/>
  <c r="N126" i="3"/>
  <c r="N127" i="3"/>
  <c r="N130" i="3"/>
  <c r="N131" i="3"/>
  <c r="N132" i="3"/>
  <c r="N133" i="3"/>
  <c r="N136" i="3"/>
  <c r="N137" i="3"/>
  <c r="N138" i="3"/>
  <c r="N139" i="3"/>
  <c r="N142" i="3"/>
  <c r="N143" i="3"/>
  <c r="N144" i="3"/>
  <c r="N145" i="3"/>
  <c r="N148" i="3"/>
  <c r="N149" i="3"/>
  <c r="N150" i="3"/>
  <c r="N151" i="3"/>
  <c r="N124" i="3"/>
  <c r="N87" i="3"/>
  <c r="N88" i="3"/>
  <c r="G131" i="3"/>
  <c r="G130" i="3"/>
  <c r="G69" i="3"/>
  <c r="O9" i="7"/>
  <c r="O17" i="7"/>
  <c r="O25" i="7"/>
  <c r="O33" i="7"/>
  <c r="O44" i="7"/>
  <c r="O49" i="7"/>
  <c r="O57" i="7"/>
  <c r="O62" i="7"/>
  <c r="O65" i="7"/>
  <c r="O71" i="7"/>
  <c r="O73" i="7"/>
  <c r="O89" i="7"/>
  <c r="O101" i="7"/>
  <c r="O20" i="7"/>
  <c r="O60" i="7"/>
  <c r="O84" i="7"/>
  <c r="O40" i="7"/>
  <c r="O100" i="7"/>
  <c r="O104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5" i="7"/>
  <c r="B104" i="7"/>
  <c r="B103" i="7"/>
  <c r="B102" i="7"/>
  <c r="B101" i="7"/>
  <c r="B100" i="7"/>
  <c r="B99" i="7"/>
  <c r="O98" i="7"/>
  <c r="B98" i="7"/>
  <c r="B97" i="7"/>
  <c r="B96" i="7"/>
  <c r="B95" i="7"/>
  <c r="B94" i="7"/>
  <c r="B93" i="7"/>
  <c r="B92" i="7"/>
  <c r="B91" i="7"/>
  <c r="B90" i="7"/>
  <c r="B89" i="7"/>
  <c r="B88" i="7"/>
  <c r="B87" i="7"/>
  <c r="B86" i="7"/>
  <c r="B85" i="7"/>
  <c r="B84" i="7"/>
  <c r="B83" i="7"/>
  <c r="O82" i="7"/>
  <c r="B82" i="7"/>
  <c r="B81" i="7"/>
  <c r="O80" i="7"/>
  <c r="B80" i="7"/>
  <c r="B79" i="7"/>
  <c r="B78" i="7"/>
  <c r="B77" i="7"/>
  <c r="B76" i="7"/>
  <c r="B75" i="7"/>
  <c r="B74" i="7"/>
  <c r="B73" i="7"/>
  <c r="B72" i="7"/>
  <c r="B71" i="7"/>
  <c r="B70" i="7"/>
  <c r="B69" i="7"/>
  <c r="B68" i="7"/>
  <c r="B67" i="7"/>
  <c r="B66" i="7"/>
  <c r="B65" i="7"/>
  <c r="O64" i="7"/>
  <c r="B64" i="7"/>
  <c r="B63" i="7"/>
  <c r="B62" i="7"/>
  <c r="B61" i="7"/>
  <c r="B60" i="7"/>
  <c r="B59" i="7"/>
  <c r="O58" i="7"/>
  <c r="B58" i="7"/>
  <c r="B57" i="7"/>
  <c r="B56" i="7"/>
  <c r="B55" i="7"/>
  <c r="B54" i="7"/>
  <c r="B53" i="7"/>
  <c r="B52" i="7"/>
  <c r="B51" i="7"/>
  <c r="B50" i="7"/>
  <c r="B49" i="7"/>
  <c r="B48" i="7"/>
  <c r="B47" i="7"/>
  <c r="O46" i="7"/>
  <c r="B46" i="7"/>
  <c r="B45" i="7"/>
  <c r="B44" i="7"/>
  <c r="B43" i="7"/>
  <c r="B42" i="7"/>
  <c r="B41" i="7"/>
  <c r="B40" i="7"/>
  <c r="B39" i="7"/>
  <c r="B38" i="7"/>
  <c r="B37" i="7"/>
  <c r="B36" i="7"/>
  <c r="B35" i="7"/>
  <c r="O34" i="7"/>
  <c r="B34" i="7"/>
  <c r="B33" i="7"/>
  <c r="O32" i="7"/>
  <c r="B32" i="7"/>
  <c r="B31" i="7"/>
  <c r="B30" i="7"/>
  <c r="B29" i="7"/>
  <c r="B28" i="7"/>
  <c r="O27" i="7"/>
  <c r="B27" i="7"/>
  <c r="B26" i="7"/>
  <c r="B25" i="7"/>
  <c r="O24" i="7"/>
  <c r="B24" i="7"/>
  <c r="B23" i="7"/>
  <c r="B22" i="7"/>
  <c r="B21" i="7"/>
  <c r="B20" i="7"/>
  <c r="B19" i="7"/>
  <c r="B18" i="7"/>
  <c r="B17" i="7"/>
  <c r="O16" i="7"/>
  <c r="B16" i="7"/>
  <c r="B15" i="7"/>
  <c r="B14" i="7"/>
  <c r="B13" i="7"/>
  <c r="B12" i="7"/>
  <c r="O11" i="7"/>
  <c r="B11" i="7"/>
  <c r="O10" i="7"/>
  <c r="B10" i="7"/>
  <c r="B9" i="7"/>
  <c r="B8" i="7"/>
  <c r="B7" i="7"/>
  <c r="B6" i="7"/>
  <c r="B5" i="7"/>
  <c r="N9" i="7" l="1"/>
  <c r="N70" i="7"/>
  <c r="N46" i="7"/>
  <c r="N79" i="7"/>
  <c r="N71" i="7"/>
  <c r="P71" i="7" s="1"/>
  <c r="N86" i="7"/>
  <c r="N14" i="7"/>
  <c r="N6" i="7"/>
  <c r="N103" i="7"/>
  <c r="N35" i="7"/>
  <c r="N94" i="7"/>
  <c r="N89" i="7"/>
  <c r="P89" i="7" s="1"/>
  <c r="G145" i="3"/>
  <c r="N102" i="7"/>
  <c r="N54" i="7"/>
  <c r="G113" i="3"/>
  <c r="N76" i="7"/>
  <c r="N82" i="7"/>
  <c r="P82" i="7" s="1"/>
  <c r="N16" i="7"/>
  <c r="G143" i="3"/>
  <c r="G84" i="3"/>
  <c r="G100" i="3"/>
  <c r="G71" i="3"/>
  <c r="G112" i="3"/>
  <c r="G64" i="3"/>
  <c r="G137" i="3"/>
  <c r="G106" i="3"/>
  <c r="G108" i="3"/>
  <c r="G149" i="3"/>
  <c r="G125" i="3"/>
  <c r="G139" i="3"/>
  <c r="G96" i="3"/>
  <c r="G124" i="3"/>
  <c r="G63" i="3"/>
  <c r="G75" i="3"/>
  <c r="G111" i="3"/>
  <c r="G72" i="3"/>
  <c r="G66" i="3"/>
  <c r="G133" i="3"/>
  <c r="G142" i="3"/>
  <c r="G105" i="3"/>
  <c r="G65" i="3"/>
  <c r="G77" i="3"/>
  <c r="G107" i="3"/>
  <c r="G126" i="3"/>
  <c r="G148" i="3"/>
  <c r="G83" i="3"/>
  <c r="G101" i="3"/>
  <c r="N32" i="7"/>
  <c r="P32" i="7" s="1"/>
  <c r="N85" i="7"/>
  <c r="N44" i="7"/>
  <c r="P44" i="7" s="1"/>
  <c r="N80" i="7"/>
  <c r="P80" i="7" s="1"/>
  <c r="N48" i="7"/>
  <c r="N77" i="7"/>
  <c r="N67" i="7"/>
  <c r="N27" i="7"/>
  <c r="P27" i="7" s="1"/>
  <c r="N49" i="7"/>
  <c r="P49" i="7" s="1"/>
  <c r="N73" i="7"/>
  <c r="P73" i="7" s="1"/>
  <c r="N81" i="7"/>
  <c r="N42" i="7"/>
  <c r="N34" i="7"/>
  <c r="P34" i="7" s="1"/>
  <c r="N41" i="7"/>
  <c r="N23" i="7"/>
  <c r="N95" i="7"/>
  <c r="N31" i="7"/>
  <c r="N87" i="7"/>
  <c r="N47" i="7"/>
  <c r="N78" i="7"/>
  <c r="N39" i="7"/>
  <c r="O103" i="7"/>
  <c r="O63" i="7"/>
  <c r="O43" i="7"/>
  <c r="O55" i="7"/>
  <c r="O79" i="7"/>
  <c r="P79" i="7" s="1"/>
  <c r="O7" i="7"/>
  <c r="O23" i="7"/>
  <c r="O39" i="7"/>
  <c r="O95" i="7"/>
  <c r="O14" i="7"/>
  <c r="O30" i="7"/>
  <c r="O15" i="7"/>
  <c r="O31" i="7"/>
  <c r="O41" i="7"/>
  <c r="O47" i="7"/>
  <c r="O75" i="7"/>
  <c r="O81" i="7"/>
  <c r="O87" i="7"/>
  <c r="O94" i="7"/>
  <c r="O97" i="7"/>
  <c r="O102" i="7"/>
  <c r="O22" i="7"/>
  <c r="O26" i="7"/>
  <c r="O85" i="7"/>
  <c r="O86" i="7"/>
  <c r="P86" i="7" s="1"/>
  <c r="O70" i="7"/>
  <c r="P70" i="7" s="1"/>
  <c r="O6" i="7"/>
  <c r="P6" i="7" s="1"/>
  <c r="O38" i="7"/>
  <c r="O54" i="7"/>
  <c r="O69" i="7"/>
  <c r="O50" i="7"/>
  <c r="O66" i="7"/>
  <c r="O72" i="7"/>
  <c r="O78" i="7"/>
  <c r="O88" i="7"/>
  <c r="O91" i="7"/>
  <c r="O52" i="7"/>
  <c r="O68" i="7"/>
  <c r="P16" i="7"/>
  <c r="O29" i="7"/>
  <c r="O36" i="7"/>
  <c r="O42" i="7"/>
  <c r="O74" i="7"/>
  <c r="O77" i="7"/>
  <c r="O90" i="7"/>
  <c r="O37" i="7"/>
  <c r="O35" i="7"/>
  <c r="O48" i="7"/>
  <c r="O51" i="7"/>
  <c r="O61" i="7"/>
  <c r="O67" i="7"/>
  <c r="O96" i="7"/>
  <c r="O53" i="7"/>
  <c r="O13" i="7"/>
  <c r="O12" i="7"/>
  <c r="O45" i="7"/>
  <c r="O83" i="7"/>
  <c r="O93" i="7"/>
  <c r="O8" i="7"/>
  <c r="O21" i="7"/>
  <c r="O28" i="7"/>
  <c r="O76" i="7"/>
  <c r="O92" i="7"/>
  <c r="O5" i="7"/>
  <c r="N40" i="7"/>
  <c r="P40" i="7" s="1"/>
  <c r="N24" i="7"/>
  <c r="P24" i="7" s="1"/>
  <c r="N104" i="7"/>
  <c r="P104" i="7" s="1"/>
  <c r="P46" i="7"/>
  <c r="N97" i="7"/>
  <c r="N17" i="7"/>
  <c r="P17" i="7" s="1"/>
  <c r="N25" i="7"/>
  <c r="P25" i="7" s="1"/>
  <c r="N57" i="7"/>
  <c r="P57" i="7" s="1"/>
  <c r="N65" i="7"/>
  <c r="P65" i="7" s="1"/>
  <c r="N22" i="7"/>
  <c r="N62" i="7"/>
  <c r="P62" i="7" s="1"/>
  <c r="N15" i="7"/>
  <c r="P15" i="7" s="1"/>
  <c r="N38" i="7"/>
  <c r="N50" i="7"/>
  <c r="N19" i="7"/>
  <c r="N58" i="7"/>
  <c r="P58" i="7" s="1"/>
  <c r="N63" i="7"/>
  <c r="N66" i="7"/>
  <c r="N18" i="7"/>
  <c r="N45" i="7"/>
  <c r="N37" i="7"/>
  <c r="N29" i="7"/>
  <c r="N60" i="7"/>
  <c r="P60" i="7" s="1"/>
  <c r="N84" i="7"/>
  <c r="P84" i="7" s="1"/>
  <c r="N28" i="7"/>
  <c r="N21" i="7"/>
  <c r="N83" i="7"/>
  <c r="N75" i="7"/>
  <c r="N43" i="7"/>
  <c r="N68" i="7"/>
  <c r="P68" i="7" s="1"/>
  <c r="N74" i="7"/>
  <c r="N69" i="7"/>
  <c r="N11" i="7"/>
  <c r="P11" i="7" s="1"/>
  <c r="N7" i="7"/>
  <c r="N8" i="7"/>
  <c r="N64" i="7"/>
  <c r="P64" i="7" s="1"/>
  <c r="N92" i="7"/>
  <c r="N98" i="7"/>
  <c r="P98" i="7" s="1"/>
  <c r="N100" i="7"/>
  <c r="P100" i="7" s="1"/>
  <c r="N20" i="7"/>
  <c r="P20" i="7" s="1"/>
  <c r="N55" i="7"/>
  <c r="N90" i="7"/>
  <c r="N91" i="7"/>
  <c r="N12" i="7"/>
  <c r="O18" i="7"/>
  <c r="N56" i="7"/>
  <c r="N99" i="7"/>
  <c r="N59" i="7"/>
  <c r="N96" i="7"/>
  <c r="N72" i="7"/>
  <c r="N36" i="7"/>
  <c r="N51" i="7"/>
  <c r="N10" i="7"/>
  <c r="P10" i="7" s="1"/>
  <c r="N5" i="7"/>
  <c r="P9" i="7"/>
  <c r="N13" i="7"/>
  <c r="O19" i="7"/>
  <c r="N26" i="7"/>
  <c r="N30" i="7"/>
  <c r="N33" i="7"/>
  <c r="P33" i="7" s="1"/>
  <c r="N88" i="7"/>
  <c r="N52" i="7"/>
  <c r="O56" i="7"/>
  <c r="N53" i="7"/>
  <c r="O59" i="7"/>
  <c r="N61" i="7"/>
  <c r="N93" i="7"/>
  <c r="O99" i="7"/>
  <c r="N101" i="7"/>
  <c r="P101" i="7" s="1"/>
  <c r="D139" i="3"/>
  <c r="I139" i="3"/>
  <c r="D138" i="3"/>
  <c r="E137" i="3"/>
  <c r="P94" i="7" l="1"/>
  <c r="P14" i="7"/>
  <c r="P103" i="7"/>
  <c r="P55" i="7"/>
  <c r="P97" i="7"/>
  <c r="P54" i="7"/>
  <c r="P102" i="7"/>
  <c r="P35" i="7"/>
  <c r="P85" i="7"/>
  <c r="P5" i="7"/>
  <c r="P76" i="7"/>
  <c r="P43" i="7"/>
  <c r="P23" i="7"/>
  <c r="P50" i="7"/>
  <c r="P30" i="7"/>
  <c r="P67" i="7"/>
  <c r="P7" i="7"/>
  <c r="P48" i="7"/>
  <c r="P81" i="7"/>
  <c r="P77" i="7"/>
  <c r="P31" i="7"/>
  <c r="P51" i="7"/>
  <c r="P42" i="7"/>
  <c r="P41" i="7"/>
  <c r="P78" i="7"/>
  <c r="P95" i="7"/>
  <c r="P39" i="7"/>
  <c r="P47" i="7"/>
  <c r="P63" i="7"/>
  <c r="P69" i="7"/>
  <c r="P26" i="7"/>
  <c r="P66" i="7"/>
  <c r="P28" i="7"/>
  <c r="P87" i="7"/>
  <c r="P72" i="7"/>
  <c r="P75" i="7"/>
  <c r="P52" i="7"/>
  <c r="P91" i="7"/>
  <c r="P45" i="7"/>
  <c r="P38" i="7"/>
  <c r="P13" i="7"/>
  <c r="P90" i="7"/>
  <c r="P92" i="7"/>
  <c r="P74" i="7"/>
  <c r="P22" i="7"/>
  <c r="P88" i="7"/>
  <c r="P8" i="7"/>
  <c r="P53" i="7"/>
  <c r="P21" i="7"/>
  <c r="P93" i="7"/>
  <c r="P36" i="7"/>
  <c r="P96" i="7"/>
  <c r="P12" i="7"/>
  <c r="P37" i="7"/>
  <c r="P29" i="7"/>
  <c r="P61" i="7"/>
  <c r="P83" i="7"/>
  <c r="P19" i="7"/>
  <c r="P18" i="7"/>
  <c r="P99" i="7"/>
  <c r="P59" i="7"/>
  <c r="P56" i="7"/>
  <c r="D148" i="3"/>
  <c r="D144" i="3"/>
  <c r="D142" i="3"/>
  <c r="E139" i="3"/>
  <c r="E150" i="3" l="1"/>
  <c r="E143" i="3"/>
  <c r="E145" i="3"/>
  <c r="D150" i="3"/>
  <c r="D145" i="3"/>
  <c r="D143" i="3"/>
  <c r="D126" i="3" l="1"/>
  <c r="D124" i="3"/>
  <c r="I151" i="3" l="1"/>
  <c r="O151" i="3"/>
  <c r="E151" i="3"/>
  <c r="P151" i="3" s="1"/>
  <c r="C151" i="3"/>
  <c r="I150" i="3"/>
  <c r="P150" i="3"/>
  <c r="C150" i="3"/>
  <c r="I149" i="3"/>
  <c r="E149" i="3"/>
  <c r="P149" i="3" s="1"/>
  <c r="C149" i="3"/>
  <c r="I148" i="3"/>
  <c r="E148" i="3"/>
  <c r="P148" i="3" s="1"/>
  <c r="C148" i="3"/>
  <c r="I145" i="3"/>
  <c r="O145" i="3" s="1"/>
  <c r="P145" i="3"/>
  <c r="C145" i="3"/>
  <c r="I144" i="3"/>
  <c r="E144" i="3"/>
  <c r="P144" i="3" s="1"/>
  <c r="C144" i="3"/>
  <c r="I143" i="3"/>
  <c r="O143" i="3" s="1"/>
  <c r="P143" i="3"/>
  <c r="C143" i="3"/>
  <c r="I142" i="3"/>
  <c r="E142" i="3"/>
  <c r="P142" i="3" s="1"/>
  <c r="C142" i="3"/>
  <c r="O139" i="3"/>
  <c r="P139" i="3"/>
  <c r="C139" i="3"/>
  <c r="I138" i="3"/>
  <c r="O138" i="3" s="1"/>
  <c r="E138" i="3"/>
  <c r="P138" i="3" s="1"/>
  <c r="C138" i="3"/>
  <c r="I137" i="3"/>
  <c r="O137" i="3" s="1"/>
  <c r="P137" i="3"/>
  <c r="C137" i="3"/>
  <c r="I136" i="3"/>
  <c r="O136" i="3" s="1"/>
  <c r="E136" i="3"/>
  <c r="P136" i="3" s="1"/>
  <c r="C136" i="3"/>
  <c r="I133" i="3"/>
  <c r="E133" i="3"/>
  <c r="P133" i="3" s="1"/>
  <c r="C133" i="3"/>
  <c r="I132" i="3"/>
  <c r="O132" i="3" s="1"/>
  <c r="E132" i="3"/>
  <c r="P132" i="3" s="1"/>
  <c r="C132" i="3"/>
  <c r="I131" i="3"/>
  <c r="E131" i="3"/>
  <c r="P131" i="3" s="1"/>
  <c r="C131" i="3"/>
  <c r="I130" i="3"/>
  <c r="E130" i="3"/>
  <c r="P130" i="3" s="1"/>
  <c r="C130" i="3"/>
  <c r="I127" i="3"/>
  <c r="E127" i="3"/>
  <c r="P127" i="3" s="1"/>
  <c r="C127" i="3"/>
  <c r="I126" i="3"/>
  <c r="E126" i="3"/>
  <c r="P126" i="3" s="1"/>
  <c r="C126" i="3"/>
  <c r="I125" i="3"/>
  <c r="E125" i="3"/>
  <c r="P125" i="3" s="1"/>
  <c r="C125" i="3"/>
  <c r="I124" i="3"/>
  <c r="E124" i="3"/>
  <c r="P124" i="3" s="1"/>
  <c r="C124" i="3"/>
  <c r="C114" i="3"/>
  <c r="C112" i="3"/>
  <c r="O125" i="3" l="1"/>
  <c r="O124" i="3"/>
  <c r="O131" i="3"/>
  <c r="O142" i="3"/>
  <c r="O150" i="3"/>
  <c r="O130" i="3"/>
  <c r="O144" i="3"/>
  <c r="O127" i="3"/>
  <c r="O149" i="3"/>
  <c r="O126" i="3"/>
  <c r="O148" i="3"/>
  <c r="O133" i="3"/>
  <c r="C108" i="3"/>
  <c r="H50" i="3"/>
  <c r="D49" i="3"/>
  <c r="D94" i="3" l="1"/>
  <c r="D93" i="3"/>
  <c r="G117" i="3"/>
  <c r="G118" i="3"/>
  <c r="G119" i="3"/>
  <c r="I119" i="3" l="1"/>
  <c r="H119" i="3"/>
  <c r="O119" i="3" s="1"/>
  <c r="E119" i="3"/>
  <c r="P119" i="3" s="1"/>
  <c r="C119" i="3"/>
  <c r="I118" i="3"/>
  <c r="H118" i="3"/>
  <c r="O118" i="3" s="1"/>
  <c r="E118" i="3"/>
  <c r="P118" i="3" s="1"/>
  <c r="C118" i="3"/>
  <c r="I117" i="3"/>
  <c r="H117" i="3"/>
  <c r="O117" i="3" s="1"/>
  <c r="E117" i="3"/>
  <c r="P117" i="3" s="1"/>
  <c r="C117" i="3"/>
  <c r="I114" i="3"/>
  <c r="I113" i="3"/>
  <c r="O113" i="3" s="1"/>
  <c r="C113" i="3"/>
  <c r="I112" i="3"/>
  <c r="I111" i="3"/>
  <c r="C111" i="3"/>
  <c r="I108" i="3"/>
  <c r="O108" i="3" s="1"/>
  <c r="I107" i="3"/>
  <c r="O107" i="3" s="1"/>
  <c r="C107" i="3"/>
  <c r="I106" i="3"/>
  <c r="C106" i="3"/>
  <c r="I105" i="3"/>
  <c r="C105" i="3"/>
  <c r="I102" i="3"/>
  <c r="O102" i="3" s="1"/>
  <c r="C102" i="3"/>
  <c r="I101" i="3"/>
  <c r="C101" i="3"/>
  <c r="I100" i="3"/>
  <c r="O100" i="3" s="1"/>
  <c r="C100" i="3"/>
  <c r="I96" i="3"/>
  <c r="C96" i="3"/>
  <c r="I95" i="3"/>
  <c r="P95" i="3"/>
  <c r="C95" i="3"/>
  <c r="I94" i="3"/>
  <c r="C94" i="3"/>
  <c r="I93" i="3"/>
  <c r="O93" i="3"/>
  <c r="C93" i="3"/>
  <c r="O94" i="3" l="1"/>
  <c r="O96" i="3"/>
  <c r="O101" i="3"/>
  <c r="O95" i="3"/>
  <c r="O105" i="3"/>
  <c r="O111" i="3"/>
  <c r="O114" i="3"/>
  <c r="O106" i="3"/>
  <c r="O112" i="3"/>
  <c r="E84" i="3"/>
  <c r="C83" i="3"/>
  <c r="C85" i="3"/>
  <c r="E86" i="3"/>
  <c r="C84" i="3" l="1"/>
  <c r="C86" i="3"/>
  <c r="E85" i="3"/>
  <c r="E83" i="3"/>
  <c r="D82" i="3"/>
  <c r="D81" i="3"/>
  <c r="C82" i="3"/>
  <c r="C81" i="3"/>
  <c r="C78" i="3"/>
  <c r="C77" i="3"/>
  <c r="D78" i="3"/>
  <c r="D77" i="3"/>
  <c r="C76" i="3"/>
  <c r="E76" i="3"/>
  <c r="P76" i="3" s="1"/>
  <c r="D75" i="3"/>
  <c r="D71" i="3"/>
  <c r="C75" i="3"/>
  <c r="I76" i="3"/>
  <c r="I75" i="3"/>
  <c r="E75" i="3"/>
  <c r="C72" i="3"/>
  <c r="C71" i="3"/>
  <c r="C70" i="3"/>
  <c r="C69" i="3"/>
  <c r="E72" i="3"/>
  <c r="O76" i="3" l="1"/>
  <c r="O75" i="3"/>
  <c r="P75" i="3"/>
  <c r="D70" i="3" l="1"/>
  <c r="E70" i="3"/>
  <c r="D69" i="3"/>
  <c r="D66" i="3" l="1"/>
  <c r="E66" i="3"/>
  <c r="E64" i="3"/>
  <c r="D64" i="3"/>
  <c r="C66" i="3"/>
  <c r="N58" i="3"/>
  <c r="N57" i="3"/>
  <c r="N56" i="3"/>
  <c r="N55" i="3"/>
  <c r="N54" i="3"/>
  <c r="N53" i="3"/>
  <c r="N52" i="3"/>
  <c r="N51" i="3"/>
  <c r="N50" i="3"/>
  <c r="N49" i="3"/>
  <c r="N48" i="3"/>
  <c r="N47" i="3"/>
  <c r="N46" i="3"/>
  <c r="N45" i="3"/>
  <c r="N44" i="3"/>
  <c r="N43" i="3"/>
  <c r="N42" i="3"/>
  <c r="N41" i="3"/>
  <c r="N40" i="3"/>
  <c r="C65" i="3"/>
  <c r="C64" i="3"/>
  <c r="D63" i="3" l="1"/>
  <c r="D65" i="3"/>
  <c r="E65" i="3"/>
  <c r="C63" i="3"/>
  <c r="I88" i="3"/>
  <c r="H88" i="3"/>
  <c r="G88" i="3"/>
  <c r="E88" i="3"/>
  <c r="P88" i="3" s="1"/>
  <c r="C88" i="3"/>
  <c r="I87" i="3"/>
  <c r="H87" i="3"/>
  <c r="G87" i="3"/>
  <c r="E87" i="3"/>
  <c r="P87" i="3" s="1"/>
  <c r="C87" i="3"/>
  <c r="I86" i="3"/>
  <c r="P86" i="3"/>
  <c r="I85" i="3"/>
  <c r="O85" i="3" s="1"/>
  <c r="P85" i="3"/>
  <c r="I84" i="3"/>
  <c r="P84" i="3"/>
  <c r="I83" i="3"/>
  <c r="O83" i="3" s="1"/>
  <c r="I82" i="3"/>
  <c r="E82" i="3"/>
  <c r="P82" i="3" s="1"/>
  <c r="I81" i="3"/>
  <c r="O81" i="3" s="1"/>
  <c r="E81" i="3"/>
  <c r="P81" i="3" s="1"/>
  <c r="I78" i="3"/>
  <c r="E78" i="3"/>
  <c r="P78" i="3" s="1"/>
  <c r="I77" i="3"/>
  <c r="O77" i="3" s="1"/>
  <c r="E77" i="3"/>
  <c r="P77" i="3" s="1"/>
  <c r="I72" i="3"/>
  <c r="P72" i="3"/>
  <c r="I71" i="3"/>
  <c r="O71" i="3" s="1"/>
  <c r="E71" i="3"/>
  <c r="P71" i="3" s="1"/>
  <c r="I70" i="3"/>
  <c r="O70" i="3" s="1"/>
  <c r="P70" i="3"/>
  <c r="I69" i="3"/>
  <c r="O69" i="3" s="1"/>
  <c r="E69" i="3"/>
  <c r="P69" i="3" s="1"/>
  <c r="I66" i="3"/>
  <c r="O66" i="3" s="1"/>
  <c r="I65" i="3"/>
  <c r="I64" i="3"/>
  <c r="O64" i="3" s="1"/>
  <c r="P64" i="3"/>
  <c r="I63" i="3"/>
  <c r="E63" i="3"/>
  <c r="P83" i="3"/>
  <c r="P66" i="3"/>
  <c r="E52" i="3"/>
  <c r="G51" i="3"/>
  <c r="I51" i="3"/>
  <c r="C46" i="3"/>
  <c r="C50" i="3"/>
  <c r="I49" i="3"/>
  <c r="E50" i="3"/>
  <c r="I48" i="3"/>
  <c r="I47" i="3"/>
  <c r="H46" i="3"/>
  <c r="E46" i="3"/>
  <c r="H45" i="3"/>
  <c r="H43" i="3"/>
  <c r="O84" i="3" l="1"/>
  <c r="O72" i="3"/>
  <c r="O78" i="3"/>
  <c r="O82" i="3"/>
  <c r="O87" i="3"/>
  <c r="P65" i="3"/>
  <c r="O86" i="3"/>
  <c r="O88" i="3"/>
  <c r="P63" i="3"/>
  <c r="O65" i="3"/>
  <c r="O63" i="3"/>
  <c r="I44" i="3"/>
  <c r="G44" i="3"/>
  <c r="I42" i="3"/>
  <c r="G42" i="3"/>
  <c r="G40" i="3"/>
  <c r="I40" i="3"/>
  <c r="H41" i="3"/>
  <c r="H39" i="3" l="1"/>
  <c r="I58" i="3" l="1"/>
  <c r="H58" i="3"/>
  <c r="G58" i="3"/>
  <c r="E58" i="3"/>
  <c r="P58" i="3" s="1"/>
  <c r="C58" i="3"/>
  <c r="I57" i="3"/>
  <c r="H57" i="3"/>
  <c r="G57" i="3"/>
  <c r="E57" i="3"/>
  <c r="P57" i="3" s="1"/>
  <c r="C57" i="3"/>
  <c r="I56" i="3"/>
  <c r="H56" i="3"/>
  <c r="G56" i="3"/>
  <c r="E56" i="3"/>
  <c r="P56" i="3" s="1"/>
  <c r="C56" i="3"/>
  <c r="I55" i="3"/>
  <c r="H55" i="3"/>
  <c r="G55" i="3"/>
  <c r="E55" i="3"/>
  <c r="P55" i="3" s="1"/>
  <c r="C55" i="3"/>
  <c r="I54" i="3"/>
  <c r="H54" i="3"/>
  <c r="G54" i="3"/>
  <c r="E54" i="3"/>
  <c r="P54" i="3" s="1"/>
  <c r="C54" i="3"/>
  <c r="I53" i="3"/>
  <c r="H53" i="3"/>
  <c r="G53" i="3"/>
  <c r="E53" i="3"/>
  <c r="P53" i="3" s="1"/>
  <c r="C53" i="3"/>
  <c r="I52" i="3"/>
  <c r="H52" i="3"/>
  <c r="G52" i="3"/>
  <c r="P52" i="3"/>
  <c r="C52" i="3"/>
  <c r="H51" i="3"/>
  <c r="O51" i="3" s="1"/>
  <c r="E51" i="3"/>
  <c r="P51" i="3" s="1"/>
  <c r="C51" i="3"/>
  <c r="P50" i="3"/>
  <c r="I50" i="3"/>
  <c r="G50" i="3"/>
  <c r="H49" i="3"/>
  <c r="G49" i="3"/>
  <c r="E49" i="3"/>
  <c r="P49" i="3" s="1"/>
  <c r="C49" i="3"/>
  <c r="H48" i="3"/>
  <c r="G48" i="3"/>
  <c r="E48" i="3"/>
  <c r="P48" i="3" s="1"/>
  <c r="C48" i="3"/>
  <c r="H47" i="3"/>
  <c r="G47" i="3"/>
  <c r="E47" i="3"/>
  <c r="P47" i="3" s="1"/>
  <c r="C47" i="3"/>
  <c r="I46" i="3"/>
  <c r="G46" i="3"/>
  <c r="P46" i="3"/>
  <c r="I45" i="3"/>
  <c r="G45" i="3"/>
  <c r="E45" i="3"/>
  <c r="P45" i="3" s="1"/>
  <c r="C45" i="3"/>
  <c r="H44" i="3"/>
  <c r="O44" i="3" s="1"/>
  <c r="E44" i="3"/>
  <c r="P44" i="3" s="1"/>
  <c r="C44" i="3"/>
  <c r="I43" i="3"/>
  <c r="G43" i="3"/>
  <c r="E43" i="3"/>
  <c r="P43" i="3" s="1"/>
  <c r="C43" i="3"/>
  <c r="H42" i="3"/>
  <c r="O42" i="3" s="1"/>
  <c r="E42" i="3"/>
  <c r="P42" i="3" s="1"/>
  <c r="C42" i="3"/>
  <c r="I41" i="3"/>
  <c r="G41" i="3"/>
  <c r="E41" i="3"/>
  <c r="P41" i="3" s="1"/>
  <c r="C41" i="3"/>
  <c r="H40" i="3"/>
  <c r="O40" i="3" s="1"/>
  <c r="E40" i="3"/>
  <c r="P40" i="3" s="1"/>
  <c r="C40" i="3"/>
  <c r="I39" i="3"/>
  <c r="G39" i="3"/>
  <c r="E39" i="3"/>
  <c r="P39" i="3" s="1"/>
  <c r="C39" i="3"/>
  <c r="O50" i="3" l="1"/>
  <c r="O45" i="3"/>
  <c r="O55" i="3"/>
  <c r="O58" i="3"/>
  <c r="O47" i="3"/>
  <c r="O52" i="3"/>
  <c r="O57" i="3"/>
  <c r="O56" i="3"/>
  <c r="O54" i="3"/>
  <c r="O48" i="3"/>
  <c r="O41" i="3"/>
  <c r="O49" i="3"/>
  <c r="O43" i="3"/>
  <c r="O46" i="3"/>
  <c r="O39" i="3"/>
  <c r="O53" i="3"/>
  <c r="B70" i="1"/>
  <c r="B65" i="1"/>
  <c r="B50" i="1"/>
  <c r="B24" i="1"/>
  <c r="B19" i="1"/>
  <c r="B20" i="1"/>
  <c r="B18" i="1"/>
  <c r="B9" i="1"/>
  <c r="B12" i="1"/>
  <c r="B13" i="1"/>
  <c r="B17" i="1"/>
  <c r="B15" i="1"/>
  <c r="B14" i="1"/>
  <c r="B8" i="1"/>
  <c r="I5" i="3"/>
  <c r="I6" i="3"/>
  <c r="I8" i="3"/>
  <c r="I11" i="3"/>
  <c r="I12" i="3"/>
  <c r="I13" i="3"/>
  <c r="I14" i="3"/>
  <c r="I17" i="3"/>
  <c r="I18" i="3"/>
  <c r="I19" i="3"/>
  <c r="I20" i="3"/>
  <c r="I23" i="3"/>
  <c r="I24" i="3"/>
  <c r="I25" i="3"/>
  <c r="I26" i="3"/>
  <c r="I29" i="3"/>
  <c r="I30" i="3"/>
  <c r="I31" i="3"/>
  <c r="I32" i="3"/>
  <c r="B5" i="1" l="1"/>
  <c r="E94" i="3" l="1"/>
  <c r="P94" i="3" s="1"/>
  <c r="E8" i="3"/>
  <c r="E96" i="3" s="1"/>
  <c r="P96" i="3" s="1"/>
  <c r="E11" i="3"/>
  <c r="E99" i="3" s="1"/>
  <c r="P99" i="3" s="1"/>
  <c r="E12" i="3"/>
  <c r="E100" i="3" s="1"/>
  <c r="P100" i="3" s="1"/>
  <c r="E13" i="3"/>
  <c r="E101" i="3" s="1"/>
  <c r="P101" i="3" s="1"/>
  <c r="E14" i="3"/>
  <c r="E102" i="3" s="1"/>
  <c r="P102" i="3" s="1"/>
  <c r="E17" i="3"/>
  <c r="E105" i="3" s="1"/>
  <c r="P105" i="3" s="1"/>
  <c r="E18" i="3"/>
  <c r="E106" i="3" s="1"/>
  <c r="P106" i="3" s="1"/>
  <c r="E19" i="3"/>
  <c r="E107" i="3" s="1"/>
  <c r="P107" i="3" s="1"/>
  <c r="E20" i="3"/>
  <c r="E108" i="3" s="1"/>
  <c r="P108" i="3" s="1"/>
  <c r="E23" i="3"/>
  <c r="E111" i="3" s="1"/>
  <c r="P111" i="3" s="1"/>
  <c r="E24" i="3"/>
  <c r="E112" i="3" s="1"/>
  <c r="P112" i="3" s="1"/>
  <c r="E25" i="3"/>
  <c r="E113" i="3" s="1"/>
  <c r="P113" i="3" s="1"/>
  <c r="E26" i="3"/>
  <c r="E114" i="3" s="1"/>
  <c r="P114" i="3" s="1"/>
  <c r="E29" i="3"/>
  <c r="E115" i="3" s="1"/>
  <c r="P115" i="3" s="1"/>
  <c r="E30" i="3"/>
  <c r="E116" i="3" s="1"/>
  <c r="P116" i="3" s="1"/>
  <c r="E31" i="3"/>
  <c r="E32" i="3"/>
  <c r="E5" i="3"/>
  <c r="E93" i="3" s="1"/>
  <c r="P93" i="3" s="1"/>
  <c r="C8" i="3"/>
  <c r="O8" i="3"/>
  <c r="P8" i="3"/>
  <c r="Q1073" i="10" l="1"/>
  <c r="R1073" i="10" s="1"/>
  <c r="U1073" i="10" s="1"/>
  <c r="V1073" i="10" s="1"/>
  <c r="Q1071" i="10"/>
  <c r="R1071" i="10" s="1"/>
  <c r="U1071" i="10" s="1"/>
  <c r="V1071" i="10" s="1"/>
  <c r="Q1074" i="10"/>
  <c r="R1074" i="10" s="1"/>
  <c r="U1074" i="10" s="1"/>
  <c r="V1074" i="10" s="1"/>
  <c r="Q1072" i="10"/>
  <c r="R1072" i="10" s="1"/>
  <c r="U1072" i="10" s="1"/>
  <c r="V1072" i="10" s="1"/>
  <c r="Q1070" i="10"/>
  <c r="R1070" i="10" s="1"/>
  <c r="U1070" i="10" s="1"/>
  <c r="V1070" i="10" s="1"/>
  <c r="Q21" i="7"/>
  <c r="R21" i="7" s="1"/>
  <c r="Q861" i="10"/>
  <c r="Q651" i="10"/>
  <c r="Q24" i="1"/>
  <c r="Q20" i="7"/>
  <c r="R20" i="7" s="1"/>
  <c r="U20" i="7" s="1"/>
  <c r="V20" i="7" s="1"/>
  <c r="Q969" i="10"/>
  <c r="R969" i="10" s="1"/>
  <c r="U969" i="10" s="1"/>
  <c r="V969" i="10" s="1"/>
  <c r="Q860" i="10"/>
  <c r="R860" i="10" s="1"/>
  <c r="U860" i="10" s="1"/>
  <c r="V860" i="10" s="1"/>
  <c r="Q759" i="10"/>
  <c r="R759" i="10" s="1"/>
  <c r="Q650" i="10"/>
  <c r="R650" i="10" s="1"/>
  <c r="U650" i="10" s="1"/>
  <c r="V650" i="10" s="1"/>
  <c r="Q23" i="1"/>
  <c r="Q968" i="10"/>
  <c r="Q758" i="10"/>
  <c r="R758" i="10" s="1"/>
  <c r="U758" i="10" s="1"/>
  <c r="V758" i="10" s="1"/>
  <c r="Q22" i="1"/>
  <c r="Q967" i="10"/>
  <c r="R967" i="10" s="1"/>
  <c r="U967" i="10" s="1"/>
  <c r="V967" i="10" s="1"/>
  <c r="Q757" i="10"/>
  <c r="R757" i="10" s="1"/>
  <c r="U757" i="10" s="1"/>
  <c r="V757" i="10" s="1"/>
  <c r="Q21" i="1"/>
  <c r="Q966" i="10"/>
  <c r="R966" i="10" s="1"/>
  <c r="Q756" i="10"/>
  <c r="Q862" i="10"/>
  <c r="R862" i="10" s="1"/>
  <c r="Q549" i="10"/>
  <c r="R549" i="10" s="1"/>
  <c r="U549" i="10" s="1"/>
  <c r="V549" i="10" s="1"/>
  <c r="Q440" i="10"/>
  <c r="R440" i="10" s="1"/>
  <c r="U440" i="10" s="1"/>
  <c r="V440" i="10" s="1"/>
  <c r="Q339" i="10"/>
  <c r="R339" i="10" s="1"/>
  <c r="U339" i="10" s="1"/>
  <c r="V339" i="10" s="1"/>
  <c r="Q230" i="10"/>
  <c r="R230" i="10" s="1"/>
  <c r="U230" i="10" s="1"/>
  <c r="V230" i="10" s="1"/>
  <c r="Q24" i="10"/>
  <c r="R24" i="10" s="1"/>
  <c r="U24" i="10" s="1"/>
  <c r="V24" i="10" s="1"/>
  <c r="Q654" i="10"/>
  <c r="R654" i="10" s="1"/>
  <c r="Q548" i="10"/>
  <c r="Q338" i="10"/>
  <c r="Q23" i="10"/>
  <c r="R23" i="10" s="1"/>
  <c r="U23" i="10" s="1"/>
  <c r="V23" i="10" s="1"/>
  <c r="Q965" i="10"/>
  <c r="Q653" i="10"/>
  <c r="R653" i="10" s="1"/>
  <c r="Q547" i="10"/>
  <c r="R547" i="10" s="1"/>
  <c r="Q337" i="10"/>
  <c r="R337" i="10" s="1"/>
  <c r="U337" i="10" s="1"/>
  <c r="V337" i="10" s="1"/>
  <c r="Q22" i="10"/>
  <c r="R22" i="10" s="1"/>
  <c r="U22" i="10" s="1"/>
  <c r="V22" i="10" s="1"/>
  <c r="Q24" i="7"/>
  <c r="Q652" i="10"/>
  <c r="Q546" i="10"/>
  <c r="R546" i="10" s="1"/>
  <c r="Q336" i="10"/>
  <c r="R336" i="10" s="1"/>
  <c r="U336" i="10" s="1"/>
  <c r="V336" i="10" s="1"/>
  <c r="Q21" i="10"/>
  <c r="R21" i="10" s="1"/>
  <c r="U21" i="10" s="1"/>
  <c r="V21" i="10" s="1"/>
  <c r="Q23" i="7"/>
  <c r="R23" i="7" s="1"/>
  <c r="U23" i="7" s="1"/>
  <c r="V23" i="7" s="1"/>
  <c r="Q545" i="10"/>
  <c r="R545" i="10" s="1"/>
  <c r="U545" i="10" s="1"/>
  <c r="V545" i="10" s="1"/>
  <c r="Q444" i="10"/>
  <c r="R444" i="10" s="1"/>
  <c r="U444" i="10" s="1"/>
  <c r="V444" i="10" s="1"/>
  <c r="Q335" i="10"/>
  <c r="Q234" i="10"/>
  <c r="Q20" i="10"/>
  <c r="R20" i="10" s="1"/>
  <c r="Q22" i="7"/>
  <c r="R22" i="7" s="1"/>
  <c r="U22" i="7" s="1"/>
  <c r="V22" i="7" s="1"/>
  <c r="Q755" i="10"/>
  <c r="R755" i="10" s="1"/>
  <c r="U755" i="10" s="1"/>
  <c r="V755" i="10" s="1"/>
  <c r="Q443" i="10"/>
  <c r="R443" i="10" s="1"/>
  <c r="U443" i="10" s="1"/>
  <c r="V443" i="10" s="1"/>
  <c r="Q233" i="10"/>
  <c r="R233" i="10" s="1"/>
  <c r="U233" i="10" s="1"/>
  <c r="V233" i="10" s="1"/>
  <c r="Q20" i="1"/>
  <c r="Q863" i="10"/>
  <c r="Q442" i="10"/>
  <c r="Q441" i="10"/>
  <c r="R441" i="10" s="1"/>
  <c r="U441" i="10" s="1"/>
  <c r="V441" i="10" s="1"/>
  <c r="Q231" i="10"/>
  <c r="Q864" i="10"/>
  <c r="R864" i="10" s="1"/>
  <c r="U864" i="10" s="1"/>
  <c r="V864" i="10" s="1"/>
  <c r="Q232" i="10"/>
  <c r="R232" i="10" s="1"/>
  <c r="R863" i="10"/>
  <c r="U863" i="10" s="1"/>
  <c r="V863" i="10" s="1"/>
  <c r="R756" i="10"/>
  <c r="R548" i="10"/>
  <c r="U548" i="10" s="1"/>
  <c r="V548" i="10" s="1"/>
  <c r="R968" i="10"/>
  <c r="R652" i="10"/>
  <c r="U652" i="10" s="1"/>
  <c r="V652" i="10" s="1"/>
  <c r="R861" i="10"/>
  <c r="U861" i="10" s="1"/>
  <c r="V861" i="10" s="1"/>
  <c r="R651" i="10"/>
  <c r="U651" i="10" s="1"/>
  <c r="V651" i="10" s="1"/>
  <c r="R965" i="10"/>
  <c r="U965" i="10" s="1"/>
  <c r="V965" i="10" s="1"/>
  <c r="R338" i="10"/>
  <c r="U338" i="10" s="1"/>
  <c r="V338" i="10" s="1"/>
  <c r="Q129" i="10"/>
  <c r="R129" i="10" s="1"/>
  <c r="U129" i="10" s="1"/>
  <c r="V129" i="10" s="1"/>
  <c r="Q127" i="10"/>
  <c r="R127" i="10" s="1"/>
  <c r="Q125" i="10"/>
  <c r="R125" i="10" s="1"/>
  <c r="U125" i="10" s="1"/>
  <c r="V125" i="10" s="1"/>
  <c r="Q128" i="10"/>
  <c r="R128" i="10" s="1"/>
  <c r="U128" i="10" s="1"/>
  <c r="V128" i="10" s="1"/>
  <c r="Q126" i="10"/>
  <c r="R126" i="10" s="1"/>
  <c r="U126" i="10" s="1"/>
  <c r="V126" i="10" s="1"/>
  <c r="R231" i="10"/>
  <c r="R234" i="10"/>
  <c r="U234" i="10" s="1"/>
  <c r="V234" i="10" s="1"/>
  <c r="R335" i="10"/>
  <c r="U335" i="10" s="1"/>
  <c r="V335" i="10" s="1"/>
  <c r="R442" i="10"/>
  <c r="U442" i="10" s="1"/>
  <c r="V442" i="10" s="1"/>
  <c r="R24" i="7"/>
  <c r="U24" i="7" s="1"/>
  <c r="V24" i="7" s="1"/>
  <c r="O6" i="3"/>
  <c r="O11" i="3"/>
  <c r="O12" i="3"/>
  <c r="O13" i="3"/>
  <c r="O14" i="3"/>
  <c r="O17" i="3"/>
  <c r="O18" i="3"/>
  <c r="O19" i="3"/>
  <c r="O20" i="3"/>
  <c r="O23" i="3"/>
  <c r="O24" i="3"/>
  <c r="O25" i="3"/>
  <c r="O26" i="3"/>
  <c r="O29" i="3"/>
  <c r="O30" i="3"/>
  <c r="O31" i="3"/>
  <c r="O32" i="3"/>
  <c r="O5" i="3"/>
  <c r="C5" i="3"/>
  <c r="P5" i="3"/>
  <c r="C6" i="3"/>
  <c r="P6" i="3"/>
  <c r="P11" i="3"/>
  <c r="C12" i="3"/>
  <c r="P12" i="3"/>
  <c r="C13" i="3"/>
  <c r="P13" i="3"/>
  <c r="C14" i="3"/>
  <c r="P14" i="3"/>
  <c r="C17" i="3"/>
  <c r="P17" i="3"/>
  <c r="C18" i="3"/>
  <c r="P18" i="3"/>
  <c r="C19" i="3"/>
  <c r="P19" i="3"/>
  <c r="C20" i="3"/>
  <c r="P20" i="3"/>
  <c r="C23" i="3"/>
  <c r="P23" i="3"/>
  <c r="C24" i="3"/>
  <c r="P24" i="3"/>
  <c r="C25" i="3"/>
  <c r="P25" i="3"/>
  <c r="C26" i="3"/>
  <c r="P26" i="3"/>
  <c r="C29" i="3"/>
  <c r="P29" i="3"/>
  <c r="C30" i="3"/>
  <c r="P30" i="3"/>
  <c r="C31" i="3"/>
  <c r="P31" i="3"/>
  <c r="C32" i="3"/>
  <c r="P32" i="3"/>
  <c r="S1070" i="10" l="1"/>
  <c r="Q1100" i="10"/>
  <c r="R1100" i="10" s="1"/>
  <c r="U1100" i="10" s="1"/>
  <c r="V1100" i="10" s="1"/>
  <c r="Q1103" i="10"/>
  <c r="R1103" i="10" s="1"/>
  <c r="U1103" i="10" s="1"/>
  <c r="V1103" i="10" s="1"/>
  <c r="Q1104" i="10"/>
  <c r="R1104" i="10" s="1"/>
  <c r="U1104" i="10" s="1"/>
  <c r="V1104" i="10" s="1"/>
  <c r="Q1101" i="10"/>
  <c r="R1101" i="10" s="1"/>
  <c r="U1101" i="10" s="1"/>
  <c r="V1101" i="10" s="1"/>
  <c r="Q1102" i="10"/>
  <c r="R1102" i="10" s="1"/>
  <c r="U1102" i="10" s="1"/>
  <c r="V1102" i="10" s="1"/>
  <c r="S1073" i="10"/>
  <c r="Q1120" i="10"/>
  <c r="R1120" i="10" s="1"/>
  <c r="U1120" i="10" s="1"/>
  <c r="V1120" i="10" s="1"/>
  <c r="Q1123" i="10"/>
  <c r="R1123" i="10" s="1"/>
  <c r="U1123" i="10" s="1"/>
  <c r="V1123" i="10" s="1"/>
  <c r="Q1121" i="10"/>
  <c r="R1121" i="10" s="1"/>
  <c r="U1121" i="10" s="1"/>
  <c r="V1121" i="10" s="1"/>
  <c r="Q1122" i="10"/>
  <c r="R1122" i="10" s="1"/>
  <c r="U1122" i="10" s="1"/>
  <c r="V1122" i="10" s="1"/>
  <c r="Q1124" i="10"/>
  <c r="R1124" i="10" s="1"/>
  <c r="U1124" i="10" s="1"/>
  <c r="V1124" i="10" s="1"/>
  <c r="S1071" i="10"/>
  <c r="Q1136" i="10"/>
  <c r="R1136" i="10" s="1"/>
  <c r="U1136" i="10" s="1"/>
  <c r="V1136" i="10" s="1"/>
  <c r="Q1139" i="10"/>
  <c r="R1139" i="10" s="1"/>
  <c r="U1139" i="10" s="1"/>
  <c r="V1139" i="10" s="1"/>
  <c r="Q1138" i="10"/>
  <c r="R1138" i="10" s="1"/>
  <c r="U1138" i="10" s="1"/>
  <c r="V1138" i="10" s="1"/>
  <c r="Q1137" i="10"/>
  <c r="R1137" i="10" s="1"/>
  <c r="U1137" i="10" s="1"/>
  <c r="V1137" i="10" s="1"/>
  <c r="Q1135" i="10"/>
  <c r="R1135" i="10" s="1"/>
  <c r="U1135" i="10" s="1"/>
  <c r="V1135" i="10" s="1"/>
  <c r="Q1119" i="10"/>
  <c r="R1119" i="10" s="1"/>
  <c r="U1119" i="10" s="1"/>
  <c r="V1119" i="10" s="1"/>
  <c r="Q1118" i="10"/>
  <c r="R1118" i="10" s="1"/>
  <c r="U1118" i="10" s="1"/>
  <c r="V1118" i="10" s="1"/>
  <c r="Q1116" i="10"/>
  <c r="R1116" i="10" s="1"/>
  <c r="U1116" i="10" s="1"/>
  <c r="V1116" i="10" s="1"/>
  <c r="Q1115" i="10"/>
  <c r="R1115" i="10" s="1"/>
  <c r="U1115" i="10" s="1"/>
  <c r="V1115" i="10" s="1"/>
  <c r="Q1117" i="10"/>
  <c r="R1117" i="10" s="1"/>
  <c r="U1117" i="10" s="1"/>
  <c r="V1117" i="10" s="1"/>
  <c r="Q1096" i="10"/>
  <c r="R1096" i="10" s="1"/>
  <c r="U1096" i="10" s="1"/>
  <c r="V1096" i="10" s="1"/>
  <c r="Q1099" i="10"/>
  <c r="R1099" i="10" s="1"/>
  <c r="U1099" i="10" s="1"/>
  <c r="V1099" i="10" s="1"/>
  <c r="Q1098" i="10"/>
  <c r="R1098" i="10" s="1"/>
  <c r="U1098" i="10" s="1"/>
  <c r="V1098" i="10" s="1"/>
  <c r="Q1097" i="10"/>
  <c r="R1097" i="10" s="1"/>
  <c r="U1097" i="10" s="1"/>
  <c r="V1097" i="10" s="1"/>
  <c r="Q1095" i="10"/>
  <c r="R1095" i="10" s="1"/>
  <c r="U1095" i="10" s="1"/>
  <c r="V1095" i="10" s="1"/>
  <c r="Q1076" i="10"/>
  <c r="R1076" i="10" s="1"/>
  <c r="U1076" i="10" s="1"/>
  <c r="V1076" i="10" s="1"/>
  <c r="Q1078" i="10"/>
  <c r="R1078" i="10" s="1"/>
  <c r="U1078" i="10" s="1"/>
  <c r="V1078" i="10" s="1"/>
  <c r="Q1079" i="10"/>
  <c r="R1079" i="10" s="1"/>
  <c r="U1079" i="10" s="1"/>
  <c r="V1079" i="10" s="1"/>
  <c r="Q1075" i="10"/>
  <c r="R1075" i="10" s="1"/>
  <c r="U1075" i="10" s="1"/>
  <c r="V1075" i="10" s="1"/>
  <c r="Q1077" i="10"/>
  <c r="R1077" i="10" s="1"/>
  <c r="U1077" i="10" s="1"/>
  <c r="V1077" i="10" s="1"/>
  <c r="S1074" i="10"/>
  <c r="S1072" i="10"/>
  <c r="Q106" i="1"/>
  <c r="R106" i="1" s="1"/>
  <c r="U106" i="1" s="1"/>
  <c r="V106" i="1" s="1"/>
  <c r="Q107" i="7"/>
  <c r="R107" i="7" s="1"/>
  <c r="U107" i="7" s="1"/>
  <c r="V107" i="7" s="1"/>
  <c r="Q107" i="1"/>
  <c r="R107" i="1" s="1"/>
  <c r="U107" i="1" s="1"/>
  <c r="V107" i="1" s="1"/>
  <c r="Q111" i="1"/>
  <c r="R111" i="1" s="1"/>
  <c r="U111" i="1" s="1"/>
  <c r="V111" i="1" s="1"/>
  <c r="Q108" i="1"/>
  <c r="R108" i="1" s="1"/>
  <c r="U108" i="1" s="1"/>
  <c r="V108" i="1" s="1"/>
  <c r="Q112" i="1"/>
  <c r="R112" i="1" s="1"/>
  <c r="U112" i="1" s="1"/>
  <c r="V112" i="1" s="1"/>
  <c r="Q112" i="7"/>
  <c r="R112" i="7" s="1"/>
  <c r="U112" i="7" s="1"/>
  <c r="V112" i="7" s="1"/>
  <c r="Q105" i="1"/>
  <c r="R105" i="1" s="1"/>
  <c r="U105" i="1" s="1"/>
  <c r="V105" i="1" s="1"/>
  <c r="Q109" i="1"/>
  <c r="R109" i="1" s="1"/>
  <c r="U109" i="1" s="1"/>
  <c r="V109" i="1" s="1"/>
  <c r="Q113" i="1"/>
  <c r="R113" i="1" s="1"/>
  <c r="U113" i="1" s="1"/>
  <c r="V113" i="1" s="1"/>
  <c r="Q110" i="1"/>
  <c r="R110" i="1" s="1"/>
  <c r="U110" i="1" s="1"/>
  <c r="V110" i="1" s="1"/>
  <c r="Q114" i="1"/>
  <c r="R114" i="1" s="1"/>
  <c r="U114" i="1" s="1"/>
  <c r="V114" i="1" s="1"/>
  <c r="Q113" i="7"/>
  <c r="R113" i="7" s="1"/>
  <c r="U113" i="7" s="1"/>
  <c r="V113" i="7" s="1"/>
  <c r="Q105" i="7"/>
  <c r="R105" i="7" s="1"/>
  <c r="U105" i="7" s="1"/>
  <c r="V105" i="7" s="1"/>
  <c r="Q109" i="7"/>
  <c r="R109" i="7" s="1"/>
  <c r="U109" i="7" s="1"/>
  <c r="V109" i="7" s="1"/>
  <c r="Q110" i="7"/>
  <c r="R110" i="7" s="1"/>
  <c r="U110" i="7" s="1"/>
  <c r="V110" i="7" s="1"/>
  <c r="Q106" i="7"/>
  <c r="R106" i="7" s="1"/>
  <c r="U106" i="7" s="1"/>
  <c r="V106" i="7" s="1"/>
  <c r="Q111" i="7"/>
  <c r="R111" i="7" s="1"/>
  <c r="U111" i="7" s="1"/>
  <c r="V111" i="7" s="1"/>
  <c r="Q114" i="7"/>
  <c r="R114" i="7" s="1"/>
  <c r="U114" i="7" s="1"/>
  <c r="V114" i="7" s="1"/>
  <c r="Q108" i="7"/>
  <c r="R108" i="7" s="1"/>
  <c r="U108" i="7" s="1"/>
  <c r="V108" i="7" s="1"/>
  <c r="Q1152" i="10"/>
  <c r="R1152" i="10" s="1"/>
  <c r="U1152" i="10" s="1"/>
  <c r="V1152" i="10" s="1"/>
  <c r="Q1151" i="10"/>
  <c r="R1151" i="10" s="1"/>
  <c r="U1151" i="10" s="1"/>
  <c r="V1151" i="10" s="1"/>
  <c r="Q1150" i="10"/>
  <c r="R1150" i="10" s="1"/>
  <c r="U1150" i="10" s="1"/>
  <c r="V1150" i="10" s="1"/>
  <c r="Q1154" i="10"/>
  <c r="R1154" i="10" s="1"/>
  <c r="U1154" i="10" s="1"/>
  <c r="V1154" i="10" s="1"/>
  <c r="Q1153" i="10"/>
  <c r="R1153" i="10" s="1"/>
  <c r="U1153" i="10" s="1"/>
  <c r="V1153" i="10" s="1"/>
  <c r="Q1113" i="10"/>
  <c r="R1113" i="10" s="1"/>
  <c r="U1113" i="10" s="1"/>
  <c r="V1113" i="10" s="1"/>
  <c r="Q1110" i="10"/>
  <c r="R1110" i="10" s="1"/>
  <c r="U1110" i="10" s="1"/>
  <c r="V1110" i="10" s="1"/>
  <c r="Q1111" i="10"/>
  <c r="R1111" i="10" s="1"/>
  <c r="U1111" i="10" s="1"/>
  <c r="V1111" i="10" s="1"/>
  <c r="Q1114" i="10"/>
  <c r="R1114" i="10" s="1"/>
  <c r="U1114" i="10" s="1"/>
  <c r="V1114" i="10" s="1"/>
  <c r="Q1112" i="10"/>
  <c r="R1112" i="10" s="1"/>
  <c r="U1112" i="10" s="1"/>
  <c r="V1112" i="10" s="1"/>
  <c r="Q1093" i="10"/>
  <c r="R1093" i="10" s="1"/>
  <c r="U1093" i="10" s="1"/>
  <c r="V1093" i="10" s="1"/>
  <c r="Q1090" i="10"/>
  <c r="R1090" i="10" s="1"/>
  <c r="U1090" i="10" s="1"/>
  <c r="V1090" i="10" s="1"/>
  <c r="Q1092" i="10"/>
  <c r="R1092" i="10" s="1"/>
  <c r="U1092" i="10" s="1"/>
  <c r="V1092" i="10" s="1"/>
  <c r="Q1091" i="10"/>
  <c r="R1091" i="10" s="1"/>
  <c r="U1091" i="10" s="1"/>
  <c r="V1091" i="10" s="1"/>
  <c r="Q1094" i="10"/>
  <c r="R1094" i="10" s="1"/>
  <c r="U1094" i="10" s="1"/>
  <c r="V1094" i="10" s="1"/>
  <c r="Q1066" i="10"/>
  <c r="R1066" i="10" s="1"/>
  <c r="U1066" i="10" s="1"/>
  <c r="V1066" i="10" s="1"/>
  <c r="Q1068" i="10"/>
  <c r="R1068" i="10" s="1"/>
  <c r="U1068" i="10" s="1"/>
  <c r="V1068" i="10" s="1"/>
  <c r="Q1069" i="10"/>
  <c r="R1069" i="10" s="1"/>
  <c r="U1069" i="10" s="1"/>
  <c r="V1069" i="10" s="1"/>
  <c r="Q1065" i="10"/>
  <c r="R1065" i="10" s="1"/>
  <c r="U1065" i="10" s="1"/>
  <c r="V1065" i="10" s="1"/>
  <c r="Q1067" i="10"/>
  <c r="R1067" i="10" s="1"/>
  <c r="U1067" i="10" s="1"/>
  <c r="V1067" i="10" s="1"/>
  <c r="T1074" i="10"/>
  <c r="Q1083" i="10"/>
  <c r="R1083" i="10" s="1"/>
  <c r="U1083" i="10" s="1"/>
  <c r="V1083" i="10" s="1"/>
  <c r="Q1080" i="10"/>
  <c r="R1080" i="10" s="1"/>
  <c r="U1080" i="10" s="1"/>
  <c r="V1080" i="10" s="1"/>
  <c r="Q1082" i="10"/>
  <c r="R1082" i="10" s="1"/>
  <c r="U1082" i="10" s="1"/>
  <c r="V1082" i="10" s="1"/>
  <c r="Q1084" i="10"/>
  <c r="R1084" i="10" s="1"/>
  <c r="U1084" i="10" s="1"/>
  <c r="V1084" i="10" s="1"/>
  <c r="Q1081" i="10"/>
  <c r="R1081" i="10" s="1"/>
  <c r="U1081" i="10" s="1"/>
  <c r="V1081" i="10" s="1"/>
  <c r="S1099" i="10"/>
  <c r="S1096" i="10"/>
  <c r="S1098" i="10"/>
  <c r="S1095" i="10"/>
  <c r="Q1130" i="10"/>
  <c r="R1130" i="10" s="1"/>
  <c r="U1130" i="10" s="1"/>
  <c r="V1130" i="10" s="1"/>
  <c r="Q1133" i="10"/>
  <c r="R1133" i="10" s="1"/>
  <c r="U1133" i="10" s="1"/>
  <c r="V1133" i="10" s="1"/>
  <c r="Q1132" i="10"/>
  <c r="R1132" i="10" s="1"/>
  <c r="U1132" i="10" s="1"/>
  <c r="V1132" i="10" s="1"/>
  <c r="Q1134" i="10"/>
  <c r="R1134" i="10" s="1"/>
  <c r="U1134" i="10" s="1"/>
  <c r="V1134" i="10" s="1"/>
  <c r="Q1131" i="10"/>
  <c r="R1131" i="10" s="1"/>
  <c r="U1131" i="10" s="1"/>
  <c r="V1131" i="10" s="1"/>
  <c r="S111" i="1"/>
  <c r="S111" i="7"/>
  <c r="S114" i="1"/>
  <c r="S113" i="1"/>
  <c r="S112" i="7"/>
  <c r="S114" i="7"/>
  <c r="S110" i="7"/>
  <c r="S109" i="7"/>
  <c r="S107" i="1"/>
  <c r="S108" i="7"/>
  <c r="S107" i="7"/>
  <c r="S110" i="1"/>
  <c r="S1150" i="10"/>
  <c r="S1153" i="10"/>
  <c r="S1152" i="10"/>
  <c r="S1113" i="10"/>
  <c r="S1110" i="10"/>
  <c r="S1111" i="10"/>
  <c r="S1093" i="10"/>
  <c r="S1091" i="10"/>
  <c r="S1094" i="10"/>
  <c r="S1069" i="10"/>
  <c r="S1065" i="10"/>
  <c r="Q1140" i="10"/>
  <c r="R1140" i="10" s="1"/>
  <c r="U1140" i="10" s="1"/>
  <c r="V1140" i="10" s="1"/>
  <c r="Q1142" i="10"/>
  <c r="R1142" i="10" s="1"/>
  <c r="U1142" i="10" s="1"/>
  <c r="V1142" i="10" s="1"/>
  <c r="Q1141" i="10"/>
  <c r="R1141" i="10" s="1"/>
  <c r="U1141" i="10" s="1"/>
  <c r="V1141" i="10" s="1"/>
  <c r="Q1143" i="10"/>
  <c r="R1143" i="10" s="1"/>
  <c r="U1143" i="10" s="1"/>
  <c r="V1143" i="10" s="1"/>
  <c r="Q1144" i="10"/>
  <c r="R1144" i="10" s="1"/>
  <c r="U1144" i="10" s="1"/>
  <c r="V1144" i="10" s="1"/>
  <c r="Q1057" i="10"/>
  <c r="R1057" i="10" s="1"/>
  <c r="U1057" i="10" s="1"/>
  <c r="V1057" i="10" s="1"/>
  <c r="Q1056" i="10"/>
  <c r="R1056" i="10" s="1"/>
  <c r="U1056" i="10" s="1"/>
  <c r="V1056" i="10" s="1"/>
  <c r="Q1058" i="10"/>
  <c r="R1058" i="10" s="1"/>
  <c r="U1058" i="10" s="1"/>
  <c r="V1058" i="10" s="1"/>
  <c r="Q1059" i="10"/>
  <c r="R1059" i="10" s="1"/>
  <c r="U1059" i="10" s="1"/>
  <c r="V1059" i="10" s="1"/>
  <c r="Q1055" i="10"/>
  <c r="R1055" i="10" s="1"/>
  <c r="U1055" i="10" s="1"/>
  <c r="V1055" i="10" s="1"/>
  <c r="S1137" i="10"/>
  <c r="S1139" i="10"/>
  <c r="S1136" i="10"/>
  <c r="S1135" i="10"/>
  <c r="S1138" i="10"/>
  <c r="S1077" i="10"/>
  <c r="S1075" i="10"/>
  <c r="S1079" i="10"/>
  <c r="S1078" i="10"/>
  <c r="S1076" i="10"/>
  <c r="Q1146" i="10"/>
  <c r="R1146" i="10" s="1"/>
  <c r="U1146" i="10" s="1"/>
  <c r="V1146" i="10" s="1"/>
  <c r="Q1149" i="10"/>
  <c r="R1149" i="10" s="1"/>
  <c r="U1149" i="10" s="1"/>
  <c r="V1149" i="10" s="1"/>
  <c r="Q1145" i="10"/>
  <c r="R1145" i="10" s="1"/>
  <c r="U1145" i="10" s="1"/>
  <c r="V1145" i="10" s="1"/>
  <c r="Q1148" i="10"/>
  <c r="R1148" i="10" s="1"/>
  <c r="U1148" i="10" s="1"/>
  <c r="V1148" i="10" s="1"/>
  <c r="Q1147" i="10"/>
  <c r="R1147" i="10" s="1"/>
  <c r="U1147" i="10" s="1"/>
  <c r="V1147" i="10" s="1"/>
  <c r="Q1129" i="10"/>
  <c r="R1129" i="10" s="1"/>
  <c r="U1129" i="10" s="1"/>
  <c r="V1129" i="10" s="1"/>
  <c r="Q1128" i="10"/>
  <c r="R1128" i="10" s="1"/>
  <c r="U1128" i="10" s="1"/>
  <c r="V1128" i="10" s="1"/>
  <c r="Q1126" i="10"/>
  <c r="R1126" i="10" s="1"/>
  <c r="U1126" i="10" s="1"/>
  <c r="V1126" i="10" s="1"/>
  <c r="Q1125" i="10"/>
  <c r="R1125" i="10" s="1"/>
  <c r="U1125" i="10" s="1"/>
  <c r="V1125" i="10" s="1"/>
  <c r="Q1127" i="10"/>
  <c r="R1127" i="10" s="1"/>
  <c r="U1127" i="10" s="1"/>
  <c r="V1127" i="10" s="1"/>
  <c r="Q1106" i="10"/>
  <c r="R1106" i="10" s="1"/>
  <c r="U1106" i="10" s="1"/>
  <c r="V1106" i="10" s="1"/>
  <c r="Q1108" i="10"/>
  <c r="R1108" i="10" s="1"/>
  <c r="U1108" i="10" s="1"/>
  <c r="V1108" i="10" s="1"/>
  <c r="Q1109" i="10"/>
  <c r="R1109" i="10" s="1"/>
  <c r="U1109" i="10" s="1"/>
  <c r="V1109" i="10" s="1"/>
  <c r="Q1105" i="10"/>
  <c r="R1105" i="10" s="1"/>
  <c r="U1105" i="10" s="1"/>
  <c r="V1105" i="10" s="1"/>
  <c r="Q1107" i="10"/>
  <c r="R1107" i="10" s="1"/>
  <c r="U1107" i="10" s="1"/>
  <c r="V1107" i="10" s="1"/>
  <c r="Q1088" i="10"/>
  <c r="R1088" i="10" s="1"/>
  <c r="U1088" i="10" s="1"/>
  <c r="V1088" i="10" s="1"/>
  <c r="Q1086" i="10"/>
  <c r="R1086" i="10" s="1"/>
  <c r="U1086" i="10" s="1"/>
  <c r="V1086" i="10" s="1"/>
  <c r="Q1089" i="10"/>
  <c r="R1089" i="10" s="1"/>
  <c r="U1089" i="10" s="1"/>
  <c r="V1089" i="10" s="1"/>
  <c r="Q1087" i="10"/>
  <c r="R1087" i="10" s="1"/>
  <c r="U1087" i="10" s="1"/>
  <c r="V1087" i="10" s="1"/>
  <c r="Q1085" i="10"/>
  <c r="R1085" i="10" s="1"/>
  <c r="U1085" i="10" s="1"/>
  <c r="V1085" i="10" s="1"/>
  <c r="Q1061" i="10"/>
  <c r="R1061" i="10" s="1"/>
  <c r="U1061" i="10" s="1"/>
  <c r="V1061" i="10" s="1"/>
  <c r="Q1063" i="10"/>
  <c r="R1063" i="10" s="1"/>
  <c r="U1063" i="10" s="1"/>
  <c r="V1063" i="10" s="1"/>
  <c r="Q1062" i="10"/>
  <c r="R1062" i="10" s="1"/>
  <c r="U1062" i="10" s="1"/>
  <c r="V1062" i="10" s="1"/>
  <c r="Q1060" i="10"/>
  <c r="R1060" i="10" s="1"/>
  <c r="U1060" i="10" s="1"/>
  <c r="V1060" i="10" s="1"/>
  <c r="Q1064" i="10"/>
  <c r="R1064" i="10" s="1"/>
  <c r="U1064" i="10" s="1"/>
  <c r="V1064" i="10" s="1"/>
  <c r="U546" i="10"/>
  <c r="V546" i="10" s="1"/>
  <c r="S546" i="10"/>
  <c r="S548" i="10"/>
  <c r="S651" i="10"/>
  <c r="U759" i="10"/>
  <c r="V759" i="10" s="1"/>
  <c r="S759" i="10"/>
  <c r="U653" i="10"/>
  <c r="V653" i="10" s="1"/>
  <c r="S653" i="10"/>
  <c r="U547" i="10"/>
  <c r="V547" i="10" s="1"/>
  <c r="S547" i="10"/>
  <c r="U654" i="10"/>
  <c r="V654" i="10" s="1"/>
  <c r="S654" i="10"/>
  <c r="U966" i="10"/>
  <c r="V966" i="10" s="1"/>
  <c r="S966" i="10"/>
  <c r="Q49" i="1"/>
  <c r="Q45" i="7"/>
  <c r="R45" i="7" s="1"/>
  <c r="U45" i="7" s="1"/>
  <c r="V45" i="7" s="1"/>
  <c r="Q994" i="10"/>
  <c r="Q885" i="10"/>
  <c r="Q784" i="10"/>
  <c r="R784" i="10" s="1"/>
  <c r="U784" i="10" s="1"/>
  <c r="V784" i="10" s="1"/>
  <c r="Q675" i="10"/>
  <c r="R675" i="10" s="1"/>
  <c r="U675" i="10" s="1"/>
  <c r="V675" i="10" s="1"/>
  <c r="Q574" i="10"/>
  <c r="Q48" i="1"/>
  <c r="Q993" i="10"/>
  <c r="R993" i="10" s="1"/>
  <c r="Q783" i="10"/>
  <c r="R783" i="10" s="1"/>
  <c r="Q573" i="10"/>
  <c r="Q47" i="1"/>
  <c r="Q992" i="10"/>
  <c r="R992" i="10" s="1"/>
  <c r="U992" i="10" s="1"/>
  <c r="V992" i="10" s="1"/>
  <c r="Q782" i="10"/>
  <c r="R782" i="10" s="1"/>
  <c r="U782" i="10" s="1"/>
  <c r="V782" i="10" s="1"/>
  <c r="Q572" i="10"/>
  <c r="R572" i="10" s="1"/>
  <c r="U572" i="10" s="1"/>
  <c r="V572" i="10" s="1"/>
  <c r="Q46" i="1"/>
  <c r="Q991" i="10"/>
  <c r="R991" i="10" s="1"/>
  <c r="U991" i="10" s="1"/>
  <c r="V991" i="10" s="1"/>
  <c r="Q781" i="10"/>
  <c r="R781" i="10" s="1"/>
  <c r="U781" i="10" s="1"/>
  <c r="V781" i="10" s="1"/>
  <c r="Q571" i="10"/>
  <c r="Q45" i="1"/>
  <c r="Q49" i="7"/>
  <c r="R49" i="7" s="1"/>
  <c r="U49" i="7" s="1"/>
  <c r="V49" i="7" s="1"/>
  <c r="Q990" i="10"/>
  <c r="R990" i="10" s="1"/>
  <c r="U990" i="10" s="1"/>
  <c r="V990" i="10" s="1"/>
  <c r="Q889" i="10"/>
  <c r="R889" i="10" s="1"/>
  <c r="U889" i="10" s="1"/>
  <c r="V889" i="10" s="1"/>
  <c r="Q780" i="10"/>
  <c r="R780" i="10" s="1"/>
  <c r="U780" i="10" s="1"/>
  <c r="V780" i="10" s="1"/>
  <c r="Q679" i="10"/>
  <c r="R679" i="10" s="1"/>
  <c r="U679" i="10" s="1"/>
  <c r="V679" i="10" s="1"/>
  <c r="Q570" i="10"/>
  <c r="R570" i="10" s="1"/>
  <c r="U570" i="10" s="1"/>
  <c r="V570" i="10" s="1"/>
  <c r="Q678" i="10"/>
  <c r="Q363" i="10"/>
  <c r="Q48" i="10"/>
  <c r="R48" i="10" s="1"/>
  <c r="U48" i="10" s="1"/>
  <c r="V48" i="10" s="1"/>
  <c r="Q677" i="10"/>
  <c r="R677" i="10" s="1"/>
  <c r="U677" i="10" s="1"/>
  <c r="V677" i="10" s="1"/>
  <c r="Q362" i="10"/>
  <c r="R362" i="10" s="1"/>
  <c r="U362" i="10" s="1"/>
  <c r="V362" i="10" s="1"/>
  <c r="Q47" i="10"/>
  <c r="R47" i="10" s="1"/>
  <c r="U47" i="10" s="1"/>
  <c r="V47" i="10" s="1"/>
  <c r="Q48" i="7"/>
  <c r="R48" i="7" s="1"/>
  <c r="U48" i="7" s="1"/>
  <c r="V48" i="7" s="1"/>
  <c r="Q676" i="10"/>
  <c r="R676" i="10" s="1"/>
  <c r="U676" i="10" s="1"/>
  <c r="V676" i="10" s="1"/>
  <c r="Q361" i="10"/>
  <c r="Q46" i="10"/>
  <c r="Q47" i="7"/>
  <c r="R47" i="7" s="1"/>
  <c r="U47" i="7" s="1"/>
  <c r="V47" i="7" s="1"/>
  <c r="Q469" i="10"/>
  <c r="R469" i="10" s="1"/>
  <c r="U469" i="10" s="1"/>
  <c r="V469" i="10" s="1"/>
  <c r="Q360" i="10"/>
  <c r="Q259" i="10"/>
  <c r="R259" i="10" s="1"/>
  <c r="Q45" i="10"/>
  <c r="R45" i="10" s="1"/>
  <c r="U45" i="10" s="1"/>
  <c r="V45" i="10" s="1"/>
  <c r="Q46" i="7"/>
  <c r="R46" i="7" s="1"/>
  <c r="U46" i="7" s="1"/>
  <c r="V46" i="7" s="1"/>
  <c r="Q468" i="10"/>
  <c r="Q258" i="10"/>
  <c r="Q888" i="10"/>
  <c r="R888" i="10" s="1"/>
  <c r="U888" i="10" s="1"/>
  <c r="V888" i="10" s="1"/>
  <c r="Q467" i="10"/>
  <c r="R467" i="10" s="1"/>
  <c r="U467" i="10" s="1"/>
  <c r="V467" i="10" s="1"/>
  <c r="Q257" i="10"/>
  <c r="Q887" i="10"/>
  <c r="R887" i="10" s="1"/>
  <c r="U887" i="10" s="1"/>
  <c r="V887" i="10" s="1"/>
  <c r="Q255" i="10"/>
  <c r="R255" i="10" s="1"/>
  <c r="U255" i="10" s="1"/>
  <c r="V255" i="10" s="1"/>
  <c r="Q886" i="10"/>
  <c r="R886" i="10" s="1"/>
  <c r="Q465" i="10"/>
  <c r="Q466" i="10"/>
  <c r="Q364" i="10"/>
  <c r="R364" i="10" s="1"/>
  <c r="U364" i="10" s="1"/>
  <c r="V364" i="10" s="1"/>
  <c r="Q256" i="10"/>
  <c r="Q49" i="10"/>
  <c r="R49" i="10" s="1"/>
  <c r="U49" i="10" s="1"/>
  <c r="V49" i="10" s="1"/>
  <c r="Q17" i="1"/>
  <c r="Q962" i="10"/>
  <c r="R962" i="10" s="1"/>
  <c r="U962" i="10" s="1"/>
  <c r="V962" i="10" s="1"/>
  <c r="Q752" i="10"/>
  <c r="R752" i="10" s="1"/>
  <c r="U752" i="10" s="1"/>
  <c r="V752" i="10" s="1"/>
  <c r="Q16" i="1"/>
  <c r="Q961" i="10"/>
  <c r="Q751" i="10"/>
  <c r="R751" i="10" s="1"/>
  <c r="U751" i="10" s="1"/>
  <c r="V751" i="10" s="1"/>
  <c r="Q15" i="1"/>
  <c r="Q19" i="7"/>
  <c r="R19" i="7" s="1"/>
  <c r="Q960" i="10"/>
  <c r="R960" i="10" s="1"/>
  <c r="U960" i="10" s="1"/>
  <c r="V960" i="10" s="1"/>
  <c r="Q859" i="10"/>
  <c r="R859" i="10" s="1"/>
  <c r="U859" i="10" s="1"/>
  <c r="V859" i="10" s="1"/>
  <c r="Q750" i="10"/>
  <c r="R750" i="10" s="1"/>
  <c r="U750" i="10" s="1"/>
  <c r="V750" i="10" s="1"/>
  <c r="Q649" i="10"/>
  <c r="Q18" i="7"/>
  <c r="Q858" i="10"/>
  <c r="R858" i="10" s="1"/>
  <c r="U858" i="10" s="1"/>
  <c r="V858" i="10" s="1"/>
  <c r="Q648" i="10"/>
  <c r="R648" i="10" s="1"/>
  <c r="U648" i="10" s="1"/>
  <c r="V648" i="10" s="1"/>
  <c r="Q17" i="7"/>
  <c r="Q857" i="10"/>
  <c r="R857" i="10" s="1"/>
  <c r="U857" i="10" s="1"/>
  <c r="V857" i="10" s="1"/>
  <c r="Q647" i="10"/>
  <c r="R647" i="10" s="1"/>
  <c r="U647" i="10" s="1"/>
  <c r="V647" i="10" s="1"/>
  <c r="Q19" i="1"/>
  <c r="Q541" i="10"/>
  <c r="Q331" i="10"/>
  <c r="Q16" i="10"/>
  <c r="R16" i="10" s="1"/>
  <c r="U16" i="10" s="1"/>
  <c r="V16" i="10" s="1"/>
  <c r="Q18" i="1"/>
  <c r="Q856" i="10"/>
  <c r="Q540" i="10"/>
  <c r="R540" i="10" s="1"/>
  <c r="U540" i="10" s="1"/>
  <c r="V540" i="10" s="1"/>
  <c r="Q439" i="10"/>
  <c r="R439" i="10" s="1"/>
  <c r="U439" i="10" s="1"/>
  <c r="V439" i="10" s="1"/>
  <c r="Q330" i="10"/>
  <c r="R330" i="10" s="1"/>
  <c r="U330" i="10" s="1"/>
  <c r="V330" i="10" s="1"/>
  <c r="Q229" i="10"/>
  <c r="Q15" i="10"/>
  <c r="Q855" i="10"/>
  <c r="R855" i="10" s="1"/>
  <c r="U855" i="10" s="1"/>
  <c r="V855" i="10" s="1"/>
  <c r="Q438" i="10"/>
  <c r="R438" i="10" s="1"/>
  <c r="U438" i="10" s="1"/>
  <c r="V438" i="10" s="1"/>
  <c r="Q228" i="10"/>
  <c r="Q964" i="10"/>
  <c r="R964" i="10" s="1"/>
  <c r="U964" i="10" s="1"/>
  <c r="V964" i="10" s="1"/>
  <c r="Q437" i="10"/>
  <c r="R437" i="10" s="1"/>
  <c r="U437" i="10" s="1"/>
  <c r="V437" i="10" s="1"/>
  <c r="Q227" i="10"/>
  <c r="R227" i="10" s="1"/>
  <c r="U227" i="10" s="1"/>
  <c r="V227" i="10" s="1"/>
  <c r="Q963" i="10"/>
  <c r="Q646" i="10"/>
  <c r="Q436" i="10"/>
  <c r="R436" i="10" s="1"/>
  <c r="Q226" i="10"/>
  <c r="R226" i="10" s="1"/>
  <c r="U226" i="10" s="1"/>
  <c r="V226" i="10" s="1"/>
  <c r="Q645" i="10"/>
  <c r="R645" i="10" s="1"/>
  <c r="U645" i="10" s="1"/>
  <c r="V645" i="10" s="1"/>
  <c r="Q544" i="10"/>
  <c r="R544" i="10" s="1"/>
  <c r="U544" i="10" s="1"/>
  <c r="V544" i="10" s="1"/>
  <c r="Q435" i="10"/>
  <c r="R435" i="10" s="1"/>
  <c r="U435" i="10" s="1"/>
  <c r="V435" i="10" s="1"/>
  <c r="Q334" i="10"/>
  <c r="R334" i="10" s="1"/>
  <c r="U334" i="10" s="1"/>
  <c r="V334" i="10" s="1"/>
  <c r="Q225" i="10"/>
  <c r="Q19" i="10"/>
  <c r="Q332" i="10"/>
  <c r="R332" i="10" s="1"/>
  <c r="U332" i="10" s="1"/>
  <c r="V332" i="10" s="1"/>
  <c r="Q17" i="10"/>
  <c r="R17" i="10" s="1"/>
  <c r="U17" i="10" s="1"/>
  <c r="V17" i="10" s="1"/>
  <c r="Q16" i="7"/>
  <c r="R16" i="7" s="1"/>
  <c r="Q543" i="10"/>
  <c r="R543" i="10" s="1"/>
  <c r="Q753" i="10"/>
  <c r="R753" i="10" s="1"/>
  <c r="U753" i="10" s="1"/>
  <c r="V753" i="10" s="1"/>
  <c r="Q15" i="7"/>
  <c r="R15" i="7" s="1"/>
  <c r="Q542" i="10"/>
  <c r="Q754" i="10"/>
  <c r="Q333" i="10"/>
  <c r="R333" i="10" s="1"/>
  <c r="U333" i="10" s="1"/>
  <c r="V333" i="10" s="1"/>
  <c r="Q18" i="10"/>
  <c r="R18" i="10" s="1"/>
  <c r="U18" i="10" s="1"/>
  <c r="V18" i="10" s="1"/>
  <c r="Q89" i="1"/>
  <c r="Q85" i="7"/>
  <c r="R85" i="7" s="1"/>
  <c r="U85" i="7" s="1"/>
  <c r="V85" i="7" s="1"/>
  <c r="Q1034" i="10"/>
  <c r="R1034" i="10" s="1"/>
  <c r="U1034" i="10" s="1"/>
  <c r="V1034" i="10" s="1"/>
  <c r="Q925" i="10"/>
  <c r="R925" i="10" s="1"/>
  <c r="U925" i="10" s="1"/>
  <c r="V925" i="10" s="1"/>
  <c r="Q824" i="10"/>
  <c r="Q715" i="10"/>
  <c r="Q614" i="10"/>
  <c r="R614" i="10" s="1"/>
  <c r="U614" i="10" s="1"/>
  <c r="V614" i="10" s="1"/>
  <c r="Q88" i="1"/>
  <c r="Q1033" i="10"/>
  <c r="R1033" i="10" s="1"/>
  <c r="U1033" i="10" s="1"/>
  <c r="V1033" i="10" s="1"/>
  <c r="Q823" i="10"/>
  <c r="R823" i="10" s="1"/>
  <c r="U823" i="10" s="1"/>
  <c r="V823" i="10" s="1"/>
  <c r="Q613" i="10"/>
  <c r="R613" i="10" s="1"/>
  <c r="U613" i="10" s="1"/>
  <c r="V613" i="10" s="1"/>
  <c r="Q87" i="1"/>
  <c r="Q1032" i="10"/>
  <c r="Q822" i="10"/>
  <c r="Q612" i="10"/>
  <c r="R612" i="10" s="1"/>
  <c r="U612" i="10" s="1"/>
  <c r="V612" i="10" s="1"/>
  <c r="Q86" i="1"/>
  <c r="Q1031" i="10"/>
  <c r="R1031" i="10" s="1"/>
  <c r="U1031" i="10" s="1"/>
  <c r="V1031" i="10" s="1"/>
  <c r="Q821" i="10"/>
  <c r="R821" i="10" s="1"/>
  <c r="U821" i="10" s="1"/>
  <c r="V821" i="10" s="1"/>
  <c r="Q611" i="10"/>
  <c r="R611" i="10" s="1"/>
  <c r="U611" i="10" s="1"/>
  <c r="V611" i="10" s="1"/>
  <c r="Q85" i="1"/>
  <c r="Q89" i="7"/>
  <c r="Q1030" i="10"/>
  <c r="Q929" i="10"/>
  <c r="R929" i="10" s="1"/>
  <c r="U929" i="10" s="1"/>
  <c r="V929" i="10" s="1"/>
  <c r="Q820" i="10"/>
  <c r="R820" i="10" s="1"/>
  <c r="U820" i="10" s="1"/>
  <c r="V820" i="10" s="1"/>
  <c r="Q719" i="10"/>
  <c r="Q610" i="10"/>
  <c r="R610" i="10" s="1"/>
  <c r="U610" i="10" s="1"/>
  <c r="V610" i="10" s="1"/>
  <c r="Q926" i="10"/>
  <c r="R926" i="10" s="1"/>
  <c r="U926" i="10" s="1"/>
  <c r="V926" i="10" s="1"/>
  <c r="Q403" i="10"/>
  <c r="R403" i="10" s="1"/>
  <c r="U403" i="10" s="1"/>
  <c r="V403" i="10" s="1"/>
  <c r="Q88" i="10"/>
  <c r="Q718" i="10"/>
  <c r="Q402" i="10"/>
  <c r="R402" i="10" s="1"/>
  <c r="U402" i="10" s="1"/>
  <c r="V402" i="10" s="1"/>
  <c r="Q87" i="10"/>
  <c r="R87" i="10" s="1"/>
  <c r="U87" i="10" s="1"/>
  <c r="V87" i="10" s="1"/>
  <c r="Q717" i="10"/>
  <c r="R717" i="10" s="1"/>
  <c r="U717" i="10" s="1"/>
  <c r="V717" i="10" s="1"/>
  <c r="Q401" i="10"/>
  <c r="R401" i="10" s="1"/>
  <c r="U401" i="10" s="1"/>
  <c r="V401" i="10" s="1"/>
  <c r="Q86" i="10"/>
  <c r="R86" i="10" s="1"/>
  <c r="U86" i="10" s="1"/>
  <c r="V86" i="10" s="1"/>
  <c r="Q88" i="7"/>
  <c r="R88" i="7" s="1"/>
  <c r="U88" i="7" s="1"/>
  <c r="V88" i="7" s="1"/>
  <c r="Q716" i="10"/>
  <c r="Q509" i="10"/>
  <c r="Q400" i="10"/>
  <c r="R400" i="10" s="1"/>
  <c r="U400" i="10" s="1"/>
  <c r="V400" i="10" s="1"/>
  <c r="Q299" i="10"/>
  <c r="R299" i="10" s="1"/>
  <c r="U299" i="10" s="1"/>
  <c r="V299" i="10" s="1"/>
  <c r="Q85" i="10"/>
  <c r="Q87" i="7"/>
  <c r="R87" i="7" s="1"/>
  <c r="U87" i="7" s="1"/>
  <c r="V87" i="7" s="1"/>
  <c r="Q508" i="10"/>
  <c r="R508" i="10" s="1"/>
  <c r="U508" i="10" s="1"/>
  <c r="V508" i="10" s="1"/>
  <c r="Q298" i="10"/>
  <c r="R298" i="10" s="1"/>
  <c r="U298" i="10" s="1"/>
  <c r="V298" i="10" s="1"/>
  <c r="Q86" i="7"/>
  <c r="Q507" i="10"/>
  <c r="Q297" i="10"/>
  <c r="R297" i="10" s="1"/>
  <c r="U297" i="10" s="1"/>
  <c r="V297" i="10" s="1"/>
  <c r="Q89" i="10"/>
  <c r="R89" i="10" s="1"/>
  <c r="U89" i="10" s="1"/>
  <c r="V89" i="10" s="1"/>
  <c r="Q927" i="10"/>
  <c r="R927" i="10" s="1"/>
  <c r="U927" i="10" s="1"/>
  <c r="V927" i="10" s="1"/>
  <c r="Q506" i="10"/>
  <c r="R506" i="10" s="1"/>
  <c r="U506" i="10" s="1"/>
  <c r="V506" i="10" s="1"/>
  <c r="Q505" i="10"/>
  <c r="R505" i="10" s="1"/>
  <c r="U505" i="10" s="1"/>
  <c r="V505" i="10" s="1"/>
  <c r="Q404" i="10"/>
  <c r="R404" i="10" s="1"/>
  <c r="U404" i="10" s="1"/>
  <c r="V404" i="10" s="1"/>
  <c r="Q928" i="10"/>
  <c r="Q296" i="10"/>
  <c r="Q295" i="10"/>
  <c r="R295" i="10" s="1"/>
  <c r="U295" i="10" s="1"/>
  <c r="V295" i="10" s="1"/>
  <c r="S21" i="10"/>
  <c r="S23" i="10"/>
  <c r="Q41" i="1"/>
  <c r="Q986" i="10"/>
  <c r="R986" i="10" s="1"/>
  <c r="U986" i="10" s="1"/>
  <c r="V986" i="10" s="1"/>
  <c r="Q776" i="10"/>
  <c r="R776" i="10" s="1"/>
  <c r="U776" i="10" s="1"/>
  <c r="V776" i="10" s="1"/>
  <c r="Q566" i="10"/>
  <c r="Q40" i="1"/>
  <c r="Q44" i="7"/>
  <c r="R44" i="7" s="1"/>
  <c r="U44" i="7" s="1"/>
  <c r="V44" i="7" s="1"/>
  <c r="Q985" i="10"/>
  <c r="R985" i="10" s="1"/>
  <c r="U985" i="10" s="1"/>
  <c r="V985" i="10" s="1"/>
  <c r="Q884" i="10"/>
  <c r="R884" i="10" s="1"/>
  <c r="U884" i="10" s="1"/>
  <c r="V884" i="10" s="1"/>
  <c r="Q775" i="10"/>
  <c r="R775" i="10" s="1"/>
  <c r="U775" i="10" s="1"/>
  <c r="V775" i="10" s="1"/>
  <c r="Q674" i="10"/>
  <c r="R674" i="10" s="1"/>
  <c r="U674" i="10" s="1"/>
  <c r="V674" i="10" s="1"/>
  <c r="Q565" i="10"/>
  <c r="R565" i="10" s="1"/>
  <c r="U565" i="10" s="1"/>
  <c r="V565" i="10" s="1"/>
  <c r="Q43" i="7"/>
  <c r="Q883" i="10"/>
  <c r="Q673" i="10"/>
  <c r="R673" i="10" s="1"/>
  <c r="U673" i="10" s="1"/>
  <c r="V673" i="10" s="1"/>
  <c r="Q42" i="7"/>
  <c r="R42" i="7" s="1"/>
  <c r="U42" i="7" s="1"/>
  <c r="V42" i="7" s="1"/>
  <c r="Q882" i="10"/>
  <c r="R882" i="10" s="1"/>
  <c r="U882" i="10" s="1"/>
  <c r="V882" i="10" s="1"/>
  <c r="Q672" i="10"/>
  <c r="R672" i="10" s="1"/>
  <c r="U672" i="10" s="1"/>
  <c r="V672" i="10" s="1"/>
  <c r="Q41" i="7"/>
  <c r="R41" i="7" s="1"/>
  <c r="U41" i="7" s="1"/>
  <c r="V41" i="7" s="1"/>
  <c r="Q881" i="10"/>
  <c r="R881" i="10" s="1"/>
  <c r="U881" i="10" s="1"/>
  <c r="V881" i="10" s="1"/>
  <c r="Q671" i="10"/>
  <c r="Q42" i="1"/>
  <c r="Q880" i="10"/>
  <c r="R880" i="10" s="1"/>
  <c r="U880" i="10" s="1"/>
  <c r="V880" i="10" s="1"/>
  <c r="Q568" i="10"/>
  <c r="R568" i="10" s="1"/>
  <c r="U568" i="10" s="1"/>
  <c r="V568" i="10" s="1"/>
  <c r="Q464" i="10"/>
  <c r="R464" i="10" s="1"/>
  <c r="U464" i="10" s="1"/>
  <c r="V464" i="10" s="1"/>
  <c r="Q355" i="10"/>
  <c r="R355" i="10" s="1"/>
  <c r="U355" i="10" s="1"/>
  <c r="V355" i="10" s="1"/>
  <c r="Q254" i="10"/>
  <c r="R254" i="10" s="1"/>
  <c r="Q40" i="10"/>
  <c r="R40" i="10" s="1"/>
  <c r="U40" i="10" s="1"/>
  <c r="V40" i="10" s="1"/>
  <c r="Q989" i="10"/>
  <c r="Q567" i="10"/>
  <c r="Q463" i="10"/>
  <c r="R463" i="10" s="1"/>
  <c r="U463" i="10" s="1"/>
  <c r="V463" i="10" s="1"/>
  <c r="Q253" i="10"/>
  <c r="R253" i="10" s="1"/>
  <c r="U253" i="10" s="1"/>
  <c r="V253" i="10" s="1"/>
  <c r="Q988" i="10"/>
  <c r="Q462" i="10"/>
  <c r="R462" i="10" s="1"/>
  <c r="U462" i="10" s="1"/>
  <c r="V462" i="10" s="1"/>
  <c r="Q252" i="10"/>
  <c r="R252" i="10" s="1"/>
  <c r="U252" i="10" s="1"/>
  <c r="V252" i="10" s="1"/>
  <c r="Q987" i="10"/>
  <c r="R987" i="10" s="1"/>
  <c r="U987" i="10" s="1"/>
  <c r="V987" i="10" s="1"/>
  <c r="Q670" i="10"/>
  <c r="Q461" i="10"/>
  <c r="Q251" i="10"/>
  <c r="R251" i="10" s="1"/>
  <c r="U251" i="10" s="1"/>
  <c r="V251" i="10" s="1"/>
  <c r="Q779" i="10"/>
  <c r="R779" i="10" s="1"/>
  <c r="U779" i="10" s="1"/>
  <c r="V779" i="10" s="1"/>
  <c r="Q460" i="10"/>
  <c r="R460" i="10" s="1"/>
  <c r="U460" i="10" s="1"/>
  <c r="V460" i="10" s="1"/>
  <c r="Q359" i="10"/>
  <c r="R359" i="10" s="1"/>
  <c r="U359" i="10" s="1"/>
  <c r="V359" i="10" s="1"/>
  <c r="Q250" i="10"/>
  <c r="R250" i="10" s="1"/>
  <c r="Q44" i="10"/>
  <c r="R44" i="10" s="1"/>
  <c r="Q40" i="7"/>
  <c r="Q778" i="10"/>
  <c r="Q358" i="10"/>
  <c r="R358" i="10" s="1"/>
  <c r="U358" i="10" s="1"/>
  <c r="V358" i="10" s="1"/>
  <c r="Q43" i="10"/>
  <c r="R43" i="10" s="1"/>
  <c r="U43" i="10" s="1"/>
  <c r="V43" i="10" s="1"/>
  <c r="Q41" i="10"/>
  <c r="Q569" i="10"/>
  <c r="R569" i="10" s="1"/>
  <c r="U569" i="10" s="1"/>
  <c r="V569" i="10" s="1"/>
  <c r="Q357" i="10"/>
  <c r="R357" i="10" s="1"/>
  <c r="U357" i="10" s="1"/>
  <c r="V357" i="10" s="1"/>
  <c r="Q356" i="10"/>
  <c r="R356" i="10" s="1"/>
  <c r="U356" i="10" s="1"/>
  <c r="V356" i="10" s="1"/>
  <c r="Q777" i="10"/>
  <c r="Q44" i="1"/>
  <c r="Q42" i="10"/>
  <c r="R42" i="10" s="1"/>
  <c r="U42" i="10" s="1"/>
  <c r="V42" i="10" s="1"/>
  <c r="Q43" i="1"/>
  <c r="S234" i="10"/>
  <c r="Q81" i="1"/>
  <c r="Q1026" i="10"/>
  <c r="R1026" i="10" s="1"/>
  <c r="U1026" i="10" s="1"/>
  <c r="V1026" i="10" s="1"/>
  <c r="Q816" i="10"/>
  <c r="R816" i="10" s="1"/>
  <c r="U816" i="10" s="1"/>
  <c r="V816" i="10" s="1"/>
  <c r="Q606" i="10"/>
  <c r="Q80" i="1"/>
  <c r="Q84" i="7"/>
  <c r="R84" i="7" s="1"/>
  <c r="U84" i="7" s="1"/>
  <c r="V84" i="7" s="1"/>
  <c r="Q1025" i="10"/>
  <c r="R1025" i="10" s="1"/>
  <c r="Q924" i="10"/>
  <c r="Q815" i="10"/>
  <c r="R815" i="10" s="1"/>
  <c r="U815" i="10" s="1"/>
  <c r="V815" i="10" s="1"/>
  <c r="Q714" i="10"/>
  <c r="R714" i="10" s="1"/>
  <c r="U714" i="10" s="1"/>
  <c r="V714" i="10" s="1"/>
  <c r="Q605" i="10"/>
  <c r="R605" i="10" s="1"/>
  <c r="U605" i="10" s="1"/>
  <c r="V605" i="10" s="1"/>
  <c r="Q83" i="7"/>
  <c r="Q923" i="10"/>
  <c r="Q713" i="10"/>
  <c r="R713" i="10" s="1"/>
  <c r="U713" i="10" s="1"/>
  <c r="V713" i="10" s="1"/>
  <c r="Q82" i="7"/>
  <c r="R82" i="7" s="1"/>
  <c r="U82" i="7" s="1"/>
  <c r="V82" i="7" s="1"/>
  <c r="Q922" i="10"/>
  <c r="R922" i="10" s="1"/>
  <c r="U922" i="10" s="1"/>
  <c r="V922" i="10" s="1"/>
  <c r="Q712" i="10"/>
  <c r="R712" i="10" s="1"/>
  <c r="U712" i="10" s="1"/>
  <c r="V712" i="10" s="1"/>
  <c r="Q81" i="7"/>
  <c r="R81" i="7" s="1"/>
  <c r="U81" i="7" s="1"/>
  <c r="V81" i="7" s="1"/>
  <c r="Q921" i="10"/>
  <c r="R921" i="10" s="1"/>
  <c r="U921" i="10" s="1"/>
  <c r="V921" i="10" s="1"/>
  <c r="Q711" i="10"/>
  <c r="Q83" i="1"/>
  <c r="Q609" i="10"/>
  <c r="R609" i="10" s="1"/>
  <c r="U609" i="10" s="1"/>
  <c r="V609" i="10" s="1"/>
  <c r="Q504" i="10"/>
  <c r="R504" i="10" s="1"/>
  <c r="U504" i="10" s="1"/>
  <c r="V504" i="10" s="1"/>
  <c r="Q395" i="10"/>
  <c r="R395" i="10" s="1"/>
  <c r="U395" i="10" s="1"/>
  <c r="V395" i="10" s="1"/>
  <c r="Q294" i="10"/>
  <c r="R294" i="10" s="1"/>
  <c r="Q80" i="10"/>
  <c r="R80" i="10" s="1"/>
  <c r="U80" i="10" s="1"/>
  <c r="V80" i="10" s="1"/>
  <c r="Q82" i="1"/>
  <c r="Q920" i="10"/>
  <c r="Q608" i="10"/>
  <c r="Q503" i="10"/>
  <c r="R503" i="10" s="1"/>
  <c r="U503" i="10" s="1"/>
  <c r="V503" i="10" s="1"/>
  <c r="Q293" i="10"/>
  <c r="R293" i="10" s="1"/>
  <c r="U293" i="10" s="1"/>
  <c r="V293" i="10" s="1"/>
  <c r="Q1029" i="10"/>
  <c r="R1029" i="10" s="1"/>
  <c r="U1029" i="10" s="1"/>
  <c r="V1029" i="10" s="1"/>
  <c r="Q607" i="10"/>
  <c r="R607" i="10" s="1"/>
  <c r="U607" i="10" s="1"/>
  <c r="V607" i="10" s="1"/>
  <c r="Q502" i="10"/>
  <c r="R502" i="10" s="1"/>
  <c r="U502" i="10" s="1"/>
  <c r="V502" i="10" s="1"/>
  <c r="Q292" i="10"/>
  <c r="R292" i="10" s="1"/>
  <c r="Q1028" i="10"/>
  <c r="Q501" i="10"/>
  <c r="Q291" i="10"/>
  <c r="R291" i="10" s="1"/>
  <c r="Q1027" i="10"/>
  <c r="R1027" i="10" s="1"/>
  <c r="U1027" i="10" s="1"/>
  <c r="V1027" i="10" s="1"/>
  <c r="Q710" i="10"/>
  <c r="R710" i="10" s="1"/>
  <c r="U710" i="10" s="1"/>
  <c r="V710" i="10" s="1"/>
  <c r="Q500" i="10"/>
  <c r="R500" i="10" s="1"/>
  <c r="U500" i="10" s="1"/>
  <c r="V500" i="10" s="1"/>
  <c r="Q399" i="10"/>
  <c r="R399" i="10" s="1"/>
  <c r="U399" i="10" s="1"/>
  <c r="V399" i="10" s="1"/>
  <c r="Q290" i="10"/>
  <c r="R290" i="10" s="1"/>
  <c r="Q84" i="10"/>
  <c r="Q819" i="10"/>
  <c r="Q398" i="10"/>
  <c r="R398" i="10" s="1"/>
  <c r="U398" i="10" s="1"/>
  <c r="V398" i="10" s="1"/>
  <c r="Q83" i="10"/>
  <c r="R83" i="10" s="1"/>
  <c r="U83" i="10" s="1"/>
  <c r="V83" i="10" s="1"/>
  <c r="Q817" i="10"/>
  <c r="Q396" i="10"/>
  <c r="R396" i="10" s="1"/>
  <c r="U396" i="10" s="1"/>
  <c r="V396" i="10" s="1"/>
  <c r="Q82" i="10"/>
  <c r="R82" i="10" s="1"/>
  <c r="U82" i="10" s="1"/>
  <c r="V82" i="10" s="1"/>
  <c r="Q84" i="1"/>
  <c r="Q80" i="7"/>
  <c r="Q397" i="10"/>
  <c r="Q81" i="10"/>
  <c r="R81" i="10" s="1"/>
  <c r="U81" i="10" s="1"/>
  <c r="V81" i="10" s="1"/>
  <c r="Q818" i="10"/>
  <c r="R818" i="10" s="1"/>
  <c r="U818" i="10" s="1"/>
  <c r="V818" i="10" s="1"/>
  <c r="S125" i="10"/>
  <c r="Q97" i="1"/>
  <c r="Q1042" i="10"/>
  <c r="R1042" i="10" s="1"/>
  <c r="U1042" i="10" s="1"/>
  <c r="V1042" i="10" s="1"/>
  <c r="Q832" i="10"/>
  <c r="R832" i="10" s="1"/>
  <c r="U832" i="10" s="1"/>
  <c r="V832" i="10" s="1"/>
  <c r="Q622" i="10"/>
  <c r="Q96" i="1"/>
  <c r="Q1041" i="10"/>
  <c r="R1041" i="10" s="1"/>
  <c r="U1041" i="10" s="1"/>
  <c r="V1041" i="10" s="1"/>
  <c r="Q831" i="10"/>
  <c r="R831" i="10" s="1"/>
  <c r="U831" i="10" s="1"/>
  <c r="V831" i="10" s="1"/>
  <c r="Q621" i="10"/>
  <c r="R621" i="10" s="1"/>
  <c r="U621" i="10" s="1"/>
  <c r="V621" i="10" s="1"/>
  <c r="Q95" i="1"/>
  <c r="Q99" i="7"/>
  <c r="R99" i="7" s="1"/>
  <c r="U99" i="7" s="1"/>
  <c r="V99" i="7" s="1"/>
  <c r="Q1040" i="10"/>
  <c r="R1040" i="10" s="1"/>
  <c r="U1040" i="10" s="1"/>
  <c r="V1040" i="10" s="1"/>
  <c r="Q939" i="10"/>
  <c r="Q830" i="10"/>
  <c r="Q729" i="10"/>
  <c r="R729" i="10" s="1"/>
  <c r="U729" i="10" s="1"/>
  <c r="V729" i="10" s="1"/>
  <c r="Q620" i="10"/>
  <c r="R620" i="10" s="1"/>
  <c r="U620" i="10" s="1"/>
  <c r="V620" i="10" s="1"/>
  <c r="Q98" i="7"/>
  <c r="R98" i="7" s="1"/>
  <c r="Q938" i="10"/>
  <c r="R938" i="10" s="1"/>
  <c r="U938" i="10" s="1"/>
  <c r="V938" i="10" s="1"/>
  <c r="Q728" i="10"/>
  <c r="R728" i="10" s="1"/>
  <c r="U728" i="10" s="1"/>
  <c r="V728" i="10" s="1"/>
  <c r="Q97" i="7"/>
  <c r="R97" i="7" s="1"/>
  <c r="U97" i="7" s="1"/>
  <c r="V97" i="7" s="1"/>
  <c r="Q937" i="10"/>
  <c r="Q727" i="10"/>
  <c r="Q96" i="7"/>
  <c r="R96" i="7" s="1"/>
  <c r="U96" i="7" s="1"/>
  <c r="V96" i="7" s="1"/>
  <c r="Q834" i="10"/>
  <c r="Q411" i="10"/>
  <c r="Q96" i="10"/>
  <c r="R96" i="10" s="1"/>
  <c r="U96" i="10" s="1"/>
  <c r="V96" i="10" s="1"/>
  <c r="Q95" i="7"/>
  <c r="R95" i="7" s="1"/>
  <c r="Q833" i="10"/>
  <c r="R833" i="10" s="1"/>
  <c r="U833" i="10" s="1"/>
  <c r="V833" i="10" s="1"/>
  <c r="Q519" i="10"/>
  <c r="Q410" i="10"/>
  <c r="Q309" i="10"/>
  <c r="R309" i="10" s="1"/>
  <c r="U309" i="10" s="1"/>
  <c r="V309" i="10" s="1"/>
  <c r="Q95" i="10"/>
  <c r="R95" i="10" s="1"/>
  <c r="U95" i="10" s="1"/>
  <c r="V95" i="10" s="1"/>
  <c r="Q99" i="1"/>
  <c r="Q518" i="10"/>
  <c r="R518" i="10" s="1"/>
  <c r="U518" i="10" s="1"/>
  <c r="V518" i="10" s="1"/>
  <c r="Q308" i="10"/>
  <c r="R308" i="10" s="1"/>
  <c r="U308" i="10" s="1"/>
  <c r="V308" i="10" s="1"/>
  <c r="Q98" i="1"/>
  <c r="Q936" i="10"/>
  <c r="Q624" i="10"/>
  <c r="Q517" i="10"/>
  <c r="R517" i="10" s="1"/>
  <c r="Q307" i="10"/>
  <c r="R307" i="10" s="1"/>
  <c r="Q935" i="10"/>
  <c r="R935" i="10" s="1"/>
  <c r="U935" i="10" s="1"/>
  <c r="V935" i="10" s="1"/>
  <c r="Q623" i="10"/>
  <c r="R623" i="10" s="1"/>
  <c r="U623" i="10" s="1"/>
  <c r="V623" i="10" s="1"/>
  <c r="Q516" i="10"/>
  <c r="R516" i="10" s="1"/>
  <c r="U516" i="10" s="1"/>
  <c r="V516" i="10" s="1"/>
  <c r="Q306" i="10"/>
  <c r="R306" i="10" s="1"/>
  <c r="U306" i="10" s="1"/>
  <c r="V306" i="10" s="1"/>
  <c r="Q1044" i="10"/>
  <c r="Q515" i="10"/>
  <c r="Q414" i="10"/>
  <c r="R414" i="10" s="1"/>
  <c r="U414" i="10" s="1"/>
  <c r="V414" i="10" s="1"/>
  <c r="Q305" i="10"/>
  <c r="Q99" i="10"/>
  <c r="R99" i="10" s="1"/>
  <c r="U99" i="10" s="1"/>
  <c r="V99" i="10" s="1"/>
  <c r="Q725" i="10"/>
  <c r="R725" i="10" s="1"/>
  <c r="U725" i="10" s="1"/>
  <c r="V725" i="10" s="1"/>
  <c r="Q412" i="10"/>
  <c r="R412" i="10" s="1"/>
  <c r="U412" i="10" s="1"/>
  <c r="V412" i="10" s="1"/>
  <c r="Q98" i="10"/>
  <c r="R98" i="10" s="1"/>
  <c r="U98" i="10" s="1"/>
  <c r="V98" i="10" s="1"/>
  <c r="Q97" i="10"/>
  <c r="Q1043" i="10"/>
  <c r="Q726" i="10"/>
  <c r="R726" i="10" s="1"/>
  <c r="Q413" i="10"/>
  <c r="R413" i="10" s="1"/>
  <c r="U413" i="10" s="1"/>
  <c r="V413" i="10" s="1"/>
  <c r="Q77" i="7"/>
  <c r="R77" i="7" s="1"/>
  <c r="U77" i="7" s="1"/>
  <c r="V77" i="7" s="1"/>
  <c r="Q917" i="10"/>
  <c r="R917" i="10" s="1"/>
  <c r="U917" i="10" s="1"/>
  <c r="V917" i="10" s="1"/>
  <c r="Q707" i="10"/>
  <c r="R707" i="10" s="1"/>
  <c r="U707" i="10" s="1"/>
  <c r="V707" i="10" s="1"/>
  <c r="Q76" i="7"/>
  <c r="R76" i="7" s="1"/>
  <c r="U76" i="7" s="1"/>
  <c r="V76" i="7" s="1"/>
  <c r="Q916" i="10"/>
  <c r="Q706" i="10"/>
  <c r="Q79" i="1"/>
  <c r="Q75" i="7"/>
  <c r="R75" i="7" s="1"/>
  <c r="U75" i="7" s="1"/>
  <c r="V75" i="7" s="1"/>
  <c r="Q1024" i="10"/>
  <c r="Q915" i="10"/>
  <c r="R915" i="10" s="1"/>
  <c r="U915" i="10" s="1"/>
  <c r="V915" i="10" s="1"/>
  <c r="Q814" i="10"/>
  <c r="R814" i="10" s="1"/>
  <c r="U814" i="10" s="1"/>
  <c r="V814" i="10" s="1"/>
  <c r="Q705" i="10"/>
  <c r="R705" i="10" s="1"/>
  <c r="U705" i="10" s="1"/>
  <c r="V705" i="10" s="1"/>
  <c r="Q604" i="10"/>
  <c r="Q78" i="1"/>
  <c r="Q1023" i="10"/>
  <c r="R1023" i="10" s="1"/>
  <c r="U1023" i="10" s="1"/>
  <c r="V1023" i="10" s="1"/>
  <c r="Q813" i="10"/>
  <c r="R813" i="10" s="1"/>
  <c r="U813" i="10" s="1"/>
  <c r="V813" i="10" s="1"/>
  <c r="Q603" i="10"/>
  <c r="Q77" i="1"/>
  <c r="Q1022" i="10"/>
  <c r="R1022" i="10" s="1"/>
  <c r="U1022" i="10" s="1"/>
  <c r="V1022" i="10" s="1"/>
  <c r="Q812" i="10"/>
  <c r="R812" i="10" s="1"/>
  <c r="U812" i="10" s="1"/>
  <c r="V812" i="10" s="1"/>
  <c r="Q602" i="10"/>
  <c r="Q78" i="7"/>
  <c r="R78" i="7" s="1"/>
  <c r="U78" i="7" s="1"/>
  <c r="V78" i="7" s="1"/>
  <c r="Q811" i="10"/>
  <c r="R811" i="10" s="1"/>
  <c r="U811" i="10" s="1"/>
  <c r="V811" i="10" s="1"/>
  <c r="Q496" i="10"/>
  <c r="Q286" i="10"/>
  <c r="R286" i="10" s="1"/>
  <c r="U286" i="10" s="1"/>
  <c r="V286" i="10" s="1"/>
  <c r="Q810" i="10"/>
  <c r="R810" i="10" s="1"/>
  <c r="U810" i="10" s="1"/>
  <c r="V810" i="10" s="1"/>
  <c r="Q495" i="10"/>
  <c r="R495" i="10" s="1"/>
  <c r="U495" i="10" s="1"/>
  <c r="V495" i="10" s="1"/>
  <c r="Q394" i="10"/>
  <c r="R394" i="10" s="1"/>
  <c r="U394" i="10" s="1"/>
  <c r="V394" i="10" s="1"/>
  <c r="Q285" i="10"/>
  <c r="Q79" i="10"/>
  <c r="Q76" i="1"/>
  <c r="Q919" i="10"/>
  <c r="R919" i="10" s="1"/>
  <c r="U919" i="10" s="1"/>
  <c r="V919" i="10" s="1"/>
  <c r="Q393" i="10"/>
  <c r="Q78" i="10"/>
  <c r="R78" i="10" s="1"/>
  <c r="U78" i="10" s="1"/>
  <c r="V78" i="10" s="1"/>
  <c r="Q75" i="1"/>
  <c r="Q918" i="10"/>
  <c r="R918" i="10" s="1"/>
  <c r="U918" i="10" s="1"/>
  <c r="V918" i="10" s="1"/>
  <c r="Q601" i="10"/>
  <c r="Q392" i="10"/>
  <c r="Q77" i="10"/>
  <c r="R77" i="10" s="1"/>
  <c r="U77" i="10" s="1"/>
  <c r="V77" i="10" s="1"/>
  <c r="Q600" i="10"/>
  <c r="R600" i="10" s="1"/>
  <c r="U600" i="10" s="1"/>
  <c r="V600" i="10" s="1"/>
  <c r="Q391" i="10"/>
  <c r="R391" i="10" s="1"/>
  <c r="U391" i="10" s="1"/>
  <c r="V391" i="10" s="1"/>
  <c r="Q76" i="10"/>
  <c r="R76" i="10" s="1"/>
  <c r="U76" i="10" s="1"/>
  <c r="V76" i="10" s="1"/>
  <c r="Q1021" i="10"/>
  <c r="R1021" i="10" s="1"/>
  <c r="U1021" i="10" s="1"/>
  <c r="V1021" i="10" s="1"/>
  <c r="Q709" i="10"/>
  <c r="R709" i="10" s="1"/>
  <c r="U709" i="10" s="1"/>
  <c r="V709" i="10" s="1"/>
  <c r="Q499" i="10"/>
  <c r="Q390" i="10"/>
  <c r="Q289" i="10"/>
  <c r="R289" i="10" s="1"/>
  <c r="U289" i="10" s="1"/>
  <c r="V289" i="10" s="1"/>
  <c r="Q75" i="10"/>
  <c r="Q79" i="7"/>
  <c r="R79" i="7" s="1"/>
  <c r="U79" i="7" s="1"/>
  <c r="V79" i="7" s="1"/>
  <c r="Q288" i="10"/>
  <c r="R288" i="10" s="1"/>
  <c r="U288" i="10" s="1"/>
  <c r="V288" i="10" s="1"/>
  <c r="Q287" i="10"/>
  <c r="R287" i="10" s="1"/>
  <c r="U287" i="10" s="1"/>
  <c r="V287" i="10" s="1"/>
  <c r="Q708" i="10"/>
  <c r="R708" i="10" s="1"/>
  <c r="U708" i="10" s="1"/>
  <c r="V708" i="10" s="1"/>
  <c r="Q1020" i="10"/>
  <c r="Q498" i="10"/>
  <c r="Q497" i="10"/>
  <c r="R497" i="10" s="1"/>
  <c r="Q57" i="1"/>
  <c r="Q1002" i="10"/>
  <c r="R1002" i="10" s="1"/>
  <c r="U1002" i="10" s="1"/>
  <c r="V1002" i="10" s="1"/>
  <c r="Q792" i="10"/>
  <c r="R792" i="10" s="1"/>
  <c r="U792" i="10" s="1"/>
  <c r="V792" i="10" s="1"/>
  <c r="Q582" i="10"/>
  <c r="R582" i="10" s="1"/>
  <c r="U582" i="10" s="1"/>
  <c r="V582" i="10" s="1"/>
  <c r="Q56" i="1"/>
  <c r="Q1001" i="10"/>
  <c r="Q791" i="10"/>
  <c r="Q581" i="10"/>
  <c r="R581" i="10" s="1"/>
  <c r="U581" i="10" s="1"/>
  <c r="V581" i="10" s="1"/>
  <c r="Q55" i="1"/>
  <c r="Q59" i="7"/>
  <c r="R59" i="7" s="1"/>
  <c r="U59" i="7" s="1"/>
  <c r="V59" i="7" s="1"/>
  <c r="Q1000" i="10"/>
  <c r="R1000" i="10" s="1"/>
  <c r="U1000" i="10" s="1"/>
  <c r="V1000" i="10" s="1"/>
  <c r="Q899" i="10"/>
  <c r="R899" i="10" s="1"/>
  <c r="Q790" i="10"/>
  <c r="R790" i="10" s="1"/>
  <c r="U790" i="10" s="1"/>
  <c r="V790" i="10" s="1"/>
  <c r="Q689" i="10"/>
  <c r="Q580" i="10"/>
  <c r="Q58" i="7"/>
  <c r="R58" i="7" s="1"/>
  <c r="Q898" i="10"/>
  <c r="R898" i="10" s="1"/>
  <c r="U898" i="10" s="1"/>
  <c r="V898" i="10" s="1"/>
  <c r="Q688" i="10"/>
  <c r="Q57" i="7"/>
  <c r="R57" i="7" s="1"/>
  <c r="U57" i="7" s="1"/>
  <c r="V57" i="7" s="1"/>
  <c r="Q897" i="10"/>
  <c r="R897" i="10" s="1"/>
  <c r="U897" i="10" s="1"/>
  <c r="V897" i="10" s="1"/>
  <c r="Q687" i="10"/>
  <c r="R687" i="10" s="1"/>
  <c r="U687" i="10" s="1"/>
  <c r="V687" i="10" s="1"/>
  <c r="Q55" i="7"/>
  <c r="Q793" i="10"/>
  <c r="Q371" i="10"/>
  <c r="R371" i="10" s="1"/>
  <c r="U371" i="10" s="1"/>
  <c r="V371" i="10" s="1"/>
  <c r="Q56" i="10"/>
  <c r="R56" i="10" s="1"/>
  <c r="U56" i="10" s="1"/>
  <c r="V56" i="10" s="1"/>
  <c r="Q59" i="1"/>
  <c r="Q479" i="10"/>
  <c r="R479" i="10" s="1"/>
  <c r="U479" i="10" s="1"/>
  <c r="V479" i="10" s="1"/>
  <c r="Q370" i="10"/>
  <c r="R370" i="10" s="1"/>
  <c r="U370" i="10" s="1"/>
  <c r="V370" i="10" s="1"/>
  <c r="Q269" i="10"/>
  <c r="R269" i="10" s="1"/>
  <c r="U269" i="10" s="1"/>
  <c r="V269" i="10" s="1"/>
  <c r="Q55" i="10"/>
  <c r="Q58" i="1"/>
  <c r="Q896" i="10"/>
  <c r="R896" i="10" s="1"/>
  <c r="Q584" i="10"/>
  <c r="R584" i="10" s="1"/>
  <c r="U584" i="10" s="1"/>
  <c r="V584" i="10" s="1"/>
  <c r="Q478" i="10"/>
  <c r="R478" i="10" s="1"/>
  <c r="U478" i="10" s="1"/>
  <c r="V478" i="10" s="1"/>
  <c r="Q268" i="10"/>
  <c r="R268" i="10" s="1"/>
  <c r="U268" i="10" s="1"/>
  <c r="V268" i="10" s="1"/>
  <c r="Q895" i="10"/>
  <c r="R895" i="10" s="1"/>
  <c r="U895" i="10" s="1"/>
  <c r="V895" i="10" s="1"/>
  <c r="Q583" i="10"/>
  <c r="R583" i="10" s="1"/>
  <c r="U583" i="10" s="1"/>
  <c r="V583" i="10" s="1"/>
  <c r="Q477" i="10"/>
  <c r="Q267" i="10"/>
  <c r="Q1004" i="10"/>
  <c r="R1004" i="10" s="1"/>
  <c r="U1004" i="10" s="1"/>
  <c r="V1004" i="10" s="1"/>
  <c r="Q476" i="10"/>
  <c r="R476" i="10" s="1"/>
  <c r="U476" i="10" s="1"/>
  <c r="V476" i="10" s="1"/>
  <c r="Q266" i="10"/>
  <c r="R266" i="10" s="1"/>
  <c r="U266" i="10" s="1"/>
  <c r="V266" i="10" s="1"/>
  <c r="Q1003" i="10"/>
  <c r="R1003" i="10" s="1"/>
  <c r="U1003" i="10" s="1"/>
  <c r="V1003" i="10" s="1"/>
  <c r="Q686" i="10"/>
  <c r="R686" i="10" s="1"/>
  <c r="U686" i="10" s="1"/>
  <c r="V686" i="10" s="1"/>
  <c r="Q475" i="10"/>
  <c r="R475" i="10" s="1"/>
  <c r="U475" i="10" s="1"/>
  <c r="V475" i="10" s="1"/>
  <c r="Q374" i="10"/>
  <c r="Q265" i="10"/>
  <c r="Q59" i="10"/>
  <c r="R59" i="10" s="1"/>
  <c r="U59" i="10" s="1"/>
  <c r="V59" i="10" s="1"/>
  <c r="Q373" i="10"/>
  <c r="R373" i="10" s="1"/>
  <c r="U373" i="10" s="1"/>
  <c r="V373" i="10" s="1"/>
  <c r="Q372" i="10"/>
  <c r="R372" i="10" s="1"/>
  <c r="U372" i="10" s="1"/>
  <c r="V372" i="10" s="1"/>
  <c r="Q56" i="7"/>
  <c r="R56" i="7" s="1"/>
  <c r="U56" i="7" s="1"/>
  <c r="V56" i="7" s="1"/>
  <c r="Q794" i="10"/>
  <c r="R794" i="10" s="1"/>
  <c r="U794" i="10" s="1"/>
  <c r="V794" i="10" s="1"/>
  <c r="Q685" i="10"/>
  <c r="R685" i="10" s="1"/>
  <c r="U685" i="10" s="1"/>
  <c r="V685" i="10" s="1"/>
  <c r="Q58" i="10"/>
  <c r="Q57" i="10"/>
  <c r="Q37" i="7"/>
  <c r="R37" i="7" s="1"/>
  <c r="U37" i="7" s="1"/>
  <c r="V37" i="7" s="1"/>
  <c r="Q877" i="10"/>
  <c r="R877" i="10" s="1"/>
  <c r="U877" i="10" s="1"/>
  <c r="V877" i="10" s="1"/>
  <c r="Q667" i="10"/>
  <c r="R667" i="10" s="1"/>
  <c r="U667" i="10" s="1"/>
  <c r="V667" i="10" s="1"/>
  <c r="Q36" i="7"/>
  <c r="R36" i="7" s="1"/>
  <c r="U36" i="7" s="1"/>
  <c r="V36" i="7" s="1"/>
  <c r="Q876" i="10"/>
  <c r="R876" i="10" s="1"/>
  <c r="Q666" i="10"/>
  <c r="R666" i="10" s="1"/>
  <c r="U666" i="10" s="1"/>
  <c r="V666" i="10" s="1"/>
  <c r="Q39" i="1"/>
  <c r="Q35" i="7"/>
  <c r="R35" i="7" s="1"/>
  <c r="U35" i="7" s="1"/>
  <c r="V35" i="7" s="1"/>
  <c r="Q984" i="10"/>
  <c r="R984" i="10" s="1"/>
  <c r="U984" i="10" s="1"/>
  <c r="V984" i="10" s="1"/>
  <c r="Q875" i="10"/>
  <c r="Q774" i="10"/>
  <c r="R774" i="10" s="1"/>
  <c r="U774" i="10" s="1"/>
  <c r="V774" i="10" s="1"/>
  <c r="Q665" i="10"/>
  <c r="R665" i="10" s="1"/>
  <c r="U665" i="10" s="1"/>
  <c r="V665" i="10" s="1"/>
  <c r="Q564" i="10"/>
  <c r="R564" i="10" s="1"/>
  <c r="U564" i="10" s="1"/>
  <c r="V564" i="10" s="1"/>
  <c r="Q38" i="1"/>
  <c r="Q983" i="10"/>
  <c r="Q773" i="10"/>
  <c r="Q563" i="10"/>
  <c r="R563" i="10" s="1"/>
  <c r="U563" i="10" s="1"/>
  <c r="V563" i="10" s="1"/>
  <c r="Q37" i="1"/>
  <c r="Q982" i="10"/>
  <c r="R982" i="10" s="1"/>
  <c r="U982" i="10" s="1"/>
  <c r="V982" i="10" s="1"/>
  <c r="Q772" i="10"/>
  <c r="R772" i="10" s="1"/>
  <c r="U772" i="10" s="1"/>
  <c r="V772" i="10" s="1"/>
  <c r="Q562" i="10"/>
  <c r="R562" i="10" s="1"/>
  <c r="U562" i="10" s="1"/>
  <c r="V562" i="10" s="1"/>
  <c r="Q770" i="10"/>
  <c r="R770" i="10" s="1"/>
  <c r="U770" i="10" s="1"/>
  <c r="V770" i="10" s="1"/>
  <c r="Q456" i="10"/>
  <c r="Q246" i="10"/>
  <c r="Q36" i="1"/>
  <c r="Q879" i="10"/>
  <c r="Q455" i="10"/>
  <c r="R455" i="10" s="1"/>
  <c r="U455" i="10" s="1"/>
  <c r="V455" i="10" s="1"/>
  <c r="Q354" i="10"/>
  <c r="R354" i="10" s="1"/>
  <c r="U354" i="10" s="1"/>
  <c r="V354" i="10" s="1"/>
  <c r="Q245" i="10"/>
  <c r="R245" i="10" s="1"/>
  <c r="U245" i="10" s="1"/>
  <c r="V245" i="10" s="1"/>
  <c r="Q39" i="10"/>
  <c r="R39" i="10" s="1"/>
  <c r="U39" i="10" s="1"/>
  <c r="V39" i="10" s="1"/>
  <c r="Q35" i="1"/>
  <c r="Q878" i="10"/>
  <c r="Q561" i="10"/>
  <c r="R561" i="10" s="1"/>
  <c r="U561" i="10" s="1"/>
  <c r="V561" i="10" s="1"/>
  <c r="Q353" i="10"/>
  <c r="Q38" i="10"/>
  <c r="R38" i="10" s="1"/>
  <c r="U38" i="10" s="1"/>
  <c r="V38" i="10" s="1"/>
  <c r="Q560" i="10"/>
  <c r="R560" i="10" s="1"/>
  <c r="U560" i="10" s="1"/>
  <c r="V560" i="10" s="1"/>
  <c r="Q352" i="10"/>
  <c r="R352" i="10" s="1"/>
  <c r="U352" i="10" s="1"/>
  <c r="V352" i="10" s="1"/>
  <c r="Q37" i="10"/>
  <c r="R37" i="10" s="1"/>
  <c r="U37" i="10" s="1"/>
  <c r="V37" i="10" s="1"/>
  <c r="Q981" i="10"/>
  <c r="Q669" i="10"/>
  <c r="Q351" i="10"/>
  <c r="R351" i="10" s="1"/>
  <c r="U351" i="10" s="1"/>
  <c r="V351" i="10" s="1"/>
  <c r="Q36" i="10"/>
  <c r="R36" i="10" s="1"/>
  <c r="U36" i="10" s="1"/>
  <c r="V36" i="10" s="1"/>
  <c r="Q980" i="10"/>
  <c r="R980" i="10" s="1"/>
  <c r="U980" i="10" s="1"/>
  <c r="V980" i="10" s="1"/>
  <c r="Q668" i="10"/>
  <c r="R668" i="10" s="1"/>
  <c r="U668" i="10" s="1"/>
  <c r="V668" i="10" s="1"/>
  <c r="Q459" i="10"/>
  <c r="R459" i="10" s="1"/>
  <c r="U459" i="10" s="1"/>
  <c r="V459" i="10" s="1"/>
  <c r="Q350" i="10"/>
  <c r="R350" i="10" s="1"/>
  <c r="U350" i="10" s="1"/>
  <c r="V350" i="10" s="1"/>
  <c r="Q249" i="10"/>
  <c r="Q35" i="10"/>
  <c r="Q38" i="7"/>
  <c r="R38" i="7" s="1"/>
  <c r="U38" i="7" s="1"/>
  <c r="V38" i="7" s="1"/>
  <c r="Q247" i="10"/>
  <c r="R247" i="10" s="1"/>
  <c r="U247" i="10" s="1"/>
  <c r="V247" i="10" s="1"/>
  <c r="Q458" i="10"/>
  <c r="R458" i="10" s="1"/>
  <c r="U458" i="10" s="1"/>
  <c r="V458" i="10" s="1"/>
  <c r="Q457" i="10"/>
  <c r="R457" i="10" s="1"/>
  <c r="U457" i="10" s="1"/>
  <c r="V457" i="10" s="1"/>
  <c r="Q771" i="10"/>
  <c r="R771" i="10" s="1"/>
  <c r="U771" i="10" s="1"/>
  <c r="V771" i="10" s="1"/>
  <c r="Q39" i="7"/>
  <c r="R39" i="7" s="1"/>
  <c r="U39" i="7" s="1"/>
  <c r="V39" i="7" s="1"/>
  <c r="Q248" i="10"/>
  <c r="Q13" i="7"/>
  <c r="Q853" i="10"/>
  <c r="R853" i="10" s="1"/>
  <c r="U853" i="10" s="1"/>
  <c r="V853" i="10" s="1"/>
  <c r="Q643" i="10"/>
  <c r="R643" i="10" s="1"/>
  <c r="Q12" i="7"/>
  <c r="R12" i="7" s="1"/>
  <c r="Q852" i="10"/>
  <c r="R852" i="10" s="1"/>
  <c r="Q642" i="10"/>
  <c r="R642" i="10" s="1"/>
  <c r="U642" i="10" s="1"/>
  <c r="V642" i="10" s="1"/>
  <c r="Q11" i="7"/>
  <c r="R11" i="7" s="1"/>
  <c r="U11" i="7" s="1"/>
  <c r="V11" i="7" s="1"/>
  <c r="Q851" i="10"/>
  <c r="Q641" i="10"/>
  <c r="Q14" i="1"/>
  <c r="Q10" i="7"/>
  <c r="R10" i="7" s="1"/>
  <c r="U10" i="7" s="1"/>
  <c r="V10" i="7" s="1"/>
  <c r="Q959" i="10"/>
  <c r="R959" i="10" s="1"/>
  <c r="U959" i="10" s="1"/>
  <c r="V959" i="10" s="1"/>
  <c r="Q850" i="10"/>
  <c r="R850" i="10" s="1"/>
  <c r="U850" i="10" s="1"/>
  <c r="V850" i="10" s="1"/>
  <c r="Q749" i="10"/>
  <c r="R749" i="10" s="1"/>
  <c r="U749" i="10" s="1"/>
  <c r="V749" i="10" s="1"/>
  <c r="Q640" i="10"/>
  <c r="R640" i="10" s="1"/>
  <c r="U640" i="10" s="1"/>
  <c r="V640" i="10" s="1"/>
  <c r="Q13" i="1"/>
  <c r="Q958" i="10"/>
  <c r="Q748" i="10"/>
  <c r="R748" i="10" s="1"/>
  <c r="U748" i="10" s="1"/>
  <c r="V748" i="10" s="1"/>
  <c r="Q14" i="7"/>
  <c r="R14" i="7" s="1"/>
  <c r="U14" i="7" s="1"/>
  <c r="V14" i="7" s="1"/>
  <c r="Q747" i="10"/>
  <c r="R747" i="10" s="1"/>
  <c r="U747" i="10" s="1"/>
  <c r="V747" i="10" s="1"/>
  <c r="Q432" i="10"/>
  <c r="R432" i="10" s="1"/>
  <c r="U432" i="10" s="1"/>
  <c r="V432" i="10" s="1"/>
  <c r="Q222" i="10"/>
  <c r="R222" i="10" s="1"/>
  <c r="U222" i="10" s="1"/>
  <c r="V222" i="10" s="1"/>
  <c r="Q746" i="10"/>
  <c r="R746" i="10" s="1"/>
  <c r="U746" i="10" s="1"/>
  <c r="V746" i="10" s="1"/>
  <c r="Q431" i="10"/>
  <c r="Q221" i="10"/>
  <c r="Q12" i="1"/>
  <c r="Q745" i="10"/>
  <c r="R745" i="10" s="1"/>
  <c r="Q539" i="10"/>
  <c r="R539" i="10" s="1"/>
  <c r="Q430" i="10"/>
  <c r="R430" i="10" s="1"/>
  <c r="U430" i="10" s="1"/>
  <c r="V430" i="10" s="1"/>
  <c r="Q329" i="10"/>
  <c r="R329" i="10" s="1"/>
  <c r="U329" i="10" s="1"/>
  <c r="V329" i="10" s="1"/>
  <c r="Q220" i="10"/>
  <c r="R220" i="10" s="1"/>
  <c r="U220" i="10" s="1"/>
  <c r="V220" i="10" s="1"/>
  <c r="Q14" i="10"/>
  <c r="Q11" i="1"/>
  <c r="Q854" i="10"/>
  <c r="R854" i="10" s="1"/>
  <c r="U854" i="10" s="1"/>
  <c r="V854" i="10" s="1"/>
  <c r="Q538" i="10"/>
  <c r="Q328" i="10"/>
  <c r="R328" i="10" s="1"/>
  <c r="U328" i="10" s="1"/>
  <c r="V328" i="10" s="1"/>
  <c r="Q13" i="10"/>
  <c r="R13" i="10" s="1"/>
  <c r="U13" i="10" s="1"/>
  <c r="V13" i="10" s="1"/>
  <c r="Q10" i="1"/>
  <c r="Q537" i="10"/>
  <c r="R537" i="10" s="1"/>
  <c r="U537" i="10" s="1"/>
  <c r="V537" i="10" s="1"/>
  <c r="Q327" i="10"/>
  <c r="Q12" i="10"/>
  <c r="Q957" i="10"/>
  <c r="R957" i="10" s="1"/>
  <c r="U957" i="10" s="1"/>
  <c r="V957" i="10" s="1"/>
  <c r="Q536" i="10"/>
  <c r="R536" i="10" s="1"/>
  <c r="U536" i="10" s="1"/>
  <c r="V536" i="10" s="1"/>
  <c r="Q326" i="10"/>
  <c r="R326" i="10" s="1"/>
  <c r="U326" i="10" s="1"/>
  <c r="V326" i="10" s="1"/>
  <c r="Q11" i="10"/>
  <c r="R11" i="10" s="1"/>
  <c r="U11" i="10" s="1"/>
  <c r="V11" i="10" s="1"/>
  <c r="Q433" i="10"/>
  <c r="R433" i="10" s="1"/>
  <c r="Q224" i="10"/>
  <c r="R224" i="10" s="1"/>
  <c r="U224" i="10" s="1"/>
  <c r="V224" i="10" s="1"/>
  <c r="Q955" i="10"/>
  <c r="Q325" i="10"/>
  <c r="Q223" i="10"/>
  <c r="R223" i="10" s="1"/>
  <c r="U223" i="10" s="1"/>
  <c r="V223" i="10" s="1"/>
  <c r="Q956" i="10"/>
  <c r="R956" i="10" s="1"/>
  <c r="U956" i="10" s="1"/>
  <c r="V956" i="10" s="1"/>
  <c r="Q535" i="10"/>
  <c r="R535" i="10" s="1"/>
  <c r="U535" i="10" s="1"/>
  <c r="V535" i="10" s="1"/>
  <c r="Q434" i="10"/>
  <c r="R434" i="10" s="1"/>
  <c r="U434" i="10" s="1"/>
  <c r="V434" i="10" s="1"/>
  <c r="Q644" i="10"/>
  <c r="R644" i="10" s="1"/>
  <c r="U644" i="10" s="1"/>
  <c r="V644" i="10" s="1"/>
  <c r="Q10" i="10"/>
  <c r="R10" i="10" s="1"/>
  <c r="U10" i="10" s="1"/>
  <c r="V10" i="10" s="1"/>
  <c r="S337" i="10"/>
  <c r="Q65" i="1"/>
  <c r="Q69" i="7"/>
  <c r="R69" i="7" s="1"/>
  <c r="U69" i="7" s="1"/>
  <c r="V69" i="7" s="1"/>
  <c r="Q1010" i="10"/>
  <c r="R1010" i="10" s="1"/>
  <c r="U1010" i="10" s="1"/>
  <c r="V1010" i="10" s="1"/>
  <c r="Q909" i="10"/>
  <c r="R909" i="10" s="1"/>
  <c r="Q800" i="10"/>
  <c r="R800" i="10" s="1"/>
  <c r="U800" i="10" s="1"/>
  <c r="V800" i="10" s="1"/>
  <c r="Q699" i="10"/>
  <c r="R699" i="10" s="1"/>
  <c r="U699" i="10" s="1"/>
  <c r="V699" i="10" s="1"/>
  <c r="Q590" i="10"/>
  <c r="R590" i="10" s="1"/>
  <c r="U590" i="10" s="1"/>
  <c r="V590" i="10" s="1"/>
  <c r="Q68" i="7"/>
  <c r="Q908" i="10"/>
  <c r="Q698" i="10"/>
  <c r="R698" i="10" s="1"/>
  <c r="U698" i="10" s="1"/>
  <c r="V698" i="10" s="1"/>
  <c r="Q67" i="7"/>
  <c r="R67" i="7" s="1"/>
  <c r="U67" i="7" s="1"/>
  <c r="V67" i="7" s="1"/>
  <c r="Q907" i="10"/>
  <c r="R907" i="10" s="1"/>
  <c r="U907" i="10" s="1"/>
  <c r="V907" i="10" s="1"/>
  <c r="Q697" i="10"/>
  <c r="R697" i="10" s="1"/>
  <c r="U697" i="10" s="1"/>
  <c r="V697" i="10" s="1"/>
  <c r="Q66" i="7"/>
  <c r="R66" i="7" s="1"/>
  <c r="U66" i="7" s="1"/>
  <c r="V66" i="7" s="1"/>
  <c r="Q906" i="10"/>
  <c r="R906" i="10" s="1"/>
  <c r="U906" i="10" s="1"/>
  <c r="V906" i="10" s="1"/>
  <c r="Q696" i="10"/>
  <c r="Q69" i="1"/>
  <c r="Q65" i="7"/>
  <c r="R65" i="7" s="1"/>
  <c r="U65" i="7" s="1"/>
  <c r="V65" i="7" s="1"/>
  <c r="Q1014" i="10"/>
  <c r="R1014" i="10" s="1"/>
  <c r="U1014" i="10" s="1"/>
  <c r="V1014" i="10" s="1"/>
  <c r="Q905" i="10"/>
  <c r="R905" i="10" s="1"/>
  <c r="U905" i="10" s="1"/>
  <c r="V905" i="10" s="1"/>
  <c r="Q804" i="10"/>
  <c r="R804" i="10" s="1"/>
  <c r="U804" i="10" s="1"/>
  <c r="V804" i="10" s="1"/>
  <c r="Q695" i="10"/>
  <c r="R695" i="10" s="1"/>
  <c r="U695" i="10" s="1"/>
  <c r="V695" i="10" s="1"/>
  <c r="Q594" i="10"/>
  <c r="R594" i="10" s="1"/>
  <c r="U594" i="10" s="1"/>
  <c r="V594" i="10" s="1"/>
  <c r="Q1013" i="10"/>
  <c r="Q591" i="10"/>
  <c r="Q488" i="10"/>
  <c r="R488" i="10" s="1"/>
  <c r="U488" i="10" s="1"/>
  <c r="V488" i="10" s="1"/>
  <c r="Q278" i="10"/>
  <c r="R278" i="10" s="1"/>
  <c r="U278" i="10" s="1"/>
  <c r="V278" i="10" s="1"/>
  <c r="Q1012" i="10"/>
  <c r="R1012" i="10" s="1"/>
  <c r="U1012" i="10" s="1"/>
  <c r="V1012" i="10" s="1"/>
  <c r="Q487" i="10"/>
  <c r="R487" i="10" s="1"/>
  <c r="U487" i="10" s="1"/>
  <c r="V487" i="10" s="1"/>
  <c r="Q277" i="10"/>
  <c r="R277" i="10" s="1"/>
  <c r="U277" i="10" s="1"/>
  <c r="V277" i="10" s="1"/>
  <c r="Q1011" i="10"/>
  <c r="R1011" i="10" s="1"/>
  <c r="U1011" i="10" s="1"/>
  <c r="V1011" i="10" s="1"/>
  <c r="Q486" i="10"/>
  <c r="Q276" i="10"/>
  <c r="Q803" i="10"/>
  <c r="R803" i="10" s="1"/>
  <c r="U803" i="10" s="1"/>
  <c r="V803" i="10" s="1"/>
  <c r="Q485" i="10"/>
  <c r="R485" i="10" s="1"/>
  <c r="U485" i="10" s="1"/>
  <c r="V485" i="10" s="1"/>
  <c r="Q384" i="10"/>
  <c r="R384" i="10" s="1"/>
  <c r="U384" i="10" s="1"/>
  <c r="V384" i="10" s="1"/>
  <c r="Q275" i="10"/>
  <c r="R275" i="10" s="1"/>
  <c r="U275" i="10" s="1"/>
  <c r="V275" i="10" s="1"/>
  <c r="Q69" i="10"/>
  <c r="R69" i="10" s="1"/>
  <c r="U69" i="10" s="1"/>
  <c r="V69" i="10" s="1"/>
  <c r="Q802" i="10"/>
  <c r="R802" i="10" s="1"/>
  <c r="U802" i="10" s="1"/>
  <c r="V802" i="10" s="1"/>
  <c r="Q383" i="10"/>
  <c r="Q68" i="10"/>
  <c r="Q68" i="1"/>
  <c r="Q801" i="10"/>
  <c r="R801" i="10" s="1"/>
  <c r="U801" i="10" s="1"/>
  <c r="V801" i="10" s="1"/>
  <c r="Q382" i="10"/>
  <c r="Q67" i="10"/>
  <c r="R67" i="10" s="1"/>
  <c r="U67" i="10" s="1"/>
  <c r="V67" i="10" s="1"/>
  <c r="Q380" i="10"/>
  <c r="R380" i="10" s="1"/>
  <c r="U380" i="10" s="1"/>
  <c r="V380" i="10" s="1"/>
  <c r="Q279" i="10"/>
  <c r="R279" i="10" s="1"/>
  <c r="U279" i="10" s="1"/>
  <c r="V279" i="10" s="1"/>
  <c r="Q66" i="10"/>
  <c r="Q65" i="10"/>
  <c r="Q592" i="10"/>
  <c r="R592" i="10" s="1"/>
  <c r="U592" i="10" s="1"/>
  <c r="V592" i="10" s="1"/>
  <c r="Q489" i="10"/>
  <c r="R489" i="10" s="1"/>
  <c r="U489" i="10" s="1"/>
  <c r="V489" i="10" s="1"/>
  <c r="Q67" i="1"/>
  <c r="Q593" i="10"/>
  <c r="R593" i="10" s="1"/>
  <c r="U593" i="10" s="1"/>
  <c r="V593" i="10" s="1"/>
  <c r="Q66" i="1"/>
  <c r="Q381" i="10"/>
  <c r="R381" i="10" s="1"/>
  <c r="U381" i="10" s="1"/>
  <c r="V381" i="10" s="1"/>
  <c r="Q101" i="7"/>
  <c r="Q941" i="10"/>
  <c r="Q731" i="10"/>
  <c r="R731" i="10" s="1"/>
  <c r="U731" i="10" s="1"/>
  <c r="V731" i="10" s="1"/>
  <c r="Q104" i="1"/>
  <c r="Q100" i="7"/>
  <c r="R100" i="7" s="1"/>
  <c r="U100" i="7" s="1"/>
  <c r="V100" i="7" s="1"/>
  <c r="Q1049" i="10"/>
  <c r="R1049" i="10" s="1"/>
  <c r="U1049" i="10" s="1"/>
  <c r="V1049" i="10" s="1"/>
  <c r="Q940" i="10"/>
  <c r="R940" i="10" s="1"/>
  <c r="U940" i="10" s="1"/>
  <c r="V940" i="10" s="1"/>
  <c r="Q839" i="10"/>
  <c r="R839" i="10" s="1"/>
  <c r="U839" i="10" s="1"/>
  <c r="V839" i="10" s="1"/>
  <c r="Q730" i="10"/>
  <c r="Q629" i="10"/>
  <c r="Q103" i="1"/>
  <c r="Q1048" i="10"/>
  <c r="R1048" i="10" s="1"/>
  <c r="U1048" i="10" s="1"/>
  <c r="V1048" i="10" s="1"/>
  <c r="Q838" i="10"/>
  <c r="R838" i="10" s="1"/>
  <c r="Q628" i="10"/>
  <c r="R628" i="10" s="1"/>
  <c r="U628" i="10" s="1"/>
  <c r="V628" i="10" s="1"/>
  <c r="Q102" i="1"/>
  <c r="Q1047" i="10"/>
  <c r="R1047" i="10" s="1"/>
  <c r="U1047" i="10" s="1"/>
  <c r="V1047" i="10" s="1"/>
  <c r="Q837" i="10"/>
  <c r="Q627" i="10"/>
  <c r="Q101" i="1"/>
  <c r="Q1046" i="10"/>
  <c r="R1046" i="10" s="1"/>
  <c r="U1046" i="10" s="1"/>
  <c r="V1046" i="10" s="1"/>
  <c r="Q836" i="10"/>
  <c r="R836" i="10" s="1"/>
  <c r="U836" i="10" s="1"/>
  <c r="V836" i="10" s="1"/>
  <c r="Q626" i="10"/>
  <c r="R626" i="10" s="1"/>
  <c r="U626" i="10" s="1"/>
  <c r="V626" i="10" s="1"/>
  <c r="Q944" i="10"/>
  <c r="R944" i="10" s="1"/>
  <c r="U944" i="10" s="1"/>
  <c r="V944" i="10" s="1"/>
  <c r="Q520" i="10"/>
  <c r="R520" i="10" s="1"/>
  <c r="U520" i="10" s="1"/>
  <c r="V520" i="10" s="1"/>
  <c r="Q419" i="10"/>
  <c r="R419" i="10" s="1"/>
  <c r="U419" i="10" s="1"/>
  <c r="V419" i="10" s="1"/>
  <c r="Q310" i="10"/>
  <c r="Q104" i="10"/>
  <c r="R104" i="10" s="1"/>
  <c r="U104" i="10" s="1"/>
  <c r="V104" i="10" s="1"/>
  <c r="Q100" i="1"/>
  <c r="Q943" i="10"/>
  <c r="R943" i="10" s="1"/>
  <c r="U943" i="10" s="1"/>
  <c r="V943" i="10" s="1"/>
  <c r="Q418" i="10"/>
  <c r="R418" i="10" s="1"/>
  <c r="U418" i="10" s="1"/>
  <c r="V418" i="10" s="1"/>
  <c r="Q103" i="10"/>
  <c r="R103" i="10" s="1"/>
  <c r="U103" i="10" s="1"/>
  <c r="V103" i="10" s="1"/>
  <c r="Q942" i="10"/>
  <c r="R942" i="10" s="1"/>
  <c r="U942" i="10" s="1"/>
  <c r="V942" i="10" s="1"/>
  <c r="Q625" i="10"/>
  <c r="Q417" i="10"/>
  <c r="Q102" i="10"/>
  <c r="R102" i="10" s="1"/>
  <c r="U102" i="10" s="1"/>
  <c r="V102" i="10" s="1"/>
  <c r="Q734" i="10"/>
  <c r="R734" i="10" s="1"/>
  <c r="U734" i="10" s="1"/>
  <c r="V734" i="10" s="1"/>
  <c r="Q416" i="10"/>
  <c r="R416" i="10" s="1"/>
  <c r="U416" i="10" s="1"/>
  <c r="V416" i="10" s="1"/>
  <c r="Q101" i="10"/>
  <c r="R101" i="10" s="1"/>
  <c r="U101" i="10" s="1"/>
  <c r="V101" i="10" s="1"/>
  <c r="Q1045" i="10"/>
  <c r="R1045" i="10" s="1"/>
  <c r="U1045" i="10" s="1"/>
  <c r="V1045" i="10" s="1"/>
  <c r="Q733" i="10"/>
  <c r="R733" i="10" s="1"/>
  <c r="U733" i="10" s="1"/>
  <c r="V733" i="10" s="1"/>
  <c r="Q524" i="10"/>
  <c r="Q415" i="10"/>
  <c r="Q314" i="10"/>
  <c r="R314" i="10" s="1"/>
  <c r="U314" i="10" s="1"/>
  <c r="V314" i="10" s="1"/>
  <c r="Q100" i="10"/>
  <c r="R100" i="10" s="1"/>
  <c r="U100" i="10" s="1"/>
  <c r="V100" i="10" s="1"/>
  <c r="Q104" i="7"/>
  <c r="R104" i="7" s="1"/>
  <c r="U104" i="7" s="1"/>
  <c r="V104" i="7" s="1"/>
  <c r="Q732" i="10"/>
  <c r="R732" i="10" s="1"/>
  <c r="U732" i="10" s="1"/>
  <c r="V732" i="10" s="1"/>
  <c r="Q523" i="10"/>
  <c r="R523" i="10" s="1"/>
  <c r="U523" i="10" s="1"/>
  <c r="V523" i="10" s="1"/>
  <c r="Q313" i="10"/>
  <c r="R313" i="10" s="1"/>
  <c r="U313" i="10" s="1"/>
  <c r="V313" i="10" s="1"/>
  <c r="Q311" i="10"/>
  <c r="Q103" i="7"/>
  <c r="Q522" i="10"/>
  <c r="R522" i="10" s="1"/>
  <c r="U522" i="10" s="1"/>
  <c r="V522" i="10" s="1"/>
  <c r="Q102" i="7"/>
  <c r="R102" i="7" s="1"/>
  <c r="U102" i="7" s="1"/>
  <c r="V102" i="7" s="1"/>
  <c r="Q835" i="10"/>
  <c r="R835" i="10" s="1"/>
  <c r="U835" i="10" s="1"/>
  <c r="V835" i="10" s="1"/>
  <c r="Q521" i="10"/>
  <c r="R521" i="10" s="1"/>
  <c r="U521" i="10" s="1"/>
  <c r="V521" i="10" s="1"/>
  <c r="Q312" i="10"/>
  <c r="R312" i="10" s="1"/>
  <c r="U312" i="10" s="1"/>
  <c r="V312" i="10" s="1"/>
  <c r="S758" i="10"/>
  <c r="Q25" i="1"/>
  <c r="Q29" i="7"/>
  <c r="R29" i="7" s="1"/>
  <c r="U29" i="7" s="1"/>
  <c r="V29" i="7" s="1"/>
  <c r="Q970" i="10"/>
  <c r="R970" i="10" s="1"/>
  <c r="Q869" i="10"/>
  <c r="R869" i="10" s="1"/>
  <c r="U869" i="10" s="1"/>
  <c r="V869" i="10" s="1"/>
  <c r="Q760" i="10"/>
  <c r="R760" i="10" s="1"/>
  <c r="U760" i="10" s="1"/>
  <c r="V760" i="10" s="1"/>
  <c r="Q659" i="10"/>
  <c r="R659" i="10" s="1"/>
  <c r="U659" i="10" s="1"/>
  <c r="V659" i="10" s="1"/>
  <c r="Q550" i="10"/>
  <c r="R550" i="10" s="1"/>
  <c r="U550" i="10" s="1"/>
  <c r="V550" i="10" s="1"/>
  <c r="Q28" i="7"/>
  <c r="R28" i="7" s="1"/>
  <c r="U28" i="7" s="1"/>
  <c r="V28" i="7" s="1"/>
  <c r="Q868" i="10"/>
  <c r="Q658" i="10"/>
  <c r="Q27" i="7"/>
  <c r="R27" i="7" s="1"/>
  <c r="U27" i="7" s="1"/>
  <c r="V27" i="7" s="1"/>
  <c r="Q867" i="10"/>
  <c r="R867" i="10" s="1"/>
  <c r="U867" i="10" s="1"/>
  <c r="V867" i="10" s="1"/>
  <c r="Q657" i="10"/>
  <c r="Q26" i="7"/>
  <c r="R26" i="7" s="1"/>
  <c r="U26" i="7" s="1"/>
  <c r="V26" i="7" s="1"/>
  <c r="Q866" i="10"/>
  <c r="R866" i="10" s="1"/>
  <c r="U866" i="10" s="1"/>
  <c r="V866" i="10" s="1"/>
  <c r="Q656" i="10"/>
  <c r="R656" i="10" s="1"/>
  <c r="Q29" i="1"/>
  <c r="Q25" i="7"/>
  <c r="R25" i="7" s="1"/>
  <c r="Q974" i="10"/>
  <c r="R974" i="10" s="1"/>
  <c r="U974" i="10" s="1"/>
  <c r="V974" i="10" s="1"/>
  <c r="Q865" i="10"/>
  <c r="R865" i="10" s="1"/>
  <c r="U865" i="10" s="1"/>
  <c r="V865" i="10" s="1"/>
  <c r="Q764" i="10"/>
  <c r="R764" i="10" s="1"/>
  <c r="U764" i="10" s="1"/>
  <c r="V764" i="10" s="1"/>
  <c r="Q655" i="10"/>
  <c r="R655" i="10" s="1"/>
  <c r="U655" i="10" s="1"/>
  <c r="V655" i="10" s="1"/>
  <c r="Q554" i="10"/>
  <c r="R554" i="10" s="1"/>
  <c r="U554" i="10" s="1"/>
  <c r="V554" i="10" s="1"/>
  <c r="Q972" i="10"/>
  <c r="R972" i="10" s="1"/>
  <c r="U972" i="10" s="1"/>
  <c r="V972" i="10" s="1"/>
  <c r="Q448" i="10"/>
  <c r="Q238" i="10"/>
  <c r="Q971" i="10"/>
  <c r="R971" i="10" s="1"/>
  <c r="U971" i="10" s="1"/>
  <c r="V971" i="10" s="1"/>
  <c r="Q447" i="10"/>
  <c r="R447" i="10" s="1"/>
  <c r="U447" i="10" s="1"/>
  <c r="V447" i="10" s="1"/>
  <c r="Q237" i="10"/>
  <c r="R237" i="10" s="1"/>
  <c r="U237" i="10" s="1"/>
  <c r="V237" i="10" s="1"/>
  <c r="Q763" i="10"/>
  <c r="R763" i="10" s="1"/>
  <c r="Q446" i="10"/>
  <c r="R446" i="10" s="1"/>
  <c r="U446" i="10" s="1"/>
  <c r="V446" i="10" s="1"/>
  <c r="Q236" i="10"/>
  <c r="R236" i="10" s="1"/>
  <c r="U236" i="10" s="1"/>
  <c r="V236" i="10" s="1"/>
  <c r="Q762" i="10"/>
  <c r="Q445" i="10"/>
  <c r="Q344" i="10"/>
  <c r="R344" i="10" s="1"/>
  <c r="U344" i="10" s="1"/>
  <c r="V344" i="10" s="1"/>
  <c r="Q235" i="10"/>
  <c r="R235" i="10" s="1"/>
  <c r="U235" i="10" s="1"/>
  <c r="V235" i="10" s="1"/>
  <c r="Q29" i="10"/>
  <c r="R29" i="10" s="1"/>
  <c r="Q28" i="1"/>
  <c r="Q761" i="10"/>
  <c r="R761" i="10" s="1"/>
  <c r="U761" i="10" s="1"/>
  <c r="V761" i="10" s="1"/>
  <c r="Q343" i="10"/>
  <c r="R343" i="10" s="1"/>
  <c r="Q28" i="10"/>
  <c r="Q27" i="1"/>
  <c r="Q553" i="10"/>
  <c r="R553" i="10" s="1"/>
  <c r="U553" i="10" s="1"/>
  <c r="V553" i="10" s="1"/>
  <c r="Q342" i="10"/>
  <c r="R342" i="10" s="1"/>
  <c r="Q27" i="10"/>
  <c r="R27" i="10" s="1"/>
  <c r="U27" i="10" s="1"/>
  <c r="V27" i="10" s="1"/>
  <c r="Q551" i="10"/>
  <c r="R551" i="10" s="1"/>
  <c r="U551" i="10" s="1"/>
  <c r="V551" i="10" s="1"/>
  <c r="Q449" i="10"/>
  <c r="R449" i="10" s="1"/>
  <c r="U449" i="10" s="1"/>
  <c r="V449" i="10" s="1"/>
  <c r="Q25" i="10"/>
  <c r="R25" i="10" s="1"/>
  <c r="U25" i="10" s="1"/>
  <c r="V25" i="10" s="1"/>
  <c r="Q341" i="10"/>
  <c r="Q973" i="10"/>
  <c r="Q340" i="10"/>
  <c r="R340" i="10" s="1"/>
  <c r="U340" i="10" s="1"/>
  <c r="V340" i="10" s="1"/>
  <c r="Q239" i="10"/>
  <c r="R239" i="10" s="1"/>
  <c r="U239" i="10" s="1"/>
  <c r="V239" i="10" s="1"/>
  <c r="Q26" i="10"/>
  <c r="R26" i="10" s="1"/>
  <c r="U26" i="10" s="1"/>
  <c r="V26" i="10" s="1"/>
  <c r="Q26" i="1"/>
  <c r="Q552" i="10"/>
  <c r="R552" i="10" s="1"/>
  <c r="U552" i="10" s="1"/>
  <c r="V552" i="10" s="1"/>
  <c r="Q61" i="7"/>
  <c r="R61" i="7" s="1"/>
  <c r="U61" i="7" s="1"/>
  <c r="V61" i="7" s="1"/>
  <c r="Q901" i="10"/>
  <c r="Q691" i="10"/>
  <c r="Q64" i="1"/>
  <c r="Q60" i="7"/>
  <c r="R60" i="7" s="1"/>
  <c r="U60" i="7" s="1"/>
  <c r="V60" i="7" s="1"/>
  <c r="Q1009" i="10"/>
  <c r="R1009" i="10" s="1"/>
  <c r="U1009" i="10" s="1"/>
  <c r="V1009" i="10" s="1"/>
  <c r="Q900" i="10"/>
  <c r="R900" i="10" s="1"/>
  <c r="U900" i="10" s="1"/>
  <c r="V900" i="10" s="1"/>
  <c r="Q799" i="10"/>
  <c r="R799" i="10" s="1"/>
  <c r="U799" i="10" s="1"/>
  <c r="V799" i="10" s="1"/>
  <c r="Q690" i="10"/>
  <c r="R690" i="10" s="1"/>
  <c r="U690" i="10" s="1"/>
  <c r="V690" i="10" s="1"/>
  <c r="Q589" i="10"/>
  <c r="Q63" i="1"/>
  <c r="Q1008" i="10"/>
  <c r="R1008" i="10" s="1"/>
  <c r="U1008" i="10" s="1"/>
  <c r="V1008" i="10" s="1"/>
  <c r="Q798" i="10"/>
  <c r="R798" i="10" s="1"/>
  <c r="U798" i="10" s="1"/>
  <c r="V798" i="10" s="1"/>
  <c r="Q588" i="10"/>
  <c r="R588" i="10" s="1"/>
  <c r="U588" i="10" s="1"/>
  <c r="V588" i="10" s="1"/>
  <c r="Q62" i="1"/>
  <c r="Q1007" i="10"/>
  <c r="R1007" i="10" s="1"/>
  <c r="U1007" i="10" s="1"/>
  <c r="V1007" i="10" s="1"/>
  <c r="Q797" i="10"/>
  <c r="R797" i="10" s="1"/>
  <c r="U797" i="10" s="1"/>
  <c r="V797" i="10" s="1"/>
  <c r="Q587" i="10"/>
  <c r="Q61" i="1"/>
  <c r="Q1006" i="10"/>
  <c r="R1006" i="10" s="1"/>
  <c r="U1006" i="10" s="1"/>
  <c r="V1006" i="10" s="1"/>
  <c r="Q796" i="10"/>
  <c r="R796" i="10" s="1"/>
  <c r="U796" i="10" s="1"/>
  <c r="V796" i="10" s="1"/>
  <c r="Q586" i="10"/>
  <c r="R586" i="10" s="1"/>
  <c r="U586" i="10" s="1"/>
  <c r="V586" i="10" s="1"/>
  <c r="Q60" i="1"/>
  <c r="Q903" i="10"/>
  <c r="R903" i="10" s="1"/>
  <c r="U903" i="10" s="1"/>
  <c r="V903" i="10" s="1"/>
  <c r="Q480" i="10"/>
  <c r="R480" i="10" s="1"/>
  <c r="U480" i="10" s="1"/>
  <c r="V480" i="10" s="1"/>
  <c r="Q379" i="10"/>
  <c r="Q270" i="10"/>
  <c r="Q64" i="10"/>
  <c r="R64" i="10" s="1"/>
  <c r="U64" i="10" s="1"/>
  <c r="V64" i="10" s="1"/>
  <c r="Q902" i="10"/>
  <c r="R902" i="10" s="1"/>
  <c r="U902" i="10" s="1"/>
  <c r="V902" i="10" s="1"/>
  <c r="Q585" i="10"/>
  <c r="R585" i="10" s="1"/>
  <c r="U585" i="10" s="1"/>
  <c r="V585" i="10" s="1"/>
  <c r="Q378" i="10"/>
  <c r="R378" i="10" s="1"/>
  <c r="U378" i="10" s="1"/>
  <c r="V378" i="10" s="1"/>
  <c r="Q63" i="10"/>
  <c r="R63" i="10" s="1"/>
  <c r="U63" i="10" s="1"/>
  <c r="V63" i="10" s="1"/>
  <c r="Q694" i="10"/>
  <c r="R694" i="10" s="1"/>
  <c r="U694" i="10" s="1"/>
  <c r="V694" i="10" s="1"/>
  <c r="Q377" i="10"/>
  <c r="Q62" i="10"/>
  <c r="R62" i="10" s="1"/>
  <c r="U62" i="10" s="1"/>
  <c r="V62" i="10" s="1"/>
  <c r="Q1005" i="10"/>
  <c r="R1005" i="10" s="1"/>
  <c r="U1005" i="10" s="1"/>
  <c r="V1005" i="10" s="1"/>
  <c r="Q693" i="10"/>
  <c r="Q376" i="10"/>
  <c r="R376" i="10" s="1"/>
  <c r="U376" i="10" s="1"/>
  <c r="V376" i="10" s="1"/>
  <c r="Q61" i="10"/>
  <c r="R61" i="10" s="1"/>
  <c r="U61" i="10" s="1"/>
  <c r="V61" i="10" s="1"/>
  <c r="Q64" i="7"/>
  <c r="R64" i="7" s="1"/>
  <c r="U64" i="7" s="1"/>
  <c r="V64" i="7" s="1"/>
  <c r="Q692" i="10"/>
  <c r="R692" i="10" s="1"/>
  <c r="U692" i="10" s="1"/>
  <c r="V692" i="10" s="1"/>
  <c r="Q484" i="10"/>
  <c r="Q375" i="10"/>
  <c r="Q274" i="10"/>
  <c r="R274" i="10" s="1"/>
  <c r="U274" i="10" s="1"/>
  <c r="V274" i="10" s="1"/>
  <c r="Q60" i="10"/>
  <c r="R60" i="10" s="1"/>
  <c r="U60" i="10" s="1"/>
  <c r="V60" i="10" s="1"/>
  <c r="Q63" i="7"/>
  <c r="R63" i="7" s="1"/>
  <c r="U63" i="7" s="1"/>
  <c r="V63" i="7" s="1"/>
  <c r="Q483" i="10"/>
  <c r="R483" i="10" s="1"/>
  <c r="U483" i="10" s="1"/>
  <c r="V483" i="10" s="1"/>
  <c r="Q273" i="10"/>
  <c r="R273" i="10" s="1"/>
  <c r="U273" i="10" s="1"/>
  <c r="V273" i="10" s="1"/>
  <c r="Q904" i="10"/>
  <c r="R904" i="10" s="1"/>
  <c r="U904" i="10" s="1"/>
  <c r="V904" i="10" s="1"/>
  <c r="Q481" i="10"/>
  <c r="Q62" i="7"/>
  <c r="R62" i="7" s="1"/>
  <c r="U62" i="7" s="1"/>
  <c r="V62" i="7" s="1"/>
  <c r="Q795" i="10"/>
  <c r="R795" i="10" s="1"/>
  <c r="U795" i="10" s="1"/>
  <c r="V795" i="10" s="1"/>
  <c r="Q272" i="10"/>
  <c r="R272" i="10" s="1"/>
  <c r="U272" i="10" s="1"/>
  <c r="V272" i="10" s="1"/>
  <c r="Q271" i="10"/>
  <c r="R271" i="10" s="1"/>
  <c r="U271" i="10" s="1"/>
  <c r="V271" i="10" s="1"/>
  <c r="Q482" i="10"/>
  <c r="R482" i="10" s="1"/>
  <c r="U482" i="10" s="1"/>
  <c r="V482" i="10" s="1"/>
  <c r="Q93" i="7"/>
  <c r="R93" i="7" s="1"/>
  <c r="U93" i="7" s="1"/>
  <c r="V93" i="7" s="1"/>
  <c r="Q933" i="10"/>
  <c r="R933" i="10" s="1"/>
  <c r="U933" i="10" s="1"/>
  <c r="V933" i="10" s="1"/>
  <c r="Q723" i="10"/>
  <c r="Q92" i="7"/>
  <c r="R92" i="7" s="1"/>
  <c r="U92" i="7" s="1"/>
  <c r="V92" i="7" s="1"/>
  <c r="Q932" i="10"/>
  <c r="R932" i="10" s="1"/>
  <c r="U932" i="10" s="1"/>
  <c r="V932" i="10" s="1"/>
  <c r="Q722" i="10"/>
  <c r="R722" i="10" s="1"/>
  <c r="U722" i="10" s="1"/>
  <c r="V722" i="10" s="1"/>
  <c r="Q91" i="7"/>
  <c r="R91" i="7" s="1"/>
  <c r="U91" i="7" s="1"/>
  <c r="V91" i="7" s="1"/>
  <c r="Q931" i="10"/>
  <c r="R931" i="10" s="1"/>
  <c r="U931" i="10" s="1"/>
  <c r="V931" i="10" s="1"/>
  <c r="Q721" i="10"/>
  <c r="R721" i="10" s="1"/>
  <c r="U721" i="10" s="1"/>
  <c r="V721" i="10" s="1"/>
  <c r="Q94" i="1"/>
  <c r="Q90" i="7"/>
  <c r="R90" i="7" s="1"/>
  <c r="U90" i="7" s="1"/>
  <c r="V90" i="7" s="1"/>
  <c r="Q1039" i="10"/>
  <c r="Q930" i="10"/>
  <c r="R930" i="10" s="1"/>
  <c r="U930" i="10" s="1"/>
  <c r="V930" i="10" s="1"/>
  <c r="Q829" i="10"/>
  <c r="R829" i="10" s="1"/>
  <c r="U829" i="10" s="1"/>
  <c r="V829" i="10" s="1"/>
  <c r="Q720" i="10"/>
  <c r="R720" i="10" s="1"/>
  <c r="U720" i="10" s="1"/>
  <c r="V720" i="10" s="1"/>
  <c r="Q619" i="10"/>
  <c r="R619" i="10" s="1"/>
  <c r="U619" i="10" s="1"/>
  <c r="V619" i="10" s="1"/>
  <c r="Q93" i="1"/>
  <c r="Q1038" i="10"/>
  <c r="R1038" i="10" s="1"/>
  <c r="U1038" i="10" s="1"/>
  <c r="V1038" i="10" s="1"/>
  <c r="Q828" i="10"/>
  <c r="Q618" i="10"/>
  <c r="R618" i="10" s="1"/>
  <c r="U618" i="10" s="1"/>
  <c r="V618" i="10" s="1"/>
  <c r="Q1036" i="10"/>
  <c r="R1036" i="10" s="1"/>
  <c r="U1036" i="10" s="1"/>
  <c r="V1036" i="10" s="1"/>
  <c r="Q724" i="10"/>
  <c r="R724" i="10" s="1"/>
  <c r="U724" i="10" s="1"/>
  <c r="V724" i="10" s="1"/>
  <c r="Q512" i="10"/>
  <c r="R512" i="10" s="1"/>
  <c r="U512" i="10" s="1"/>
  <c r="V512" i="10" s="1"/>
  <c r="Q302" i="10"/>
  <c r="R302" i="10" s="1"/>
  <c r="U302" i="10" s="1"/>
  <c r="V302" i="10" s="1"/>
  <c r="Q1035" i="10"/>
  <c r="R1035" i="10" s="1"/>
  <c r="U1035" i="10" s="1"/>
  <c r="V1035" i="10" s="1"/>
  <c r="Q511" i="10"/>
  <c r="R511" i="10" s="1"/>
  <c r="U511" i="10" s="1"/>
  <c r="V511" i="10" s="1"/>
  <c r="Q301" i="10"/>
  <c r="Q94" i="7"/>
  <c r="R94" i="7" s="1"/>
  <c r="U94" i="7" s="1"/>
  <c r="V94" i="7" s="1"/>
  <c r="Q827" i="10"/>
  <c r="R827" i="10" s="1"/>
  <c r="U827" i="10" s="1"/>
  <c r="V827" i="10" s="1"/>
  <c r="Q510" i="10"/>
  <c r="R510" i="10" s="1"/>
  <c r="U510" i="10" s="1"/>
  <c r="V510" i="10" s="1"/>
  <c r="Q409" i="10"/>
  <c r="R409" i="10" s="1"/>
  <c r="U409" i="10" s="1"/>
  <c r="V409" i="10" s="1"/>
  <c r="Q300" i="10"/>
  <c r="R300" i="10" s="1"/>
  <c r="U300" i="10" s="1"/>
  <c r="V300" i="10" s="1"/>
  <c r="Q94" i="10"/>
  <c r="R94" i="10" s="1"/>
  <c r="U94" i="10" s="1"/>
  <c r="V94" i="10" s="1"/>
  <c r="Q826" i="10"/>
  <c r="R826" i="10" s="1"/>
  <c r="U826" i="10" s="1"/>
  <c r="V826" i="10" s="1"/>
  <c r="Q408" i="10"/>
  <c r="Q93" i="10"/>
  <c r="Q92" i="1"/>
  <c r="Q825" i="10"/>
  <c r="R825" i="10" s="1"/>
  <c r="U825" i="10" s="1"/>
  <c r="V825" i="10" s="1"/>
  <c r="Q407" i="10"/>
  <c r="R407" i="10" s="1"/>
  <c r="U407" i="10" s="1"/>
  <c r="V407" i="10" s="1"/>
  <c r="Q92" i="10"/>
  <c r="R92" i="10" s="1"/>
  <c r="U92" i="10" s="1"/>
  <c r="V92" i="10" s="1"/>
  <c r="Q91" i="1"/>
  <c r="Q934" i="10"/>
  <c r="R934" i="10" s="1"/>
  <c r="U934" i="10" s="1"/>
  <c r="V934" i="10" s="1"/>
  <c r="Q617" i="10"/>
  <c r="Q406" i="10"/>
  <c r="R406" i="10" s="1"/>
  <c r="U406" i="10" s="1"/>
  <c r="V406" i="10" s="1"/>
  <c r="Q91" i="10"/>
  <c r="R91" i="10" s="1"/>
  <c r="Q513" i="10"/>
  <c r="R513" i="10" s="1"/>
  <c r="U513" i="10" s="1"/>
  <c r="V513" i="10" s="1"/>
  <c r="Q90" i="1"/>
  <c r="Q616" i="10"/>
  <c r="R616" i="10" s="1"/>
  <c r="U616" i="10" s="1"/>
  <c r="V616" i="10" s="1"/>
  <c r="Q405" i="10"/>
  <c r="R405" i="10" s="1"/>
  <c r="U405" i="10" s="1"/>
  <c r="V405" i="10" s="1"/>
  <c r="Q304" i="10"/>
  <c r="R304" i="10" s="1"/>
  <c r="U304" i="10" s="1"/>
  <c r="V304" i="10" s="1"/>
  <c r="Q303" i="10"/>
  <c r="Q1037" i="10"/>
  <c r="R1037" i="10" s="1"/>
  <c r="U1037" i="10" s="1"/>
  <c r="V1037" i="10" s="1"/>
  <c r="Q615" i="10"/>
  <c r="R615" i="10" s="1"/>
  <c r="U615" i="10" s="1"/>
  <c r="V615" i="10" s="1"/>
  <c r="Q90" i="10"/>
  <c r="R90" i="10" s="1"/>
  <c r="U90" i="10" s="1"/>
  <c r="V90" i="10" s="1"/>
  <c r="Q514" i="10"/>
  <c r="R514" i="10" s="1"/>
  <c r="U514" i="10" s="1"/>
  <c r="V514" i="10" s="1"/>
  <c r="Q73" i="1"/>
  <c r="Q1018" i="10"/>
  <c r="R1018" i="10" s="1"/>
  <c r="U1018" i="10" s="1"/>
  <c r="V1018" i="10" s="1"/>
  <c r="Q808" i="10"/>
  <c r="R808" i="10" s="1"/>
  <c r="U808" i="10" s="1"/>
  <c r="V808" i="10" s="1"/>
  <c r="Q598" i="10"/>
  <c r="Q72" i="1"/>
  <c r="Q1017" i="10"/>
  <c r="R1017" i="10" s="1"/>
  <c r="U1017" i="10" s="1"/>
  <c r="V1017" i="10" s="1"/>
  <c r="Q807" i="10"/>
  <c r="R807" i="10" s="1"/>
  <c r="U807" i="10" s="1"/>
  <c r="V807" i="10" s="1"/>
  <c r="Q597" i="10"/>
  <c r="R597" i="10" s="1"/>
  <c r="U597" i="10" s="1"/>
  <c r="V597" i="10" s="1"/>
  <c r="Q71" i="1"/>
  <c r="Q1016" i="10"/>
  <c r="R1016" i="10" s="1"/>
  <c r="U1016" i="10" s="1"/>
  <c r="V1016" i="10" s="1"/>
  <c r="Q806" i="10"/>
  <c r="R806" i="10" s="1"/>
  <c r="U806" i="10" s="1"/>
  <c r="V806" i="10" s="1"/>
  <c r="Q596" i="10"/>
  <c r="Q70" i="1"/>
  <c r="Q74" i="7"/>
  <c r="R74" i="7" s="1"/>
  <c r="U74" i="7" s="1"/>
  <c r="V74" i="7" s="1"/>
  <c r="Q1015" i="10"/>
  <c r="R1015" i="10" s="1"/>
  <c r="U1015" i="10" s="1"/>
  <c r="V1015" i="10" s="1"/>
  <c r="Q914" i="10"/>
  <c r="R914" i="10" s="1"/>
  <c r="U914" i="10" s="1"/>
  <c r="V914" i="10" s="1"/>
  <c r="Q805" i="10"/>
  <c r="R805" i="10" s="1"/>
  <c r="U805" i="10" s="1"/>
  <c r="V805" i="10" s="1"/>
  <c r="Q704" i="10"/>
  <c r="R704" i="10" s="1"/>
  <c r="U704" i="10" s="1"/>
  <c r="V704" i="10" s="1"/>
  <c r="Q595" i="10"/>
  <c r="R595" i="10" s="1"/>
  <c r="U595" i="10" s="1"/>
  <c r="V595" i="10" s="1"/>
  <c r="Q73" i="7"/>
  <c r="Q913" i="10"/>
  <c r="Q703" i="10"/>
  <c r="R703" i="10" s="1"/>
  <c r="U703" i="10" s="1"/>
  <c r="V703" i="10" s="1"/>
  <c r="Q701" i="10"/>
  <c r="R701" i="10" s="1"/>
  <c r="U701" i="10" s="1"/>
  <c r="V701" i="10" s="1"/>
  <c r="Q387" i="10"/>
  <c r="R387" i="10" s="1"/>
  <c r="U387" i="10" s="1"/>
  <c r="V387" i="10" s="1"/>
  <c r="Q72" i="10"/>
  <c r="R72" i="10" s="1"/>
  <c r="U72" i="10" s="1"/>
  <c r="V72" i="10" s="1"/>
  <c r="Q72" i="7"/>
  <c r="R72" i="7" s="1"/>
  <c r="U72" i="7" s="1"/>
  <c r="V72" i="7" s="1"/>
  <c r="Q700" i="10"/>
  <c r="R700" i="10" s="1"/>
  <c r="U700" i="10" s="1"/>
  <c r="V700" i="10" s="1"/>
  <c r="Q386" i="10"/>
  <c r="Q71" i="10"/>
  <c r="Q71" i="7"/>
  <c r="R71" i="7" s="1"/>
  <c r="U71" i="7" s="1"/>
  <c r="V71" i="7" s="1"/>
  <c r="Q809" i="10"/>
  <c r="R809" i="10" s="1"/>
  <c r="U809" i="10" s="1"/>
  <c r="V809" i="10" s="1"/>
  <c r="Q494" i="10"/>
  <c r="R494" i="10" s="1"/>
  <c r="U494" i="10" s="1"/>
  <c r="V494" i="10" s="1"/>
  <c r="Q385" i="10"/>
  <c r="R385" i="10" s="1"/>
  <c r="U385" i="10" s="1"/>
  <c r="V385" i="10" s="1"/>
  <c r="Q284" i="10"/>
  <c r="R284" i="10" s="1"/>
  <c r="U284" i="10" s="1"/>
  <c r="V284" i="10" s="1"/>
  <c r="Q70" i="10"/>
  <c r="R70" i="10" s="1"/>
  <c r="U70" i="10" s="1"/>
  <c r="V70" i="10" s="1"/>
  <c r="Q70" i="7"/>
  <c r="Q493" i="10"/>
  <c r="Q283" i="10"/>
  <c r="R283" i="10" s="1"/>
  <c r="U283" i="10" s="1"/>
  <c r="V283" i="10" s="1"/>
  <c r="Q74" i="1"/>
  <c r="Q912" i="10"/>
  <c r="R912" i="10" s="1"/>
  <c r="U912" i="10" s="1"/>
  <c r="V912" i="10" s="1"/>
  <c r="Q492" i="10"/>
  <c r="R492" i="10" s="1"/>
  <c r="U492" i="10" s="1"/>
  <c r="V492" i="10" s="1"/>
  <c r="Q282" i="10"/>
  <c r="R282" i="10" s="1"/>
  <c r="U282" i="10" s="1"/>
  <c r="V282" i="10" s="1"/>
  <c r="Q911" i="10"/>
  <c r="R911" i="10" s="1"/>
  <c r="U911" i="10" s="1"/>
  <c r="V911" i="10" s="1"/>
  <c r="Q599" i="10"/>
  <c r="Q491" i="10"/>
  <c r="Q281" i="10"/>
  <c r="R281" i="10" s="1"/>
  <c r="U281" i="10" s="1"/>
  <c r="V281" i="10" s="1"/>
  <c r="Q73" i="10"/>
  <c r="R73" i="10" s="1"/>
  <c r="U73" i="10" s="1"/>
  <c r="V73" i="10" s="1"/>
  <c r="Q702" i="10"/>
  <c r="R702" i="10" s="1"/>
  <c r="U702" i="10" s="1"/>
  <c r="V702" i="10" s="1"/>
  <c r="Q490" i="10"/>
  <c r="R490" i="10" s="1"/>
  <c r="U490" i="10" s="1"/>
  <c r="V490" i="10" s="1"/>
  <c r="Q389" i="10"/>
  <c r="R389" i="10" s="1"/>
  <c r="U389" i="10" s="1"/>
  <c r="V389" i="10" s="1"/>
  <c r="Q1019" i="10"/>
  <c r="R1019" i="10" s="1"/>
  <c r="U1019" i="10" s="1"/>
  <c r="V1019" i="10" s="1"/>
  <c r="Q910" i="10"/>
  <c r="Q280" i="10"/>
  <c r="Q74" i="10"/>
  <c r="R74" i="10" s="1"/>
  <c r="U74" i="10" s="1"/>
  <c r="V74" i="10" s="1"/>
  <c r="Q388" i="10"/>
  <c r="R388" i="10" s="1"/>
  <c r="U388" i="10" s="1"/>
  <c r="V388" i="10" s="1"/>
  <c r="Q53" i="7"/>
  <c r="R53" i="7" s="1"/>
  <c r="U53" i="7" s="1"/>
  <c r="V53" i="7" s="1"/>
  <c r="Q893" i="10"/>
  <c r="R893" i="10" s="1"/>
  <c r="U893" i="10" s="1"/>
  <c r="V893" i="10" s="1"/>
  <c r="Q683" i="10"/>
  <c r="R683" i="10" s="1"/>
  <c r="U683" i="10" s="1"/>
  <c r="V683" i="10" s="1"/>
  <c r="Q52" i="7"/>
  <c r="R52" i="7" s="1"/>
  <c r="U52" i="7" s="1"/>
  <c r="V52" i="7" s="1"/>
  <c r="Q892" i="10"/>
  <c r="Q682" i="10"/>
  <c r="Q51" i="7"/>
  <c r="R51" i="7" s="1"/>
  <c r="U51" i="7" s="1"/>
  <c r="V51" i="7" s="1"/>
  <c r="Q891" i="10"/>
  <c r="R891" i="10" s="1"/>
  <c r="U891" i="10" s="1"/>
  <c r="V891" i="10" s="1"/>
  <c r="Q681" i="10"/>
  <c r="R681" i="10" s="1"/>
  <c r="U681" i="10" s="1"/>
  <c r="V681" i="10" s="1"/>
  <c r="Q54" i="1"/>
  <c r="Q50" i="7"/>
  <c r="R50" i="7" s="1"/>
  <c r="U50" i="7" s="1"/>
  <c r="V50" i="7" s="1"/>
  <c r="Q999" i="10"/>
  <c r="R999" i="10" s="1"/>
  <c r="U999" i="10" s="1"/>
  <c r="V999" i="10" s="1"/>
  <c r="Q890" i="10"/>
  <c r="Q789" i="10"/>
  <c r="R789" i="10" s="1"/>
  <c r="U789" i="10" s="1"/>
  <c r="V789" i="10" s="1"/>
  <c r="Q680" i="10"/>
  <c r="R680" i="10" s="1"/>
  <c r="U680" i="10" s="1"/>
  <c r="V680" i="10" s="1"/>
  <c r="Q579" i="10"/>
  <c r="R579" i="10" s="1"/>
  <c r="U579" i="10" s="1"/>
  <c r="V579" i="10" s="1"/>
  <c r="Q53" i="1"/>
  <c r="Q998" i="10"/>
  <c r="R998" i="10" s="1"/>
  <c r="U998" i="10" s="1"/>
  <c r="V998" i="10" s="1"/>
  <c r="Q788" i="10"/>
  <c r="R788" i="10" s="1"/>
  <c r="U788" i="10" s="1"/>
  <c r="V788" i="10" s="1"/>
  <c r="Q578" i="10"/>
  <c r="R578" i="10" s="1"/>
  <c r="U578" i="10" s="1"/>
  <c r="V578" i="10" s="1"/>
  <c r="Q995" i="10"/>
  <c r="Q472" i="10"/>
  <c r="R472" i="10" s="1"/>
  <c r="U472" i="10" s="1"/>
  <c r="V472" i="10" s="1"/>
  <c r="Q262" i="10"/>
  <c r="R262" i="10" s="1"/>
  <c r="U262" i="10" s="1"/>
  <c r="V262" i="10" s="1"/>
  <c r="Q54" i="7"/>
  <c r="R54" i="7" s="1"/>
  <c r="U54" i="7" s="1"/>
  <c r="V54" i="7" s="1"/>
  <c r="Q787" i="10"/>
  <c r="R787" i="10" s="1"/>
  <c r="U787" i="10" s="1"/>
  <c r="V787" i="10" s="1"/>
  <c r="Q471" i="10"/>
  <c r="R471" i="10" s="1"/>
  <c r="U471" i="10" s="1"/>
  <c r="V471" i="10" s="1"/>
  <c r="Q261" i="10"/>
  <c r="R261" i="10" s="1"/>
  <c r="U261" i="10" s="1"/>
  <c r="V261" i="10" s="1"/>
  <c r="Q786" i="10"/>
  <c r="R786" i="10" s="1"/>
  <c r="U786" i="10" s="1"/>
  <c r="V786" i="10" s="1"/>
  <c r="Q470" i="10"/>
  <c r="Q369" i="10"/>
  <c r="R369" i="10" s="1"/>
  <c r="U369" i="10" s="1"/>
  <c r="V369" i="10" s="1"/>
  <c r="Q260" i="10"/>
  <c r="R260" i="10" s="1"/>
  <c r="U260" i="10" s="1"/>
  <c r="V260" i="10" s="1"/>
  <c r="Q54" i="10"/>
  <c r="R54" i="10" s="1"/>
  <c r="U54" i="10" s="1"/>
  <c r="V54" i="10" s="1"/>
  <c r="Q52" i="1"/>
  <c r="Q785" i="10"/>
  <c r="R785" i="10" s="1"/>
  <c r="U785" i="10" s="1"/>
  <c r="V785" i="10" s="1"/>
  <c r="Q368" i="10"/>
  <c r="R368" i="10" s="1"/>
  <c r="U368" i="10" s="1"/>
  <c r="V368" i="10" s="1"/>
  <c r="Q53" i="10"/>
  <c r="R53" i="10" s="1"/>
  <c r="U53" i="10" s="1"/>
  <c r="V53" i="10" s="1"/>
  <c r="Q51" i="1"/>
  <c r="Q894" i="10"/>
  <c r="R894" i="10" s="1"/>
  <c r="U894" i="10" s="1"/>
  <c r="V894" i="10" s="1"/>
  <c r="Q577" i="10"/>
  <c r="R577" i="10" s="1"/>
  <c r="U577" i="10" s="1"/>
  <c r="V577" i="10" s="1"/>
  <c r="Q367" i="10"/>
  <c r="R367" i="10" s="1"/>
  <c r="U367" i="10" s="1"/>
  <c r="V367" i="10" s="1"/>
  <c r="Q52" i="10"/>
  <c r="R52" i="10" s="1"/>
  <c r="U52" i="10" s="1"/>
  <c r="V52" i="10" s="1"/>
  <c r="Q50" i="1"/>
  <c r="Q576" i="10"/>
  <c r="R576" i="10" s="1"/>
  <c r="Q366" i="10"/>
  <c r="R366" i="10" s="1"/>
  <c r="U366" i="10" s="1"/>
  <c r="V366" i="10" s="1"/>
  <c r="Q51" i="10"/>
  <c r="Q996" i="10"/>
  <c r="R996" i="10" s="1"/>
  <c r="U996" i="10" s="1"/>
  <c r="V996" i="10" s="1"/>
  <c r="Q684" i="10"/>
  <c r="R684" i="10" s="1"/>
  <c r="U684" i="10" s="1"/>
  <c r="V684" i="10" s="1"/>
  <c r="Q50" i="10"/>
  <c r="R50" i="10" s="1"/>
  <c r="Q474" i="10"/>
  <c r="R474" i="10" s="1"/>
  <c r="U474" i="10" s="1"/>
  <c r="V474" i="10" s="1"/>
  <c r="Q473" i="10"/>
  <c r="R473" i="10" s="1"/>
  <c r="U473" i="10" s="1"/>
  <c r="V473" i="10" s="1"/>
  <c r="Q263" i="10"/>
  <c r="R263" i="10" s="1"/>
  <c r="U263" i="10" s="1"/>
  <c r="V263" i="10" s="1"/>
  <c r="Q365" i="10"/>
  <c r="R365" i="10" s="1"/>
  <c r="U365" i="10" s="1"/>
  <c r="V365" i="10" s="1"/>
  <c r="Q264" i="10"/>
  <c r="Q575" i="10"/>
  <c r="Q997" i="10"/>
  <c r="R997" i="10" s="1"/>
  <c r="U997" i="10" s="1"/>
  <c r="V997" i="10" s="1"/>
  <c r="Q33" i="1"/>
  <c r="Q978" i="10"/>
  <c r="R978" i="10" s="1"/>
  <c r="U978" i="10" s="1"/>
  <c r="V978" i="10" s="1"/>
  <c r="Q768" i="10"/>
  <c r="R768" i="10" s="1"/>
  <c r="U768" i="10" s="1"/>
  <c r="V768" i="10" s="1"/>
  <c r="Q558" i="10"/>
  <c r="R558" i="10" s="1"/>
  <c r="U558" i="10" s="1"/>
  <c r="V558" i="10" s="1"/>
  <c r="Q32" i="1"/>
  <c r="Q977" i="10"/>
  <c r="Q767" i="10"/>
  <c r="R767" i="10" s="1"/>
  <c r="U767" i="10" s="1"/>
  <c r="V767" i="10" s="1"/>
  <c r="Q557" i="10"/>
  <c r="R557" i="10" s="1"/>
  <c r="U557" i="10" s="1"/>
  <c r="V557" i="10" s="1"/>
  <c r="Q31" i="1"/>
  <c r="Q976" i="10"/>
  <c r="Q766" i="10"/>
  <c r="R766" i="10" s="1"/>
  <c r="Q556" i="10"/>
  <c r="R556" i="10" s="1"/>
  <c r="Q30" i="1"/>
  <c r="Q34" i="7"/>
  <c r="Q975" i="10"/>
  <c r="R975" i="10" s="1"/>
  <c r="U975" i="10" s="1"/>
  <c r="V975" i="10" s="1"/>
  <c r="Q874" i="10"/>
  <c r="R874" i="10" s="1"/>
  <c r="U874" i="10" s="1"/>
  <c r="V874" i="10" s="1"/>
  <c r="Q765" i="10"/>
  <c r="R765" i="10" s="1"/>
  <c r="U765" i="10" s="1"/>
  <c r="V765" i="10" s="1"/>
  <c r="Q664" i="10"/>
  <c r="R664" i="10" s="1"/>
  <c r="U664" i="10" s="1"/>
  <c r="V664" i="10" s="1"/>
  <c r="Q555" i="10"/>
  <c r="R555" i="10" s="1"/>
  <c r="U555" i="10" s="1"/>
  <c r="V555" i="10" s="1"/>
  <c r="Q33" i="7"/>
  <c r="R33" i="7" s="1"/>
  <c r="U33" i="7" s="1"/>
  <c r="V33" i="7" s="1"/>
  <c r="Q873" i="10"/>
  <c r="R873" i="10" s="1"/>
  <c r="U873" i="10" s="1"/>
  <c r="V873" i="10" s="1"/>
  <c r="Q663" i="10"/>
  <c r="Q32" i="7"/>
  <c r="R32" i="7" s="1"/>
  <c r="U32" i="7" s="1"/>
  <c r="V32" i="7" s="1"/>
  <c r="Q660" i="10"/>
  <c r="R660" i="10" s="1"/>
  <c r="Q347" i="10"/>
  <c r="R347" i="10" s="1"/>
  <c r="U347" i="10" s="1"/>
  <c r="V347" i="10" s="1"/>
  <c r="Q32" i="10"/>
  <c r="R32" i="10" s="1"/>
  <c r="U32" i="10" s="1"/>
  <c r="V32" i="10" s="1"/>
  <c r="Q31" i="7"/>
  <c r="R31" i="7" s="1"/>
  <c r="U31" i="7" s="1"/>
  <c r="V31" i="7" s="1"/>
  <c r="Q769" i="10"/>
  <c r="R769" i="10" s="1"/>
  <c r="U769" i="10" s="1"/>
  <c r="V769" i="10" s="1"/>
  <c r="Q346" i="10"/>
  <c r="R346" i="10" s="1"/>
  <c r="U346" i="10" s="1"/>
  <c r="V346" i="10" s="1"/>
  <c r="Q31" i="10"/>
  <c r="Q30" i="7"/>
  <c r="R30" i="7" s="1"/>
  <c r="U30" i="7" s="1"/>
  <c r="V30" i="7" s="1"/>
  <c r="Q454" i="10"/>
  <c r="R454" i="10" s="1"/>
  <c r="U454" i="10" s="1"/>
  <c r="V454" i="10" s="1"/>
  <c r="Q345" i="10"/>
  <c r="R345" i="10" s="1"/>
  <c r="U345" i="10" s="1"/>
  <c r="V345" i="10" s="1"/>
  <c r="Q244" i="10"/>
  <c r="R244" i="10" s="1"/>
  <c r="Q30" i="10"/>
  <c r="R30" i="10" s="1"/>
  <c r="U30" i="10" s="1"/>
  <c r="V30" i="10" s="1"/>
  <c r="Q34" i="1"/>
  <c r="Q872" i="10"/>
  <c r="R872" i="10" s="1"/>
  <c r="U872" i="10" s="1"/>
  <c r="V872" i="10" s="1"/>
  <c r="Q453" i="10"/>
  <c r="R453" i="10" s="1"/>
  <c r="U453" i="10" s="1"/>
  <c r="V453" i="10" s="1"/>
  <c r="Q243" i="10"/>
  <c r="R243" i="10" s="1"/>
  <c r="U243" i="10" s="1"/>
  <c r="V243" i="10" s="1"/>
  <c r="Q871" i="10"/>
  <c r="R871" i="10" s="1"/>
  <c r="U871" i="10" s="1"/>
  <c r="V871" i="10" s="1"/>
  <c r="Q559" i="10"/>
  <c r="R559" i="10" s="1"/>
  <c r="U559" i="10" s="1"/>
  <c r="V559" i="10" s="1"/>
  <c r="Q452" i="10"/>
  <c r="R452" i="10" s="1"/>
  <c r="U452" i="10" s="1"/>
  <c r="V452" i="10" s="1"/>
  <c r="Q242" i="10"/>
  <c r="R242" i="10" s="1"/>
  <c r="U242" i="10" s="1"/>
  <c r="V242" i="10" s="1"/>
  <c r="Q870" i="10"/>
  <c r="R870" i="10" s="1"/>
  <c r="U870" i="10" s="1"/>
  <c r="V870" i="10" s="1"/>
  <c r="Q451" i="10"/>
  <c r="R451" i="10" s="1"/>
  <c r="U451" i="10" s="1"/>
  <c r="V451" i="10" s="1"/>
  <c r="Q241" i="10"/>
  <c r="Q348" i="10"/>
  <c r="R348" i="10" s="1"/>
  <c r="U348" i="10" s="1"/>
  <c r="V348" i="10" s="1"/>
  <c r="Q33" i="10"/>
  <c r="R33" i="10" s="1"/>
  <c r="Q662" i="10"/>
  <c r="R662" i="10" s="1"/>
  <c r="U662" i="10" s="1"/>
  <c r="V662" i="10" s="1"/>
  <c r="Q979" i="10"/>
  <c r="R979" i="10" s="1"/>
  <c r="U979" i="10" s="1"/>
  <c r="V979" i="10" s="1"/>
  <c r="Q240" i="10"/>
  <c r="R240" i="10" s="1"/>
  <c r="Q34" i="10"/>
  <c r="R34" i="10" s="1"/>
  <c r="U34" i="10" s="1"/>
  <c r="V34" i="10" s="1"/>
  <c r="Q450" i="10"/>
  <c r="R450" i="10" s="1"/>
  <c r="U450" i="10" s="1"/>
  <c r="V450" i="10" s="1"/>
  <c r="Q349" i="10"/>
  <c r="R349" i="10" s="1"/>
  <c r="U349" i="10" s="1"/>
  <c r="V349" i="10" s="1"/>
  <c r="Q661" i="10"/>
  <c r="R661" i="10" s="1"/>
  <c r="U661" i="10" s="1"/>
  <c r="V661" i="10" s="1"/>
  <c r="Q9" i="1"/>
  <c r="Q5" i="7"/>
  <c r="R5" i="7" s="1"/>
  <c r="U5" i="7" s="1"/>
  <c r="V5" i="7" s="1"/>
  <c r="Q954" i="10"/>
  <c r="R954" i="10" s="1"/>
  <c r="U954" i="10" s="1"/>
  <c r="V954" i="10" s="1"/>
  <c r="Q845" i="10"/>
  <c r="R845" i="10" s="1"/>
  <c r="U845" i="10" s="1"/>
  <c r="V845" i="10" s="1"/>
  <c r="Q744" i="10"/>
  <c r="R744" i="10" s="1"/>
  <c r="U744" i="10" s="1"/>
  <c r="V744" i="10" s="1"/>
  <c r="Q635" i="10"/>
  <c r="R635" i="10" s="1"/>
  <c r="U635" i="10" s="1"/>
  <c r="V635" i="10" s="1"/>
  <c r="Q8" i="1"/>
  <c r="Q953" i="10"/>
  <c r="R953" i="10" s="1"/>
  <c r="U953" i="10" s="1"/>
  <c r="V953" i="10" s="1"/>
  <c r="Q743" i="10"/>
  <c r="R743" i="10" s="1"/>
  <c r="U743" i="10" s="1"/>
  <c r="V743" i="10" s="1"/>
  <c r="Q7" i="1"/>
  <c r="Q952" i="10"/>
  <c r="R952" i="10" s="1"/>
  <c r="U952" i="10" s="1"/>
  <c r="V952" i="10" s="1"/>
  <c r="Q742" i="10"/>
  <c r="R742" i="10" s="1"/>
  <c r="U742" i="10" s="1"/>
  <c r="V742" i="10" s="1"/>
  <c r="Q6" i="1"/>
  <c r="Q951" i="10"/>
  <c r="R951" i="10" s="1"/>
  <c r="U951" i="10" s="1"/>
  <c r="V951" i="10" s="1"/>
  <c r="Q741" i="10"/>
  <c r="Q5" i="1"/>
  <c r="Q9" i="7"/>
  <c r="R9" i="7" s="1"/>
  <c r="U9" i="7" s="1"/>
  <c r="V9" i="7" s="1"/>
  <c r="Q950" i="10"/>
  <c r="R950" i="10" s="1"/>
  <c r="U950" i="10" s="1"/>
  <c r="V950" i="10" s="1"/>
  <c r="Q849" i="10"/>
  <c r="R849" i="10" s="1"/>
  <c r="U849" i="10" s="1"/>
  <c r="V849" i="10" s="1"/>
  <c r="Q740" i="10"/>
  <c r="R740" i="10" s="1"/>
  <c r="U740" i="10" s="1"/>
  <c r="V740" i="10" s="1"/>
  <c r="Q639" i="10"/>
  <c r="R639" i="10" s="1"/>
  <c r="Q637" i="10"/>
  <c r="R637" i="10" s="1"/>
  <c r="U637" i="10" s="1"/>
  <c r="V637" i="10" s="1"/>
  <c r="Q533" i="10"/>
  <c r="Q323" i="10"/>
  <c r="R323" i="10" s="1"/>
  <c r="U323" i="10" s="1"/>
  <c r="V323" i="10" s="1"/>
  <c r="Q8" i="10"/>
  <c r="R8" i="10" s="1"/>
  <c r="U8" i="10" s="1"/>
  <c r="V8" i="10" s="1"/>
  <c r="Q8" i="7"/>
  <c r="R8" i="7" s="1"/>
  <c r="U8" i="7" s="1"/>
  <c r="V8" i="7" s="1"/>
  <c r="Q636" i="10"/>
  <c r="R636" i="10" s="1"/>
  <c r="U636" i="10" s="1"/>
  <c r="V636" i="10" s="1"/>
  <c r="Q532" i="10"/>
  <c r="R532" i="10" s="1"/>
  <c r="U532" i="10" s="1"/>
  <c r="V532" i="10" s="1"/>
  <c r="Q322" i="10"/>
  <c r="R322" i="10" s="1"/>
  <c r="U322" i="10" s="1"/>
  <c r="V322" i="10" s="1"/>
  <c r="Q7" i="10"/>
  <c r="R7" i="10" s="1"/>
  <c r="U7" i="10" s="1"/>
  <c r="V7" i="10" s="1"/>
  <c r="Q7" i="7"/>
  <c r="Q531" i="10"/>
  <c r="Q321" i="10"/>
  <c r="R321" i="10" s="1"/>
  <c r="Q6" i="10"/>
  <c r="R6" i="10" s="1"/>
  <c r="U6" i="10" s="1"/>
  <c r="V6" i="10" s="1"/>
  <c r="Q6" i="7"/>
  <c r="R6" i="7" s="1"/>
  <c r="U6" i="7" s="1"/>
  <c r="V6" i="7" s="1"/>
  <c r="Q530" i="10"/>
  <c r="R530" i="10" s="1"/>
  <c r="U530" i="10" s="1"/>
  <c r="V530" i="10" s="1"/>
  <c r="Q429" i="10"/>
  <c r="R429" i="10" s="1"/>
  <c r="U429" i="10" s="1"/>
  <c r="V429" i="10" s="1"/>
  <c r="Q320" i="10"/>
  <c r="R320" i="10" s="1"/>
  <c r="U320" i="10" s="1"/>
  <c r="V320" i="10" s="1"/>
  <c r="Q219" i="10"/>
  <c r="Q5" i="10"/>
  <c r="Q848" i="10"/>
  <c r="R848" i="10" s="1"/>
  <c r="Q428" i="10"/>
  <c r="R428" i="10" s="1"/>
  <c r="Q218" i="10"/>
  <c r="R218" i="10" s="1"/>
  <c r="U218" i="10" s="1"/>
  <c r="V218" i="10" s="1"/>
  <c r="Q847" i="10"/>
  <c r="R847" i="10" s="1"/>
  <c r="U847" i="10" s="1"/>
  <c r="V847" i="10" s="1"/>
  <c r="Q427" i="10"/>
  <c r="R427" i="10" s="1"/>
  <c r="U427" i="10" s="1"/>
  <c r="V427" i="10" s="1"/>
  <c r="Q217" i="10"/>
  <c r="R217" i="10" s="1"/>
  <c r="U217" i="10" s="1"/>
  <c r="V217" i="10" s="1"/>
  <c r="Q638" i="10"/>
  <c r="Q215" i="10"/>
  <c r="R215" i="10" s="1"/>
  <c r="U215" i="10" s="1"/>
  <c r="V215" i="10" s="1"/>
  <c r="Q9" i="10"/>
  <c r="R9" i="10" s="1"/>
  <c r="U9" i="10" s="1"/>
  <c r="V9" i="10" s="1"/>
  <c r="Q534" i="10"/>
  <c r="R534" i="10" s="1"/>
  <c r="U534" i="10" s="1"/>
  <c r="V534" i="10" s="1"/>
  <c r="Q426" i="10"/>
  <c r="R426" i="10" s="1"/>
  <c r="Q425" i="10"/>
  <c r="R425" i="10" s="1"/>
  <c r="U425" i="10" s="1"/>
  <c r="V425" i="10" s="1"/>
  <c r="Q846" i="10"/>
  <c r="R846" i="10" s="1"/>
  <c r="U846" i="10" s="1"/>
  <c r="V846" i="10" s="1"/>
  <c r="Q324" i="10"/>
  <c r="R324" i="10" s="1"/>
  <c r="U324" i="10" s="1"/>
  <c r="V324" i="10" s="1"/>
  <c r="Q216" i="10"/>
  <c r="R216" i="10" s="1"/>
  <c r="U216" i="10" s="1"/>
  <c r="V216" i="10" s="1"/>
  <c r="S969" i="10"/>
  <c r="S965" i="10"/>
  <c r="S860" i="10"/>
  <c r="S863" i="10"/>
  <c r="S335" i="10"/>
  <c r="S442" i="10"/>
  <c r="S864" i="10"/>
  <c r="S755" i="10"/>
  <c r="S443" i="10"/>
  <c r="S126" i="10"/>
  <c r="S650" i="10"/>
  <c r="S24" i="10"/>
  <c r="S128" i="10"/>
  <c r="S444" i="10"/>
  <c r="S338" i="10"/>
  <c r="S545" i="10"/>
  <c r="S129" i="10"/>
  <c r="S652" i="10"/>
  <c r="S757" i="10"/>
  <c r="S339" i="10"/>
  <c r="S861" i="10"/>
  <c r="S336" i="10"/>
  <c r="S233" i="10"/>
  <c r="S967" i="10"/>
  <c r="S549" i="10"/>
  <c r="S230" i="10"/>
  <c r="S441" i="10"/>
  <c r="R977" i="10"/>
  <c r="U977" i="10" s="1"/>
  <c r="V977" i="10" s="1"/>
  <c r="R976" i="10"/>
  <c r="U976" i="10" s="1"/>
  <c r="V976" i="10" s="1"/>
  <c r="R663" i="10"/>
  <c r="U663" i="10" s="1"/>
  <c r="V663" i="10" s="1"/>
  <c r="R241" i="10"/>
  <c r="U241" i="10" s="1"/>
  <c r="V241" i="10" s="1"/>
  <c r="Q137" i="10"/>
  <c r="R137" i="10" s="1"/>
  <c r="Q139" i="10"/>
  <c r="R139" i="10" s="1"/>
  <c r="Q136" i="10"/>
  <c r="R136" i="10" s="1"/>
  <c r="U136" i="10" s="1"/>
  <c r="V136" i="10" s="1"/>
  <c r="Q138" i="10"/>
  <c r="R138" i="10" s="1"/>
  <c r="U138" i="10" s="1"/>
  <c r="V138" i="10" s="1"/>
  <c r="Q135" i="10"/>
  <c r="R135" i="10" s="1"/>
  <c r="R31" i="10"/>
  <c r="U31" i="10" s="1"/>
  <c r="V31" i="10" s="1"/>
  <c r="S20" i="10"/>
  <c r="U20" i="10"/>
  <c r="V20" i="10" s="1"/>
  <c r="S756" i="10"/>
  <c r="U756" i="10"/>
  <c r="V756" i="10" s="1"/>
  <c r="R890" i="10"/>
  <c r="U890" i="10" s="1"/>
  <c r="V890" i="10" s="1"/>
  <c r="R682" i="10"/>
  <c r="U682" i="10" s="1"/>
  <c r="V682" i="10" s="1"/>
  <c r="R892" i="10"/>
  <c r="U892" i="10" s="1"/>
  <c r="V892" i="10" s="1"/>
  <c r="R575" i="10"/>
  <c r="U575" i="10" s="1"/>
  <c r="V575" i="10" s="1"/>
  <c r="R995" i="10"/>
  <c r="U995" i="10" s="1"/>
  <c r="V995" i="10" s="1"/>
  <c r="Q155" i="10"/>
  <c r="R155" i="10" s="1"/>
  <c r="U155" i="10" s="1"/>
  <c r="V155" i="10" s="1"/>
  <c r="R470" i="10"/>
  <c r="U470" i="10" s="1"/>
  <c r="V470" i="10" s="1"/>
  <c r="Q159" i="10"/>
  <c r="R159" i="10" s="1"/>
  <c r="U159" i="10" s="1"/>
  <c r="V159" i="10" s="1"/>
  <c r="Q156" i="10"/>
  <c r="R156" i="10" s="1"/>
  <c r="Q157" i="10"/>
  <c r="R157" i="10" s="1"/>
  <c r="U157" i="10" s="1"/>
  <c r="V157" i="10" s="1"/>
  <c r="Q158" i="10"/>
  <c r="R158" i="10" s="1"/>
  <c r="R264" i="10"/>
  <c r="U264" i="10" s="1"/>
  <c r="V264" i="10" s="1"/>
  <c r="R51" i="10"/>
  <c r="U51" i="10" s="1"/>
  <c r="V51" i="10" s="1"/>
  <c r="R531" i="10"/>
  <c r="U531" i="10" s="1"/>
  <c r="V531" i="10" s="1"/>
  <c r="R533" i="10"/>
  <c r="U533" i="10" s="1"/>
  <c r="V533" i="10" s="1"/>
  <c r="R741" i="10"/>
  <c r="U741" i="10" s="1"/>
  <c r="V741" i="10" s="1"/>
  <c r="R638" i="10"/>
  <c r="U638" i="10" s="1"/>
  <c r="V638" i="10" s="1"/>
  <c r="Q111" i="10"/>
  <c r="R111" i="10" s="1"/>
  <c r="U111" i="10" s="1"/>
  <c r="V111" i="10" s="1"/>
  <c r="Q112" i="10"/>
  <c r="R112" i="10" s="1"/>
  <c r="Q114" i="10"/>
  <c r="R114" i="10" s="1"/>
  <c r="U114" i="10" s="1"/>
  <c r="V114" i="10" s="1"/>
  <c r="R219" i="10"/>
  <c r="U219" i="10" s="1"/>
  <c r="V219" i="10" s="1"/>
  <c r="Q110" i="10"/>
  <c r="R110" i="10" s="1"/>
  <c r="U110" i="10" s="1"/>
  <c r="V110" i="10" s="1"/>
  <c r="Q113" i="10"/>
  <c r="R113" i="10" s="1"/>
  <c r="R5" i="10"/>
  <c r="U5" i="10" s="1"/>
  <c r="V5" i="10" s="1"/>
  <c r="S231" i="10"/>
  <c r="U231" i="10"/>
  <c r="V231" i="10" s="1"/>
  <c r="R1039" i="10"/>
  <c r="U1039" i="10" s="1"/>
  <c r="V1039" i="10" s="1"/>
  <c r="R723" i="10"/>
  <c r="U723" i="10" s="1"/>
  <c r="V723" i="10" s="1"/>
  <c r="R617" i="10"/>
  <c r="U617" i="10" s="1"/>
  <c r="V617" i="10" s="1"/>
  <c r="R828" i="10"/>
  <c r="U828" i="10" s="1"/>
  <c r="V828" i="10" s="1"/>
  <c r="R408" i="10"/>
  <c r="U408" i="10" s="1"/>
  <c r="V408" i="10" s="1"/>
  <c r="Q199" i="10"/>
  <c r="R199" i="10" s="1"/>
  <c r="U199" i="10" s="1"/>
  <c r="V199" i="10" s="1"/>
  <c r="Q196" i="10"/>
  <c r="R196" i="10" s="1"/>
  <c r="Q198" i="10"/>
  <c r="R198" i="10" s="1"/>
  <c r="U198" i="10" s="1"/>
  <c r="V198" i="10" s="1"/>
  <c r="Q197" i="10"/>
  <c r="R197" i="10" s="1"/>
  <c r="Q195" i="10"/>
  <c r="R195" i="10" s="1"/>
  <c r="U195" i="10" s="1"/>
  <c r="V195" i="10" s="1"/>
  <c r="R301" i="10"/>
  <c r="U301" i="10" s="1"/>
  <c r="V301" i="10" s="1"/>
  <c r="R303" i="10"/>
  <c r="U303" i="10" s="1"/>
  <c r="V303" i="10" s="1"/>
  <c r="R97" i="10"/>
  <c r="U97" i="10" s="1"/>
  <c r="V97" i="10" s="1"/>
  <c r="R1030" i="10"/>
  <c r="U1030" i="10" s="1"/>
  <c r="V1030" i="10" s="1"/>
  <c r="R719" i="10"/>
  <c r="U719" i="10" s="1"/>
  <c r="V719" i="10" s="1"/>
  <c r="R716" i="10"/>
  <c r="U716" i="10" s="1"/>
  <c r="V716" i="10" s="1"/>
  <c r="R824" i="10"/>
  <c r="U824" i="10" s="1"/>
  <c r="V824" i="10" s="1"/>
  <c r="R822" i="10"/>
  <c r="U822" i="10" s="1"/>
  <c r="V822" i="10" s="1"/>
  <c r="R1032" i="10"/>
  <c r="U1032" i="10" s="1"/>
  <c r="V1032" i="10" s="1"/>
  <c r="R715" i="10"/>
  <c r="U715" i="10" s="1"/>
  <c r="V715" i="10" s="1"/>
  <c r="R718" i="10"/>
  <c r="U718" i="10" s="1"/>
  <c r="V718" i="10" s="1"/>
  <c r="R928" i="10"/>
  <c r="U928" i="10" s="1"/>
  <c r="V928" i="10" s="1"/>
  <c r="Q191" i="10"/>
  <c r="R191" i="10" s="1"/>
  <c r="U191" i="10" s="1"/>
  <c r="V191" i="10" s="1"/>
  <c r="R509" i="10"/>
  <c r="U509" i="10" s="1"/>
  <c r="V509" i="10" s="1"/>
  <c r="Q193" i="10"/>
  <c r="R193" i="10" s="1"/>
  <c r="U193" i="10" s="1"/>
  <c r="V193" i="10" s="1"/>
  <c r="R507" i="10"/>
  <c r="U507" i="10" s="1"/>
  <c r="V507" i="10" s="1"/>
  <c r="Q192" i="10"/>
  <c r="R192" i="10" s="1"/>
  <c r="U192" i="10" s="1"/>
  <c r="V192" i="10" s="1"/>
  <c r="Q190" i="10"/>
  <c r="R190" i="10" s="1"/>
  <c r="U190" i="10" s="1"/>
  <c r="V190" i="10" s="1"/>
  <c r="Q194" i="10"/>
  <c r="R194" i="10" s="1"/>
  <c r="U194" i="10" s="1"/>
  <c r="V194" i="10" s="1"/>
  <c r="R296" i="10"/>
  <c r="U296" i="10" s="1"/>
  <c r="V296" i="10" s="1"/>
  <c r="R93" i="10"/>
  <c r="U93" i="10" s="1"/>
  <c r="V93" i="10" s="1"/>
  <c r="R994" i="10"/>
  <c r="U994" i="10" s="1"/>
  <c r="V994" i="10" s="1"/>
  <c r="R574" i="10"/>
  <c r="U574" i="10" s="1"/>
  <c r="V574" i="10" s="1"/>
  <c r="R571" i="10"/>
  <c r="U571" i="10" s="1"/>
  <c r="V571" i="10" s="1"/>
  <c r="R885" i="10"/>
  <c r="U885" i="10" s="1"/>
  <c r="V885" i="10" s="1"/>
  <c r="R678" i="10"/>
  <c r="U678" i="10" s="1"/>
  <c r="V678" i="10" s="1"/>
  <c r="R573" i="10"/>
  <c r="U573" i="10" s="1"/>
  <c r="V573" i="10" s="1"/>
  <c r="Q154" i="10"/>
  <c r="R154" i="10" s="1"/>
  <c r="U154" i="10" s="1"/>
  <c r="V154" i="10" s="1"/>
  <c r="R258" i="10"/>
  <c r="U258" i="10" s="1"/>
  <c r="V258" i="10" s="1"/>
  <c r="Q150" i="10"/>
  <c r="R150" i="10" s="1"/>
  <c r="U150" i="10" s="1"/>
  <c r="V150" i="10" s="1"/>
  <c r="R256" i="10"/>
  <c r="U256" i="10" s="1"/>
  <c r="V256" i="10" s="1"/>
  <c r="R466" i="10"/>
  <c r="U466" i="10" s="1"/>
  <c r="V466" i="10" s="1"/>
  <c r="R465" i="10"/>
  <c r="U465" i="10" s="1"/>
  <c r="V465" i="10" s="1"/>
  <c r="Q151" i="10"/>
  <c r="R151" i="10" s="1"/>
  <c r="U151" i="10" s="1"/>
  <c r="V151" i="10" s="1"/>
  <c r="Q153" i="10"/>
  <c r="R153" i="10" s="1"/>
  <c r="U153" i="10" s="1"/>
  <c r="V153" i="10" s="1"/>
  <c r="R468" i="10"/>
  <c r="U468" i="10" s="1"/>
  <c r="V468" i="10" s="1"/>
  <c r="R257" i="10"/>
  <c r="U257" i="10" s="1"/>
  <c r="V257" i="10" s="1"/>
  <c r="R360" i="10"/>
  <c r="U360" i="10" s="1"/>
  <c r="V360" i="10" s="1"/>
  <c r="R363" i="10"/>
  <c r="U363" i="10" s="1"/>
  <c r="V363" i="10" s="1"/>
  <c r="R361" i="10"/>
  <c r="U361" i="10" s="1"/>
  <c r="V361" i="10" s="1"/>
  <c r="Q152" i="10"/>
  <c r="R152" i="10" s="1"/>
  <c r="U152" i="10" s="1"/>
  <c r="V152" i="10" s="1"/>
  <c r="R46" i="10"/>
  <c r="U46" i="10" s="1"/>
  <c r="V46" i="10" s="1"/>
  <c r="R657" i="10"/>
  <c r="U657" i="10" s="1"/>
  <c r="V657" i="10" s="1"/>
  <c r="R868" i="10"/>
  <c r="U868" i="10" s="1"/>
  <c r="V868" i="10" s="1"/>
  <c r="R762" i="10"/>
  <c r="U762" i="10" s="1"/>
  <c r="V762" i="10" s="1"/>
  <c r="R658" i="10"/>
  <c r="U658" i="10" s="1"/>
  <c r="V658" i="10" s="1"/>
  <c r="R973" i="10"/>
  <c r="U973" i="10" s="1"/>
  <c r="V973" i="10" s="1"/>
  <c r="Q131" i="10"/>
  <c r="R131" i="10" s="1"/>
  <c r="U131" i="10" s="1"/>
  <c r="V131" i="10" s="1"/>
  <c r="Q132" i="10"/>
  <c r="R132" i="10" s="1"/>
  <c r="Q133" i="10"/>
  <c r="R133" i="10" s="1"/>
  <c r="U133" i="10" s="1"/>
  <c r="V133" i="10" s="1"/>
  <c r="Q130" i="10"/>
  <c r="R130" i="10" s="1"/>
  <c r="R445" i="10"/>
  <c r="U445" i="10" s="1"/>
  <c r="V445" i="10" s="1"/>
  <c r="Q134" i="10"/>
  <c r="R134" i="10" s="1"/>
  <c r="U134" i="10" s="1"/>
  <c r="V134" i="10" s="1"/>
  <c r="R341" i="10"/>
  <c r="U341" i="10" s="1"/>
  <c r="V341" i="10" s="1"/>
  <c r="R448" i="10"/>
  <c r="U448" i="10" s="1"/>
  <c r="V448" i="10" s="1"/>
  <c r="R238" i="10"/>
  <c r="U238" i="10" s="1"/>
  <c r="V238" i="10" s="1"/>
  <c r="R28" i="10"/>
  <c r="U28" i="10" s="1"/>
  <c r="V28" i="10" s="1"/>
  <c r="S862" i="10"/>
  <c r="U862" i="10"/>
  <c r="V862" i="10" s="1"/>
  <c r="R596" i="10"/>
  <c r="U596" i="10" s="1"/>
  <c r="V596" i="10" s="1"/>
  <c r="R598" i="10"/>
  <c r="U598" i="10" s="1"/>
  <c r="V598" i="10" s="1"/>
  <c r="R910" i="10"/>
  <c r="U910" i="10" s="1"/>
  <c r="V910" i="10" s="1"/>
  <c r="R913" i="10"/>
  <c r="U913" i="10" s="1"/>
  <c r="V913" i="10" s="1"/>
  <c r="R599" i="10"/>
  <c r="U599" i="10" s="1"/>
  <c r="V599" i="10" s="1"/>
  <c r="R280" i="10"/>
  <c r="U280" i="10" s="1"/>
  <c r="V280" i="10" s="1"/>
  <c r="R386" i="10"/>
  <c r="U386" i="10" s="1"/>
  <c r="V386" i="10" s="1"/>
  <c r="Q176" i="10"/>
  <c r="R176" i="10" s="1"/>
  <c r="U176" i="10" s="1"/>
  <c r="V176" i="10" s="1"/>
  <c r="Q178" i="10"/>
  <c r="R178" i="10" s="1"/>
  <c r="U178" i="10" s="1"/>
  <c r="V178" i="10" s="1"/>
  <c r="Q179" i="10"/>
  <c r="R179" i="10" s="1"/>
  <c r="Q175" i="10"/>
  <c r="R175" i="10" s="1"/>
  <c r="U175" i="10" s="1"/>
  <c r="V175" i="10" s="1"/>
  <c r="R493" i="10"/>
  <c r="U493" i="10" s="1"/>
  <c r="V493" i="10" s="1"/>
  <c r="Q177" i="10"/>
  <c r="R177" i="10" s="1"/>
  <c r="R491" i="10"/>
  <c r="U491" i="10" s="1"/>
  <c r="V491" i="10" s="1"/>
  <c r="R75" i="10"/>
  <c r="U75" i="10" s="1"/>
  <c r="V75" i="10" s="1"/>
  <c r="R79" i="10"/>
  <c r="U79" i="10" s="1"/>
  <c r="V79" i="10" s="1"/>
  <c r="S232" i="10"/>
  <c r="U232" i="10"/>
  <c r="V232" i="10" s="1"/>
  <c r="R670" i="10"/>
  <c r="U670" i="10" s="1"/>
  <c r="V670" i="10" s="1"/>
  <c r="R566" i="10"/>
  <c r="R988" i="10"/>
  <c r="U988" i="10" s="1"/>
  <c r="V988" i="10" s="1"/>
  <c r="R883" i="10"/>
  <c r="U883" i="10" s="1"/>
  <c r="V883" i="10" s="1"/>
  <c r="R778" i="10"/>
  <c r="U778" i="10" s="1"/>
  <c r="V778" i="10" s="1"/>
  <c r="R671" i="10"/>
  <c r="U671" i="10" s="1"/>
  <c r="V671" i="10" s="1"/>
  <c r="R567" i="10"/>
  <c r="U567" i="10" s="1"/>
  <c r="V567" i="10" s="1"/>
  <c r="R777" i="10"/>
  <c r="U777" i="10" s="1"/>
  <c r="V777" i="10" s="1"/>
  <c r="R989" i="10"/>
  <c r="U989" i="10" s="1"/>
  <c r="V989" i="10" s="1"/>
  <c r="Q147" i="10"/>
  <c r="R147" i="10" s="1"/>
  <c r="U147" i="10" s="1"/>
  <c r="V147" i="10" s="1"/>
  <c r="R461" i="10"/>
  <c r="U461" i="10" s="1"/>
  <c r="V461" i="10" s="1"/>
  <c r="Q145" i="10"/>
  <c r="R145" i="10" s="1"/>
  <c r="U145" i="10" s="1"/>
  <c r="V145" i="10" s="1"/>
  <c r="Q149" i="10"/>
  <c r="R149" i="10" s="1"/>
  <c r="U149" i="10" s="1"/>
  <c r="V149" i="10" s="1"/>
  <c r="Q148" i="10"/>
  <c r="R148" i="10" s="1"/>
  <c r="U148" i="10" s="1"/>
  <c r="V148" i="10" s="1"/>
  <c r="Q146" i="10"/>
  <c r="R146" i="10" s="1"/>
  <c r="R41" i="10"/>
  <c r="R754" i="10"/>
  <c r="U754" i="10" s="1"/>
  <c r="V754" i="10" s="1"/>
  <c r="R961" i="10"/>
  <c r="U961" i="10" s="1"/>
  <c r="V961" i="10" s="1"/>
  <c r="R541" i="10"/>
  <c r="U541" i="10" s="1"/>
  <c r="V541" i="10" s="1"/>
  <c r="R963" i="10"/>
  <c r="U963" i="10" s="1"/>
  <c r="V963" i="10" s="1"/>
  <c r="R856" i="10"/>
  <c r="U856" i="10" s="1"/>
  <c r="V856" i="10" s="1"/>
  <c r="R649" i="10"/>
  <c r="R646" i="10"/>
  <c r="R542" i="10"/>
  <c r="U542" i="10" s="1"/>
  <c r="V542" i="10" s="1"/>
  <c r="Q124" i="10"/>
  <c r="R124" i="10" s="1"/>
  <c r="Q121" i="10"/>
  <c r="R121" i="10" s="1"/>
  <c r="U121" i="10" s="1"/>
  <c r="V121" i="10" s="1"/>
  <c r="R225" i="10"/>
  <c r="U225" i="10" s="1"/>
  <c r="V225" i="10" s="1"/>
  <c r="Q120" i="10"/>
  <c r="R120" i="10" s="1"/>
  <c r="U120" i="10" s="1"/>
  <c r="V120" i="10" s="1"/>
  <c r="Q122" i="10"/>
  <c r="R122" i="10" s="1"/>
  <c r="U122" i="10" s="1"/>
  <c r="V122" i="10" s="1"/>
  <c r="R228" i="10"/>
  <c r="U228" i="10" s="1"/>
  <c r="V228" i="10" s="1"/>
  <c r="R229" i="10"/>
  <c r="U229" i="10" s="1"/>
  <c r="V229" i="10" s="1"/>
  <c r="R331" i="10"/>
  <c r="U331" i="10" s="1"/>
  <c r="V331" i="10" s="1"/>
  <c r="Q123" i="10"/>
  <c r="R123" i="10" s="1"/>
  <c r="R15" i="10"/>
  <c r="U15" i="10" s="1"/>
  <c r="V15" i="10" s="1"/>
  <c r="R19" i="10"/>
  <c r="S968" i="10"/>
  <c r="U968" i="10"/>
  <c r="V968" i="10" s="1"/>
  <c r="R696" i="10"/>
  <c r="U696" i="10" s="1"/>
  <c r="V696" i="10" s="1"/>
  <c r="R591" i="10"/>
  <c r="U591" i="10" s="1"/>
  <c r="V591" i="10" s="1"/>
  <c r="R1013" i="10"/>
  <c r="U1013" i="10" s="1"/>
  <c r="V1013" i="10" s="1"/>
  <c r="R908" i="10"/>
  <c r="U908" i="10" s="1"/>
  <c r="V908" i="10" s="1"/>
  <c r="Q170" i="10"/>
  <c r="R170" i="10" s="1"/>
  <c r="U170" i="10" s="1"/>
  <c r="V170" i="10" s="1"/>
  <c r="Q174" i="10"/>
  <c r="R174" i="10" s="1"/>
  <c r="U174" i="10" s="1"/>
  <c r="V174" i="10" s="1"/>
  <c r="Q171" i="10"/>
  <c r="R171" i="10" s="1"/>
  <c r="R486" i="10"/>
  <c r="U486" i="10" s="1"/>
  <c r="V486" i="10" s="1"/>
  <c r="R276" i="10"/>
  <c r="U276" i="10" s="1"/>
  <c r="V276" i="10" s="1"/>
  <c r="R383" i="10"/>
  <c r="U383" i="10" s="1"/>
  <c r="V383" i="10" s="1"/>
  <c r="R382" i="10"/>
  <c r="U382" i="10" s="1"/>
  <c r="V382" i="10" s="1"/>
  <c r="Q172" i="10"/>
  <c r="R172" i="10" s="1"/>
  <c r="U172" i="10" s="1"/>
  <c r="V172" i="10" s="1"/>
  <c r="Q173" i="10"/>
  <c r="R173" i="10" s="1"/>
  <c r="R71" i="10"/>
  <c r="U71" i="10" s="1"/>
  <c r="V71" i="10" s="1"/>
  <c r="R608" i="10"/>
  <c r="U608" i="10" s="1"/>
  <c r="V608" i="10" s="1"/>
  <c r="R1028" i="10"/>
  <c r="U1028" i="10" s="1"/>
  <c r="V1028" i="10" s="1"/>
  <c r="R817" i="10"/>
  <c r="U817" i="10" s="1"/>
  <c r="V817" i="10" s="1"/>
  <c r="R923" i="10"/>
  <c r="U923" i="10" s="1"/>
  <c r="V923" i="10" s="1"/>
  <c r="R606" i="10"/>
  <c r="U606" i="10" s="1"/>
  <c r="V606" i="10" s="1"/>
  <c r="R920" i="10"/>
  <c r="U920" i="10" s="1"/>
  <c r="V920" i="10" s="1"/>
  <c r="R711" i="10"/>
  <c r="U711" i="10" s="1"/>
  <c r="V711" i="10" s="1"/>
  <c r="R819" i="10"/>
  <c r="U819" i="10" s="1"/>
  <c r="V819" i="10" s="1"/>
  <c r="R924" i="10"/>
  <c r="U924" i="10" s="1"/>
  <c r="V924" i="10" s="1"/>
  <c r="Q185" i="10"/>
  <c r="R185" i="10" s="1"/>
  <c r="U185" i="10" s="1"/>
  <c r="V185" i="10" s="1"/>
  <c r="Q189" i="10"/>
  <c r="R189" i="10" s="1"/>
  <c r="U189" i="10" s="1"/>
  <c r="V189" i="10" s="1"/>
  <c r="Q188" i="10"/>
  <c r="R188" i="10" s="1"/>
  <c r="U188" i="10" s="1"/>
  <c r="V188" i="10" s="1"/>
  <c r="Q186" i="10"/>
  <c r="R186" i="10" s="1"/>
  <c r="U186" i="10" s="1"/>
  <c r="V186" i="10" s="1"/>
  <c r="Q187" i="10"/>
  <c r="R187" i="10" s="1"/>
  <c r="U187" i="10" s="1"/>
  <c r="V187" i="10" s="1"/>
  <c r="R397" i="10"/>
  <c r="U397" i="10" s="1"/>
  <c r="V397" i="10" s="1"/>
  <c r="R501" i="10"/>
  <c r="U501" i="10" s="1"/>
  <c r="V501" i="10" s="1"/>
  <c r="R85" i="10"/>
  <c r="U85" i="10" s="1"/>
  <c r="V85" i="10" s="1"/>
  <c r="R88" i="10"/>
  <c r="R901" i="10"/>
  <c r="U901" i="10" s="1"/>
  <c r="V901" i="10" s="1"/>
  <c r="R691" i="10"/>
  <c r="U691" i="10" s="1"/>
  <c r="V691" i="10" s="1"/>
  <c r="R693" i="10"/>
  <c r="U693" i="10" s="1"/>
  <c r="V693" i="10" s="1"/>
  <c r="R587" i="10"/>
  <c r="U587" i="10" s="1"/>
  <c r="V587" i="10" s="1"/>
  <c r="R589" i="10"/>
  <c r="U589" i="10" s="1"/>
  <c r="V589" i="10" s="1"/>
  <c r="R377" i="10"/>
  <c r="U377" i="10" s="1"/>
  <c r="V377" i="10" s="1"/>
  <c r="Q167" i="10"/>
  <c r="R167" i="10" s="1"/>
  <c r="Q168" i="10"/>
  <c r="R168" i="10" s="1"/>
  <c r="U168" i="10" s="1"/>
  <c r="V168" i="10" s="1"/>
  <c r="Q166" i="10"/>
  <c r="R166" i="10" s="1"/>
  <c r="U166" i="10" s="1"/>
  <c r="V166" i="10" s="1"/>
  <c r="R375" i="10"/>
  <c r="U375" i="10" s="1"/>
  <c r="V375" i="10" s="1"/>
  <c r="R481" i="10"/>
  <c r="U481" i="10" s="1"/>
  <c r="V481" i="10" s="1"/>
  <c r="Q169" i="10"/>
  <c r="R169" i="10" s="1"/>
  <c r="U169" i="10" s="1"/>
  <c r="V169" i="10" s="1"/>
  <c r="R270" i="10"/>
  <c r="U270" i="10" s="1"/>
  <c r="V270" i="10" s="1"/>
  <c r="R379" i="10"/>
  <c r="U379" i="10" s="1"/>
  <c r="V379" i="10" s="1"/>
  <c r="Q165" i="10"/>
  <c r="R165" i="10" s="1"/>
  <c r="R484" i="10"/>
  <c r="U484" i="10" s="1"/>
  <c r="V484" i="10" s="1"/>
  <c r="R68" i="10"/>
  <c r="U68" i="10" s="1"/>
  <c r="V68" i="10" s="1"/>
  <c r="R65" i="10"/>
  <c r="U65" i="10" s="1"/>
  <c r="V65" i="10" s="1"/>
  <c r="R66" i="10"/>
  <c r="U66" i="10" s="1"/>
  <c r="V66" i="10" s="1"/>
  <c r="R939" i="10"/>
  <c r="U939" i="10" s="1"/>
  <c r="V939" i="10" s="1"/>
  <c r="R624" i="10"/>
  <c r="U624" i="10" s="1"/>
  <c r="V624" i="10" s="1"/>
  <c r="R936" i="10"/>
  <c r="U936" i="10" s="1"/>
  <c r="V936" i="10" s="1"/>
  <c r="R834" i="10"/>
  <c r="U834" i="10" s="1"/>
  <c r="V834" i="10" s="1"/>
  <c r="R727" i="10"/>
  <c r="U727" i="10" s="1"/>
  <c r="V727" i="10" s="1"/>
  <c r="R937" i="10"/>
  <c r="U937" i="10" s="1"/>
  <c r="V937" i="10" s="1"/>
  <c r="R622" i="10"/>
  <c r="U622" i="10" s="1"/>
  <c r="V622" i="10" s="1"/>
  <c r="R830" i="10"/>
  <c r="U830" i="10" s="1"/>
  <c r="V830" i="10" s="1"/>
  <c r="R1044" i="10"/>
  <c r="U1044" i="10" s="1"/>
  <c r="V1044" i="10" s="1"/>
  <c r="R1043" i="10"/>
  <c r="U1043" i="10" s="1"/>
  <c r="V1043" i="10" s="1"/>
  <c r="R411" i="10"/>
  <c r="Q204" i="10"/>
  <c r="R204" i="10" s="1"/>
  <c r="U204" i="10" s="1"/>
  <c r="V204" i="10" s="1"/>
  <c r="R515" i="10"/>
  <c r="U515" i="10" s="1"/>
  <c r="V515" i="10" s="1"/>
  <c r="Q200" i="10"/>
  <c r="R200" i="10" s="1"/>
  <c r="U200" i="10" s="1"/>
  <c r="V200" i="10" s="1"/>
  <c r="Q201" i="10"/>
  <c r="R201" i="10" s="1"/>
  <c r="U201" i="10" s="1"/>
  <c r="V201" i="10" s="1"/>
  <c r="R519" i="10"/>
  <c r="U519" i="10" s="1"/>
  <c r="V519" i="10" s="1"/>
  <c r="Q203" i="10"/>
  <c r="R203" i="10" s="1"/>
  <c r="U203" i="10" s="1"/>
  <c r="V203" i="10" s="1"/>
  <c r="Q202" i="10"/>
  <c r="R202" i="10" s="1"/>
  <c r="U202" i="10" s="1"/>
  <c r="V202" i="10" s="1"/>
  <c r="R305" i="10"/>
  <c r="U305" i="10" s="1"/>
  <c r="V305" i="10" s="1"/>
  <c r="R410" i="10"/>
  <c r="U410" i="10" s="1"/>
  <c r="V410" i="10" s="1"/>
  <c r="R916" i="10"/>
  <c r="U916" i="10" s="1"/>
  <c r="V916" i="10" s="1"/>
  <c r="R604" i="10"/>
  <c r="U604" i="10" s="1"/>
  <c r="V604" i="10" s="1"/>
  <c r="R602" i="10"/>
  <c r="U602" i="10" s="1"/>
  <c r="V602" i="10" s="1"/>
  <c r="R1020" i="10"/>
  <c r="U1020" i="10" s="1"/>
  <c r="V1020" i="10" s="1"/>
  <c r="R601" i="10"/>
  <c r="U601" i="10" s="1"/>
  <c r="V601" i="10" s="1"/>
  <c r="R603" i="10"/>
  <c r="U603" i="10" s="1"/>
  <c r="V603" i="10" s="1"/>
  <c r="R1024" i="10"/>
  <c r="U1024" i="10" s="1"/>
  <c r="V1024" i="10" s="1"/>
  <c r="R706" i="10"/>
  <c r="U706" i="10" s="1"/>
  <c r="V706" i="10" s="1"/>
  <c r="R499" i="10"/>
  <c r="U499" i="10" s="1"/>
  <c r="V499" i="10" s="1"/>
  <c r="Q181" i="10"/>
  <c r="R181" i="10" s="1"/>
  <c r="U181" i="10" s="1"/>
  <c r="V181" i="10" s="1"/>
  <c r="R285" i="10"/>
  <c r="U285" i="10" s="1"/>
  <c r="V285" i="10" s="1"/>
  <c r="Q180" i="10"/>
  <c r="R180" i="10" s="1"/>
  <c r="U180" i="10" s="1"/>
  <c r="V180" i="10" s="1"/>
  <c r="Q184" i="10"/>
  <c r="R184" i="10" s="1"/>
  <c r="U184" i="10" s="1"/>
  <c r="V184" i="10" s="1"/>
  <c r="Q182" i="10"/>
  <c r="R182" i="10" s="1"/>
  <c r="U182" i="10" s="1"/>
  <c r="V182" i="10" s="1"/>
  <c r="R392" i="10"/>
  <c r="U392" i="10" s="1"/>
  <c r="V392" i="10" s="1"/>
  <c r="R496" i="10"/>
  <c r="U496" i="10" s="1"/>
  <c r="V496" i="10" s="1"/>
  <c r="R390" i="10"/>
  <c r="U390" i="10" s="1"/>
  <c r="V390" i="10" s="1"/>
  <c r="R498" i="10"/>
  <c r="U498" i="10" s="1"/>
  <c r="V498" i="10" s="1"/>
  <c r="Q183" i="10"/>
  <c r="R183" i="10" s="1"/>
  <c r="U183" i="10" s="1"/>
  <c r="V183" i="10" s="1"/>
  <c r="R393" i="10"/>
  <c r="U393" i="10" s="1"/>
  <c r="V393" i="10" s="1"/>
  <c r="R84" i="10"/>
  <c r="R791" i="10"/>
  <c r="U791" i="10" s="1"/>
  <c r="V791" i="10" s="1"/>
  <c r="R793" i="10"/>
  <c r="U793" i="10" s="1"/>
  <c r="V793" i="10" s="1"/>
  <c r="R689" i="10"/>
  <c r="U689" i="10" s="1"/>
  <c r="V689" i="10" s="1"/>
  <c r="R1001" i="10"/>
  <c r="U1001" i="10" s="1"/>
  <c r="V1001" i="10" s="1"/>
  <c r="R580" i="10"/>
  <c r="U580" i="10" s="1"/>
  <c r="V580" i="10" s="1"/>
  <c r="R688" i="10"/>
  <c r="U688" i="10" s="1"/>
  <c r="V688" i="10" s="1"/>
  <c r="R374" i="10"/>
  <c r="U374" i="10" s="1"/>
  <c r="V374" i="10" s="1"/>
  <c r="Q160" i="10"/>
  <c r="R160" i="10" s="1"/>
  <c r="U160" i="10" s="1"/>
  <c r="V160" i="10" s="1"/>
  <c r="Q161" i="10"/>
  <c r="R161" i="10" s="1"/>
  <c r="U161" i="10" s="1"/>
  <c r="V161" i="10" s="1"/>
  <c r="Q163" i="10"/>
  <c r="R163" i="10" s="1"/>
  <c r="U163" i="10" s="1"/>
  <c r="V163" i="10" s="1"/>
  <c r="Q162" i="10"/>
  <c r="R162" i="10" s="1"/>
  <c r="U162" i="10" s="1"/>
  <c r="V162" i="10" s="1"/>
  <c r="R265" i="10"/>
  <c r="U265" i="10" s="1"/>
  <c r="V265" i="10" s="1"/>
  <c r="R477" i="10"/>
  <c r="U477" i="10" s="1"/>
  <c r="V477" i="10" s="1"/>
  <c r="R267" i="10"/>
  <c r="Q164" i="10"/>
  <c r="R164" i="10" s="1"/>
  <c r="U164" i="10" s="1"/>
  <c r="V164" i="10" s="1"/>
  <c r="R57" i="10"/>
  <c r="U57" i="10" s="1"/>
  <c r="V57" i="10" s="1"/>
  <c r="R58" i="10"/>
  <c r="U58" i="10" s="1"/>
  <c r="V58" i="10" s="1"/>
  <c r="R55" i="10"/>
  <c r="U55" i="10" s="1"/>
  <c r="V55" i="10" s="1"/>
  <c r="R669" i="10"/>
  <c r="U669" i="10" s="1"/>
  <c r="V669" i="10" s="1"/>
  <c r="R981" i="10"/>
  <c r="R879" i="10"/>
  <c r="U879" i="10" s="1"/>
  <c r="V879" i="10" s="1"/>
  <c r="R983" i="10"/>
  <c r="R878" i="10"/>
  <c r="U878" i="10" s="1"/>
  <c r="V878" i="10" s="1"/>
  <c r="R773" i="10"/>
  <c r="U773" i="10" s="1"/>
  <c r="V773" i="10" s="1"/>
  <c r="R875" i="10"/>
  <c r="U875" i="10" s="1"/>
  <c r="V875" i="10" s="1"/>
  <c r="R456" i="10"/>
  <c r="U456" i="10" s="1"/>
  <c r="V456" i="10" s="1"/>
  <c r="R248" i="10"/>
  <c r="U248" i="10" s="1"/>
  <c r="V248" i="10" s="1"/>
  <c r="Q143" i="10"/>
  <c r="R143" i="10" s="1"/>
  <c r="Q140" i="10"/>
  <c r="R140" i="10" s="1"/>
  <c r="U140" i="10" s="1"/>
  <c r="V140" i="10" s="1"/>
  <c r="Q141" i="10"/>
  <c r="R141" i="10" s="1"/>
  <c r="U141" i="10" s="1"/>
  <c r="V141" i="10" s="1"/>
  <c r="Q144" i="10"/>
  <c r="R144" i="10" s="1"/>
  <c r="Q142" i="10"/>
  <c r="R142" i="10" s="1"/>
  <c r="R353" i="10"/>
  <c r="U353" i="10" s="1"/>
  <c r="V353" i="10" s="1"/>
  <c r="R246" i="10"/>
  <c r="U246" i="10" s="1"/>
  <c r="V246" i="10" s="1"/>
  <c r="R249" i="10"/>
  <c r="U249" i="10" s="1"/>
  <c r="V249" i="10" s="1"/>
  <c r="R35" i="10"/>
  <c r="U35" i="10" s="1"/>
  <c r="V35" i="10" s="1"/>
  <c r="S22" i="10"/>
  <c r="R941" i="10"/>
  <c r="U941" i="10" s="1"/>
  <c r="V941" i="10" s="1"/>
  <c r="R730" i="10"/>
  <c r="U730" i="10" s="1"/>
  <c r="V730" i="10" s="1"/>
  <c r="R837" i="10"/>
  <c r="U837" i="10" s="1"/>
  <c r="V837" i="10" s="1"/>
  <c r="R627" i="10"/>
  <c r="U627" i="10" s="1"/>
  <c r="V627" i="10" s="1"/>
  <c r="R625" i="10"/>
  <c r="U625" i="10" s="1"/>
  <c r="V625" i="10" s="1"/>
  <c r="R629" i="10"/>
  <c r="U629" i="10" s="1"/>
  <c r="V629" i="10" s="1"/>
  <c r="R417" i="10"/>
  <c r="U417" i="10" s="1"/>
  <c r="V417" i="10" s="1"/>
  <c r="R415" i="10"/>
  <c r="U415" i="10" s="1"/>
  <c r="V415" i="10" s="1"/>
  <c r="R524" i="10"/>
  <c r="U524" i="10" s="1"/>
  <c r="V524" i="10" s="1"/>
  <c r="Q207" i="10"/>
  <c r="R207" i="10" s="1"/>
  <c r="Q209" i="10"/>
  <c r="R209" i="10" s="1"/>
  <c r="Q208" i="10"/>
  <c r="R208" i="10" s="1"/>
  <c r="Q206" i="10"/>
  <c r="R206" i="10" s="1"/>
  <c r="U206" i="10" s="1"/>
  <c r="V206" i="10" s="1"/>
  <c r="Q205" i="10"/>
  <c r="R205" i="10" s="1"/>
  <c r="R310" i="10"/>
  <c r="U310" i="10" s="1"/>
  <c r="V310" i="10" s="1"/>
  <c r="R311" i="10"/>
  <c r="U311" i="10" s="1"/>
  <c r="V311" i="10" s="1"/>
  <c r="R958" i="10"/>
  <c r="R538" i="10"/>
  <c r="U538" i="10" s="1"/>
  <c r="V538" i="10" s="1"/>
  <c r="R641" i="10"/>
  <c r="U641" i="10" s="1"/>
  <c r="V641" i="10" s="1"/>
  <c r="R851" i="10"/>
  <c r="U851" i="10" s="1"/>
  <c r="V851" i="10" s="1"/>
  <c r="R955" i="10"/>
  <c r="U955" i="10" s="1"/>
  <c r="V955" i="10" s="1"/>
  <c r="R327" i="10"/>
  <c r="U327" i="10" s="1"/>
  <c r="V327" i="10" s="1"/>
  <c r="Q119" i="10"/>
  <c r="R119" i="10" s="1"/>
  <c r="U119" i="10" s="1"/>
  <c r="V119" i="10" s="1"/>
  <c r="Q117" i="10"/>
  <c r="R117" i="10" s="1"/>
  <c r="U117" i="10" s="1"/>
  <c r="V117" i="10" s="1"/>
  <c r="Q116" i="10"/>
  <c r="R116" i="10" s="1"/>
  <c r="U116" i="10" s="1"/>
  <c r="V116" i="10" s="1"/>
  <c r="R325" i="10"/>
  <c r="U325" i="10" s="1"/>
  <c r="V325" i="10" s="1"/>
  <c r="Q118" i="10"/>
  <c r="R118" i="10" s="1"/>
  <c r="U118" i="10" s="1"/>
  <c r="V118" i="10" s="1"/>
  <c r="R431" i="10"/>
  <c r="U431" i="10" s="1"/>
  <c r="V431" i="10" s="1"/>
  <c r="Q115" i="10"/>
  <c r="R115" i="10" s="1"/>
  <c r="U115" i="10" s="1"/>
  <c r="V115" i="10" s="1"/>
  <c r="R221" i="10"/>
  <c r="U221" i="10" s="1"/>
  <c r="V221" i="10" s="1"/>
  <c r="R14" i="10"/>
  <c r="U14" i="10" s="1"/>
  <c r="V14" i="10" s="1"/>
  <c r="R12" i="10"/>
  <c r="U12" i="10" s="1"/>
  <c r="V12" i="10" s="1"/>
  <c r="S440" i="10"/>
  <c r="S127" i="10"/>
  <c r="U127" i="10"/>
  <c r="V127" i="10" s="1"/>
  <c r="R103" i="7"/>
  <c r="U103" i="7" s="1"/>
  <c r="V103" i="7" s="1"/>
  <c r="R101" i="7"/>
  <c r="U101" i="7" s="1"/>
  <c r="V101" i="7" s="1"/>
  <c r="R80" i="7"/>
  <c r="U80" i="7" s="1"/>
  <c r="V80" i="7" s="1"/>
  <c r="R83" i="7"/>
  <c r="U83" i="7" s="1"/>
  <c r="V83" i="7" s="1"/>
  <c r="R55" i="7"/>
  <c r="S20" i="7"/>
  <c r="R13" i="7"/>
  <c r="S24" i="7"/>
  <c r="R86" i="7"/>
  <c r="U86" i="7" s="1"/>
  <c r="V86" i="7" s="1"/>
  <c r="R89" i="7"/>
  <c r="U89" i="7" s="1"/>
  <c r="V89" i="7" s="1"/>
  <c r="R68" i="7"/>
  <c r="U68" i="7" s="1"/>
  <c r="V68" i="7" s="1"/>
  <c r="R43" i="7"/>
  <c r="U43" i="7" s="1"/>
  <c r="V43" i="7" s="1"/>
  <c r="R40" i="7"/>
  <c r="U40" i="7" s="1"/>
  <c r="V40" i="7" s="1"/>
  <c r="R34" i="7"/>
  <c r="U34" i="7" s="1"/>
  <c r="V34" i="7" s="1"/>
  <c r="S22" i="7"/>
  <c r="S21" i="7"/>
  <c r="U21" i="7"/>
  <c r="V21" i="7" s="1"/>
  <c r="R7" i="7"/>
  <c r="U7" i="7" s="1"/>
  <c r="V7" i="7" s="1"/>
  <c r="S23" i="7"/>
  <c r="R70" i="7"/>
  <c r="U70" i="7" s="1"/>
  <c r="V70" i="7" s="1"/>
  <c r="R73" i="7"/>
  <c r="U73" i="7" s="1"/>
  <c r="V73" i="7" s="1"/>
  <c r="R17" i="7"/>
  <c r="R18" i="7"/>
  <c r="S1066" i="10" l="1"/>
  <c r="S1068" i="10"/>
  <c r="S1064" i="10"/>
  <c r="S1067" i="10"/>
  <c r="T1069" i="10" s="1"/>
  <c r="S1100" i="10"/>
  <c r="S1134" i="10"/>
  <c r="S1123" i="10"/>
  <c r="S1131" i="10"/>
  <c r="S1132" i="10"/>
  <c r="S106" i="1"/>
  <c r="S106" i="7"/>
  <c r="S1115" i="10"/>
  <c r="S1092" i="10"/>
  <c r="S1107" i="10"/>
  <c r="S105" i="1"/>
  <c r="S1154" i="10"/>
  <c r="S109" i="1"/>
  <c r="S1090" i="10"/>
  <c r="T1094" i="10" s="1"/>
  <c r="S1114" i="10"/>
  <c r="S1102" i="10"/>
  <c r="S113" i="7"/>
  <c r="S1097" i="10"/>
  <c r="T1099" i="10" s="1"/>
  <c r="S108" i="1"/>
  <c r="S1130" i="10"/>
  <c r="S1117" i="10"/>
  <c r="S1101" i="10"/>
  <c r="T1079" i="10"/>
  <c r="S105" i="7"/>
  <c r="T109" i="7" s="1"/>
  <c r="S1061" i="10"/>
  <c r="S1145" i="10"/>
  <c r="S1055" i="10"/>
  <c r="S1105" i="10"/>
  <c r="S112" i="1"/>
  <c r="S1060" i="10"/>
  <c r="S1146" i="10"/>
  <c r="S1058" i="10"/>
  <c r="S1144" i="10"/>
  <c r="S1148" i="10"/>
  <c r="S1081" i="10"/>
  <c r="S1143" i="10"/>
  <c r="T1139" i="10"/>
  <c r="S1108" i="10"/>
  <c r="S1088" i="10"/>
  <c r="S1116" i="10"/>
  <c r="S1149" i="10"/>
  <c r="S1084" i="10"/>
  <c r="S1103" i="10"/>
  <c r="S1142" i="10"/>
  <c r="S1125" i="10"/>
  <c r="S1106" i="10"/>
  <c r="S1112" i="10"/>
  <c r="T1114" i="10" s="1"/>
  <c r="S1151" i="10"/>
  <c r="S1085" i="10"/>
  <c r="S1119" i="10"/>
  <c r="S1080" i="10"/>
  <c r="S1124" i="10"/>
  <c r="S1140" i="10"/>
  <c r="S1127" i="10"/>
  <c r="S1109" i="10"/>
  <c r="S1089" i="10"/>
  <c r="S1118" i="10"/>
  <c r="S1059" i="10"/>
  <c r="S1083" i="10"/>
  <c r="S1121" i="10"/>
  <c r="S1141" i="10"/>
  <c r="S1128" i="10"/>
  <c r="S1087" i="10"/>
  <c r="S1063" i="10"/>
  <c r="S104" i="7"/>
  <c r="S1057" i="10"/>
  <c r="T1059" i="10" s="1"/>
  <c r="S1082" i="10"/>
  <c r="S1120" i="10"/>
  <c r="S1129" i="10"/>
  <c r="S1133" i="10"/>
  <c r="T114" i="7"/>
  <c r="S1086" i="10"/>
  <c r="S1062" i="10"/>
  <c r="S1147" i="10"/>
  <c r="S1056" i="10"/>
  <c r="S1104" i="10"/>
  <c r="S1122" i="10"/>
  <c r="S1126" i="10"/>
  <c r="S977" i="10"/>
  <c r="S822" i="10"/>
  <c r="S152" i="10"/>
  <c r="S572" i="10"/>
  <c r="S301" i="10"/>
  <c r="S181" i="10"/>
  <c r="S410" i="10"/>
  <c r="S450" i="10"/>
  <c r="S676" i="10"/>
  <c r="S859" i="10"/>
  <c r="S452" i="10"/>
  <c r="S133" i="10"/>
  <c r="S663" i="10"/>
  <c r="S15" i="10"/>
  <c r="S404" i="10"/>
  <c r="T654" i="10"/>
  <c r="U848" i="10"/>
  <c r="V848" i="10" s="1"/>
  <c r="S848" i="10"/>
  <c r="U428" i="10"/>
  <c r="V428" i="10" s="1"/>
  <c r="S428" i="10"/>
  <c r="U50" i="10"/>
  <c r="V50" i="10" s="1"/>
  <c r="S50" i="10"/>
  <c r="U240" i="10"/>
  <c r="V240" i="10" s="1"/>
  <c r="S240" i="10"/>
  <c r="U766" i="10"/>
  <c r="V766" i="10" s="1"/>
  <c r="S766" i="10"/>
  <c r="U33" i="10"/>
  <c r="V33" i="10" s="1"/>
  <c r="S33" i="10"/>
  <c r="U660" i="10"/>
  <c r="V660" i="10" s="1"/>
  <c r="S660" i="10"/>
  <c r="U91" i="10"/>
  <c r="V91" i="10" s="1"/>
  <c r="S91" i="10"/>
  <c r="S474" i="10"/>
  <c r="S785" i="10"/>
  <c r="S131" i="10"/>
  <c r="S995" i="10"/>
  <c r="S873" i="10"/>
  <c r="S635" i="10"/>
  <c r="S601" i="10"/>
  <c r="S304" i="10"/>
  <c r="S136" i="10"/>
  <c r="S764" i="10"/>
  <c r="S612" i="10"/>
  <c r="S364" i="10"/>
  <c r="S454" i="10"/>
  <c r="S468" i="10"/>
  <c r="S575" i="10"/>
  <c r="S619" i="10"/>
  <c r="S183" i="10"/>
  <c r="S727" i="10"/>
  <c r="S228" i="10"/>
  <c r="S894" i="10"/>
  <c r="S449" i="10"/>
  <c r="S258" i="10"/>
  <c r="S295" i="10"/>
  <c r="S743" i="10"/>
  <c r="S164" i="10"/>
  <c r="S1042" i="10"/>
  <c r="S856" i="10"/>
  <c r="S891" i="10"/>
  <c r="S655" i="10"/>
  <c r="S469" i="10"/>
  <c r="S1032" i="10"/>
  <c r="S721" i="10"/>
  <c r="S534" i="10"/>
  <c r="S437" i="10"/>
  <c r="S688" i="10"/>
  <c r="S519" i="10"/>
  <c r="S604" i="10"/>
  <c r="S622" i="10"/>
  <c r="S752" i="10"/>
  <c r="S1003" i="10"/>
  <c r="S1024" i="10"/>
  <c r="S648" i="10"/>
  <c r="S157" i="10"/>
  <c r="S682" i="10"/>
  <c r="S760" i="10"/>
  <c r="S571" i="10"/>
  <c r="S1034" i="10"/>
  <c r="S791" i="10"/>
  <c r="S707" i="10"/>
  <c r="S872" i="10"/>
  <c r="S471" i="10"/>
  <c r="S659" i="10"/>
  <c r="S928" i="10"/>
  <c r="S7" i="10"/>
  <c r="S287" i="10"/>
  <c r="S686" i="10"/>
  <c r="S518" i="10"/>
  <c r="S242" i="10"/>
  <c r="S855" i="10"/>
  <c r="S51" i="10"/>
  <c r="S991" i="10"/>
  <c r="S218" i="10"/>
  <c r="S812" i="10"/>
  <c r="S154" i="10"/>
  <c r="S145" i="10"/>
  <c r="S353" i="10"/>
  <c r="S784" i="10"/>
  <c r="S458" i="10"/>
  <c r="S358" i="10"/>
  <c r="S671" i="10"/>
  <c r="S1022" i="10"/>
  <c r="S672" i="10"/>
  <c r="S883" i="10"/>
  <c r="S368" i="10"/>
  <c r="T129" i="10"/>
  <c r="S31" i="10"/>
  <c r="S870" i="10"/>
  <c r="S470" i="10"/>
  <c r="T864" i="10"/>
  <c r="S740" i="10"/>
  <c r="S199" i="10"/>
  <c r="S5" i="10"/>
  <c r="S365" i="10"/>
  <c r="S999" i="10"/>
  <c r="S511" i="10"/>
  <c r="S345" i="10"/>
  <c r="S767" i="10"/>
  <c r="S262" i="10"/>
  <c r="S930" i="10"/>
  <c r="S845" i="10"/>
  <c r="S724" i="10"/>
  <c r="T549" i="10"/>
  <c r="S670" i="10"/>
  <c r="S579" i="10"/>
  <c r="S954" i="10"/>
  <c r="S574" i="10"/>
  <c r="S989" i="10"/>
  <c r="S9" i="10"/>
  <c r="S477" i="10"/>
  <c r="S936" i="10"/>
  <c r="S565" i="10"/>
  <c r="S1019" i="10"/>
  <c r="S681" i="10"/>
  <c r="S934" i="10"/>
  <c r="S880" i="10"/>
  <c r="S98" i="10"/>
  <c r="S583" i="10"/>
  <c r="S832" i="10"/>
  <c r="S559" i="10"/>
  <c r="S911" i="10"/>
  <c r="S302" i="10"/>
  <c r="S175" i="10"/>
  <c r="S309" i="10"/>
  <c r="S703" i="10"/>
  <c r="S786" i="10"/>
  <c r="S722" i="10"/>
  <c r="S215" i="10"/>
  <c r="S392" i="10"/>
  <c r="S513" i="10"/>
  <c r="S617" i="10"/>
  <c r="S600" i="10"/>
  <c r="S324" i="10"/>
  <c r="S638" i="10"/>
  <c r="S668" i="10"/>
  <c r="S30" i="10"/>
  <c r="S673" i="10"/>
  <c r="S176" i="10"/>
  <c r="S996" i="10"/>
  <c r="S532" i="10"/>
  <c r="S455" i="10"/>
  <c r="S349" i="10"/>
  <c r="S453" i="10"/>
  <c r="S979" i="10"/>
  <c r="S564" i="10"/>
  <c r="S813" i="10"/>
  <c r="S334" i="10"/>
  <c r="S704" i="10"/>
  <c r="S789" i="10"/>
  <c r="S505" i="10"/>
  <c r="S927" i="10"/>
  <c r="S323" i="10"/>
  <c r="T444" i="10"/>
  <c r="S344" i="10"/>
  <c r="S950" i="10"/>
  <c r="S366" i="10"/>
  <c r="S788" i="10"/>
  <c r="S998" i="10"/>
  <c r="S952" i="10"/>
  <c r="S289" i="10"/>
  <c r="S347" i="10"/>
  <c r="S975" i="10"/>
  <c r="S134" i="10"/>
  <c r="S793" i="10"/>
  <c r="S555" i="10"/>
  <c r="S857" i="10"/>
  <c r="S255" i="10"/>
  <c r="S114" i="10"/>
  <c r="S858" i="10"/>
  <c r="S263" i="10"/>
  <c r="S216" i="10"/>
  <c r="S637" i="10"/>
  <c r="S409" i="10"/>
  <c r="S531" i="10"/>
  <c r="S456" i="10"/>
  <c r="S918" i="10"/>
  <c r="S725" i="10"/>
  <c r="S661" i="10"/>
  <c r="S508" i="10"/>
  <c r="S59" i="10"/>
  <c r="S939" i="10"/>
  <c r="S76" i="10"/>
  <c r="S496" i="10"/>
  <c r="S305" i="10"/>
  <c r="S938" i="10"/>
  <c r="S225" i="10"/>
  <c r="S910" i="10"/>
  <c r="S678" i="10"/>
  <c r="S94" i="10"/>
  <c r="S401" i="10"/>
  <c r="S723" i="10"/>
  <c r="S57" i="10"/>
  <c r="S80" i="10"/>
  <c r="S917" i="10"/>
  <c r="S1041" i="10"/>
  <c r="S976" i="10"/>
  <c r="S987" i="10"/>
  <c r="S892" i="10"/>
  <c r="S238" i="10"/>
  <c r="S926" i="10"/>
  <c r="S407" i="10"/>
  <c r="S425" i="10"/>
  <c r="S64" i="10"/>
  <c r="S897" i="10"/>
  <c r="S412" i="10"/>
  <c r="S18" i="10"/>
  <c r="S645" i="10"/>
  <c r="S599" i="10"/>
  <c r="S260" i="10"/>
  <c r="S762" i="10"/>
  <c r="S992" i="10"/>
  <c r="S90" i="10"/>
  <c r="S715" i="10"/>
  <c r="S405" i="10"/>
  <c r="S195" i="10"/>
  <c r="S826" i="10"/>
  <c r="S953" i="10"/>
  <c r="S354" i="10"/>
  <c r="S58" i="10"/>
  <c r="S498" i="10"/>
  <c r="S709" i="10"/>
  <c r="S204" i="10"/>
  <c r="S937" i="10"/>
  <c r="S122" i="10"/>
  <c r="S78" i="10"/>
  <c r="S971" i="10"/>
  <c r="S192" i="10"/>
  <c r="S408" i="10"/>
  <c r="S828" i="10"/>
  <c r="S6" i="10"/>
  <c r="T759" i="10"/>
  <c r="S140" i="10"/>
  <c r="S811" i="10"/>
  <c r="S243" i="10"/>
  <c r="S768" i="10"/>
  <c r="S677" i="10"/>
  <c r="S297" i="10"/>
  <c r="S1031" i="10"/>
  <c r="S1033" i="10"/>
  <c r="S38" i="10"/>
  <c r="S563" i="10"/>
  <c r="S269" i="10"/>
  <c r="S790" i="10"/>
  <c r="S32" i="10"/>
  <c r="S961" i="10"/>
  <c r="S473" i="10"/>
  <c r="S680" i="10"/>
  <c r="S47" i="10"/>
  <c r="S1030" i="10"/>
  <c r="S35" i="10"/>
  <c r="S665" i="10"/>
  <c r="S792" i="10"/>
  <c r="S499" i="10"/>
  <c r="S834" i="10"/>
  <c r="S138" i="10"/>
  <c r="S769" i="10"/>
  <c r="S261" i="10"/>
  <c r="S578" i="10"/>
  <c r="S865" i="10"/>
  <c r="S46" i="10"/>
  <c r="S781" i="10"/>
  <c r="S402" i="10"/>
  <c r="S929" i="10"/>
  <c r="S303" i="10"/>
  <c r="S110" i="10"/>
  <c r="S561" i="10"/>
  <c r="S361" i="10"/>
  <c r="S229" i="10"/>
  <c r="S308" i="10"/>
  <c r="S352" i="10"/>
  <c r="S478" i="10"/>
  <c r="S602" i="10"/>
  <c r="S623" i="10"/>
  <c r="S333" i="10"/>
  <c r="S42" i="10"/>
  <c r="S780" i="10"/>
  <c r="S298" i="10"/>
  <c r="S820" i="10"/>
  <c r="S878" i="10"/>
  <c r="S495" i="10"/>
  <c r="S706" i="10"/>
  <c r="S17" i="10"/>
  <c r="S541" i="10"/>
  <c r="S778" i="10"/>
  <c r="S595" i="10"/>
  <c r="S27" i="10"/>
  <c r="S374" i="10"/>
  <c r="S689" i="10"/>
  <c r="S286" i="10"/>
  <c r="S104" i="10"/>
  <c r="S203" i="10"/>
  <c r="S464" i="10"/>
  <c r="S75" i="10"/>
  <c r="S341" i="10"/>
  <c r="S973" i="10"/>
  <c r="S403" i="10"/>
  <c r="S1020" i="10"/>
  <c r="S63" i="10"/>
  <c r="S266" i="10"/>
  <c r="S227" i="10"/>
  <c r="S776" i="10"/>
  <c r="S657" i="10"/>
  <c r="S363" i="10"/>
  <c r="S506" i="10"/>
  <c r="S821" i="10"/>
  <c r="S245" i="10"/>
  <c r="S984" i="10"/>
  <c r="S285" i="10"/>
  <c r="S515" i="10"/>
  <c r="S237" i="10"/>
  <c r="S554" i="10"/>
  <c r="S615" i="10"/>
  <c r="S351" i="10"/>
  <c r="S620" i="10"/>
  <c r="S332" i="10"/>
  <c r="S542" i="10"/>
  <c r="S753" i="10"/>
  <c r="S362" i="10"/>
  <c r="S889" i="10"/>
  <c r="S193" i="10"/>
  <c r="S37" i="10"/>
  <c r="S247" i="10"/>
  <c r="S558" i="10"/>
  <c r="S151" i="10"/>
  <c r="S675" i="10"/>
  <c r="S1036" i="10"/>
  <c r="S200" i="10"/>
  <c r="S540" i="10"/>
  <c r="S775" i="10"/>
  <c r="S77" i="10"/>
  <c r="S552" i="10"/>
  <c r="S1011" i="10"/>
  <c r="S507" i="10"/>
  <c r="S823" i="10"/>
  <c r="S553" i="10"/>
  <c r="S679" i="10"/>
  <c r="S512" i="10"/>
  <c r="S931" i="10"/>
  <c r="S772" i="10"/>
  <c r="S582" i="10"/>
  <c r="S463" i="10"/>
  <c r="S385" i="10"/>
  <c r="S239" i="10"/>
  <c r="S990" i="10"/>
  <c r="S93" i="10"/>
  <c r="T339" i="10"/>
  <c r="S475" i="10"/>
  <c r="S281" i="10"/>
  <c r="S997" i="10"/>
  <c r="S972" i="10"/>
  <c r="S141" i="10"/>
  <c r="S669" i="10"/>
  <c r="S372" i="10"/>
  <c r="S701" i="10"/>
  <c r="S613" i="10"/>
  <c r="S614" i="10"/>
  <c r="S96" i="10"/>
  <c r="S359" i="10"/>
  <c r="S596" i="10"/>
  <c r="S914" i="10"/>
  <c r="S448" i="10"/>
  <c r="S510" i="10"/>
  <c r="S616" i="10"/>
  <c r="S348" i="10"/>
  <c r="S246" i="10"/>
  <c r="S459" i="10"/>
  <c r="S875" i="10"/>
  <c r="S562" i="10"/>
  <c r="S62" i="10"/>
  <c r="S1002" i="10"/>
  <c r="S705" i="10"/>
  <c r="S603" i="10"/>
  <c r="S414" i="10"/>
  <c r="S935" i="10"/>
  <c r="S241" i="10"/>
  <c r="S963" i="10"/>
  <c r="S674" i="10"/>
  <c r="S282" i="10"/>
  <c r="S490" i="10"/>
  <c r="S1015" i="10"/>
  <c r="S807" i="10"/>
  <c r="T234" i="10"/>
  <c r="S26" i="10"/>
  <c r="S467" i="10"/>
  <c r="S717" i="10"/>
  <c r="S933" i="10"/>
  <c r="S741" i="10"/>
  <c r="S457" i="10"/>
  <c r="S391" i="10"/>
  <c r="S770" i="10"/>
  <c r="S1001" i="10"/>
  <c r="S898" i="10"/>
  <c r="S288" i="10"/>
  <c r="S103" i="10"/>
  <c r="S226" i="10"/>
  <c r="S43" i="10"/>
  <c r="S252" i="10"/>
  <c r="S985" i="10"/>
  <c r="S988" i="10"/>
  <c r="S799" i="10"/>
  <c r="S386" i="10"/>
  <c r="S493" i="10"/>
  <c r="S1016" i="10"/>
  <c r="S28" i="10"/>
  <c r="S445" i="10"/>
  <c r="S658" i="10"/>
  <c r="S888" i="10"/>
  <c r="S194" i="10"/>
  <c r="S99" i="10"/>
  <c r="S825" i="10"/>
  <c r="S217" i="10"/>
  <c r="S846" i="10"/>
  <c r="S700" i="10"/>
  <c r="S95" i="10"/>
  <c r="S60" i="10"/>
  <c r="S268" i="10"/>
  <c r="S687" i="10"/>
  <c r="S83" i="10"/>
  <c r="S830" i="10"/>
  <c r="S16" i="10"/>
  <c r="S419" i="10"/>
  <c r="S806" i="10"/>
  <c r="S52" i="10"/>
  <c r="S45" i="10"/>
  <c r="S465" i="10"/>
  <c r="S994" i="10"/>
  <c r="S509" i="10"/>
  <c r="S320" i="10"/>
  <c r="S742" i="10"/>
  <c r="S329" i="10"/>
  <c r="S162" i="10"/>
  <c r="S551" i="10"/>
  <c r="S581" i="10"/>
  <c r="S774" i="10"/>
  <c r="S879" i="10"/>
  <c r="S161" i="10"/>
  <c r="S580" i="10"/>
  <c r="S81" i="10"/>
  <c r="S393" i="10"/>
  <c r="S916" i="10"/>
  <c r="S1023" i="10"/>
  <c r="S516" i="10"/>
  <c r="S728" i="10"/>
  <c r="S346" i="10"/>
  <c r="S960" i="10"/>
  <c r="S461" i="10"/>
  <c r="S253" i="10"/>
  <c r="S567" i="10"/>
  <c r="S284" i="10"/>
  <c r="S491" i="10"/>
  <c r="S598" i="10"/>
  <c r="S236" i="10"/>
  <c r="S869" i="10"/>
  <c r="S514" i="10"/>
  <c r="S829" i="10"/>
  <c r="S1038" i="10"/>
  <c r="S744" i="10"/>
  <c r="S831" i="10"/>
  <c r="S557" i="10"/>
  <c r="S568" i="10"/>
  <c r="S249" i="10"/>
  <c r="S248" i="10"/>
  <c r="S666" i="10"/>
  <c r="S476" i="10"/>
  <c r="S479" i="10"/>
  <c r="S1000" i="10"/>
  <c r="S180" i="10"/>
  <c r="S915" i="10"/>
  <c r="S101" i="10"/>
  <c r="S1044" i="10"/>
  <c r="S874" i="10"/>
  <c r="S357" i="10"/>
  <c r="S884" i="10"/>
  <c r="S702" i="10"/>
  <c r="S1017" i="10"/>
  <c r="S683" i="10"/>
  <c r="S446" i="10"/>
  <c r="S550" i="10"/>
  <c r="S153" i="10"/>
  <c r="S257" i="10"/>
  <c r="S849" i="10"/>
  <c r="S980" i="10"/>
  <c r="S373" i="10"/>
  <c r="S160" i="10"/>
  <c r="S1021" i="10"/>
  <c r="S306" i="10"/>
  <c r="S729" i="10"/>
  <c r="S331" i="10"/>
  <c r="S647" i="10"/>
  <c r="S754" i="10"/>
  <c r="T969" i="10"/>
  <c r="S355" i="10"/>
  <c r="S147" i="10"/>
  <c r="S986" i="10"/>
  <c r="S178" i="10"/>
  <c r="S597" i="10"/>
  <c r="S155" i="10"/>
  <c r="S256" i="10"/>
  <c r="S885" i="10"/>
  <c r="S296" i="10"/>
  <c r="S719" i="10"/>
  <c r="S925" i="10"/>
  <c r="S300" i="10"/>
  <c r="S111" i="10"/>
  <c r="S427" i="10"/>
  <c r="S530" i="10"/>
  <c r="S36" i="10"/>
  <c r="S55" i="10"/>
  <c r="S163" i="10"/>
  <c r="S102" i="10"/>
  <c r="S121" i="10"/>
  <c r="S750" i="10"/>
  <c r="S779" i="10"/>
  <c r="S588" i="10"/>
  <c r="S628" i="10"/>
  <c r="S280" i="10"/>
  <c r="S53" i="10"/>
  <c r="S472" i="10"/>
  <c r="S868" i="10"/>
  <c r="S610" i="10"/>
  <c r="S716" i="10"/>
  <c r="S219" i="10"/>
  <c r="S533" i="10"/>
  <c r="S221" i="10"/>
  <c r="S708" i="10"/>
  <c r="S1007" i="10"/>
  <c r="S808" i="10"/>
  <c r="S340" i="10"/>
  <c r="S235" i="10"/>
  <c r="S611" i="10"/>
  <c r="S1037" i="10"/>
  <c r="S850" i="10"/>
  <c r="S560" i="10"/>
  <c r="S56" i="10"/>
  <c r="S371" i="10"/>
  <c r="S1004" i="10"/>
  <c r="S895" i="10"/>
  <c r="S413" i="10"/>
  <c r="S330" i="10"/>
  <c r="S462" i="10"/>
  <c r="S89" i="10"/>
  <c r="S492" i="10"/>
  <c r="S577" i="10"/>
  <c r="S92" i="10"/>
  <c r="S618" i="10"/>
  <c r="S429" i="10"/>
  <c r="S853" i="10"/>
  <c r="S356" i="10"/>
  <c r="S187" i="10"/>
  <c r="S684" i="10"/>
  <c r="S485" i="10"/>
  <c r="S877" i="10"/>
  <c r="S814" i="10"/>
  <c r="S544" i="10"/>
  <c r="S69" i="10"/>
  <c r="S818" i="10"/>
  <c r="S79" i="10"/>
  <c r="S389" i="10"/>
  <c r="S283" i="10"/>
  <c r="S809" i="10"/>
  <c r="S912" i="10"/>
  <c r="S159" i="10"/>
  <c r="S866" i="10"/>
  <c r="S887" i="10"/>
  <c r="S382" i="10"/>
  <c r="S299" i="10"/>
  <c r="S982" i="10"/>
  <c r="S394" i="10"/>
  <c r="S182" i="10"/>
  <c r="S201" i="10"/>
  <c r="S1040" i="10"/>
  <c r="S624" i="10"/>
  <c r="S978" i="10"/>
  <c r="S435" i="10"/>
  <c r="S251" i="10"/>
  <c r="S149" i="10"/>
  <c r="S378" i="10"/>
  <c r="S608" i="10"/>
  <c r="S974" i="10"/>
  <c r="S275" i="10"/>
  <c r="S621" i="10"/>
  <c r="S451" i="10"/>
  <c r="S662" i="10"/>
  <c r="S460" i="10"/>
  <c r="S148" i="10"/>
  <c r="S882" i="10"/>
  <c r="S166" i="10"/>
  <c r="S314" i="10"/>
  <c r="S893" i="10"/>
  <c r="S447" i="10"/>
  <c r="S49" i="10"/>
  <c r="S150" i="10"/>
  <c r="S698" i="10"/>
  <c r="S406" i="10"/>
  <c r="S1035" i="10"/>
  <c r="S852" i="10"/>
  <c r="U852" i="10"/>
  <c r="V852" i="10" s="1"/>
  <c r="S958" i="10"/>
  <c r="U958" i="10"/>
  <c r="V958" i="10" s="1"/>
  <c r="S771" i="10"/>
  <c r="S370" i="10"/>
  <c r="S685" i="10"/>
  <c r="S82" i="10"/>
  <c r="S202" i="10"/>
  <c r="S208" i="10"/>
  <c r="U208" i="10"/>
  <c r="V208" i="10" s="1"/>
  <c r="S165" i="10"/>
  <c r="U165" i="10"/>
  <c r="V165" i="10" s="1"/>
  <c r="S292" i="10"/>
  <c r="U292" i="10"/>
  <c r="V292" i="10" s="1"/>
  <c r="S171" i="10"/>
  <c r="U171" i="10"/>
  <c r="V171" i="10" s="1"/>
  <c r="S123" i="10"/>
  <c r="U123" i="10"/>
  <c r="V123" i="10" s="1"/>
  <c r="S124" i="10"/>
  <c r="U124" i="10"/>
  <c r="V124" i="10" s="1"/>
  <c r="S777" i="10"/>
  <c r="S68" i="10"/>
  <c r="S482" i="10"/>
  <c r="S274" i="10"/>
  <c r="S796" i="10"/>
  <c r="S585" i="10"/>
  <c r="S586" i="10"/>
  <c r="S87" i="10"/>
  <c r="S189" i="10"/>
  <c r="S501" i="10"/>
  <c r="S817" i="10"/>
  <c r="S714" i="10"/>
  <c r="S924" i="10"/>
  <c r="S312" i="10"/>
  <c r="S418" i="10"/>
  <c r="S625" i="10"/>
  <c r="S627" i="10"/>
  <c r="S730" i="10"/>
  <c r="S367" i="10"/>
  <c r="S177" i="10"/>
  <c r="U177" i="10"/>
  <c r="V177" i="10" s="1"/>
  <c r="S71" i="10"/>
  <c r="S73" i="10"/>
  <c r="S172" i="10"/>
  <c r="S800" i="10"/>
  <c r="S908" i="10"/>
  <c r="S699" i="10"/>
  <c r="S190" i="10"/>
  <c r="S718" i="10"/>
  <c r="S97" i="10"/>
  <c r="S827" i="10"/>
  <c r="S951" i="10"/>
  <c r="S847" i="10"/>
  <c r="S970" i="10"/>
  <c r="U970" i="10"/>
  <c r="V970" i="10" s="1"/>
  <c r="S432" i="10"/>
  <c r="S116" i="10"/>
  <c r="S327" i="10"/>
  <c r="S749" i="10"/>
  <c r="S746" i="10"/>
  <c r="S158" i="10"/>
  <c r="U158" i="10"/>
  <c r="V158" i="10" s="1"/>
  <c r="S139" i="10"/>
  <c r="U139" i="10"/>
  <c r="V139" i="10" s="1"/>
  <c r="S244" i="10"/>
  <c r="U244" i="10"/>
  <c r="V244" i="10" s="1"/>
  <c r="S144" i="10"/>
  <c r="U144" i="10"/>
  <c r="V144" i="10" s="1"/>
  <c r="S307" i="10"/>
  <c r="U307" i="10"/>
  <c r="V307" i="10" s="1"/>
  <c r="S909" i="10"/>
  <c r="U909" i="10"/>
  <c r="V909" i="10" s="1"/>
  <c r="S398" i="10"/>
  <c r="S39" i="10"/>
  <c r="S209" i="10"/>
  <c r="U209" i="10"/>
  <c r="V209" i="10" s="1"/>
  <c r="S765" i="10"/>
  <c r="S120" i="10"/>
  <c r="S438" i="10"/>
  <c r="S962" i="10"/>
  <c r="S517" i="10"/>
  <c r="U517" i="10"/>
  <c r="V517" i="10" s="1"/>
  <c r="S173" i="10"/>
  <c r="U173" i="10"/>
  <c r="V173" i="10" s="1"/>
  <c r="S65" i="10"/>
  <c r="S377" i="10"/>
  <c r="S270" i="10"/>
  <c r="S690" i="10"/>
  <c r="S904" i="10"/>
  <c r="S691" i="10"/>
  <c r="S86" i="10"/>
  <c r="S397" i="10"/>
  <c r="S502" i="10"/>
  <c r="S712" i="10"/>
  <c r="S815" i="10"/>
  <c r="S1027" i="10"/>
  <c r="S310" i="10"/>
  <c r="S415" i="10"/>
  <c r="S839" i="10"/>
  <c r="S944" i="10"/>
  <c r="S731" i="10"/>
  <c r="S146" i="10"/>
  <c r="U146" i="10"/>
  <c r="V146" i="10" s="1"/>
  <c r="S566" i="10"/>
  <c r="U566" i="10"/>
  <c r="V566" i="10" s="1"/>
  <c r="S388" i="10"/>
  <c r="S54" i="10"/>
  <c r="S179" i="10"/>
  <c r="U179" i="10"/>
  <c r="V179" i="10" s="1"/>
  <c r="S48" i="10"/>
  <c r="S573" i="10"/>
  <c r="S570" i="10"/>
  <c r="S383" i="10"/>
  <c r="S70" i="10"/>
  <c r="S174" i="10"/>
  <c r="S905" i="10"/>
  <c r="S594" i="10"/>
  <c r="S696" i="10"/>
  <c r="S400" i="10"/>
  <c r="S824" i="10"/>
  <c r="S130" i="10"/>
  <c r="U130" i="10"/>
  <c r="V130" i="10" s="1"/>
  <c r="S132" i="10"/>
  <c r="U132" i="10"/>
  <c r="V132" i="10" s="1"/>
  <c r="S886" i="10"/>
  <c r="U886" i="10"/>
  <c r="V886" i="10" s="1"/>
  <c r="S430" i="10"/>
  <c r="S326" i="10"/>
  <c r="S328" i="10"/>
  <c r="S957" i="10"/>
  <c r="S854" i="10"/>
  <c r="S167" i="10"/>
  <c r="U167" i="10"/>
  <c r="V167" i="10" s="1"/>
  <c r="S783" i="10"/>
  <c r="U783" i="10"/>
  <c r="V783" i="10" s="1"/>
  <c r="S539" i="10"/>
  <c r="U539" i="10"/>
  <c r="V539" i="10" s="1"/>
  <c r="S794" i="10"/>
  <c r="S184" i="10"/>
  <c r="S810" i="10"/>
  <c r="S100" i="10"/>
  <c r="S207" i="10"/>
  <c r="U207" i="10"/>
  <c r="V207" i="10" s="1"/>
  <c r="S664" i="10"/>
  <c r="S876" i="10"/>
  <c r="U876" i="10"/>
  <c r="V876" i="10" s="1"/>
  <c r="S896" i="10"/>
  <c r="U896" i="10"/>
  <c r="V896" i="10" s="1"/>
  <c r="S726" i="10"/>
  <c r="U726" i="10"/>
  <c r="V726" i="10" s="1"/>
  <c r="S88" i="10"/>
  <c r="U88" i="10"/>
  <c r="V88" i="10" s="1"/>
  <c r="S1025" i="10"/>
  <c r="U1025" i="10"/>
  <c r="V1025" i="10" s="1"/>
  <c r="S646" i="10"/>
  <c r="U646" i="10"/>
  <c r="V646" i="10" s="1"/>
  <c r="S66" i="10"/>
  <c r="S272" i="10"/>
  <c r="S375" i="10"/>
  <c r="S795" i="10"/>
  <c r="S900" i="10"/>
  <c r="S797" i="10"/>
  <c r="S85" i="10"/>
  <c r="S293" i="10"/>
  <c r="S185" i="10"/>
  <c r="S1026" i="10"/>
  <c r="S609" i="10"/>
  <c r="S920" i="10"/>
  <c r="S524" i="10"/>
  <c r="S522" i="10"/>
  <c r="S1045" i="10"/>
  <c r="S733" i="10"/>
  <c r="S940" i="10"/>
  <c r="S805" i="10"/>
  <c r="S890" i="10"/>
  <c r="S782" i="10"/>
  <c r="S489" i="10"/>
  <c r="S278" i="10"/>
  <c r="S487" i="10"/>
  <c r="S803" i="10"/>
  <c r="S593" i="10"/>
  <c r="S907" i="10"/>
  <c r="S8" i="10"/>
  <c r="S993" i="10"/>
  <c r="U993" i="10"/>
  <c r="V993" i="10" s="1"/>
  <c r="S11" i="10"/>
  <c r="S119" i="10"/>
  <c r="S431" i="10"/>
  <c r="S955" i="10"/>
  <c r="S536" i="10"/>
  <c r="S535" i="10"/>
  <c r="S196" i="10"/>
  <c r="U196" i="10"/>
  <c r="V196" i="10" s="1"/>
  <c r="S156" i="10"/>
  <c r="U156" i="10"/>
  <c r="V156" i="10" s="1"/>
  <c r="S576" i="10"/>
  <c r="U576" i="10"/>
  <c r="V576" i="10" s="1"/>
  <c r="S135" i="10"/>
  <c r="U135" i="10"/>
  <c r="V135" i="10" s="1"/>
  <c r="S629" i="10"/>
  <c r="S250" i="10"/>
  <c r="U250" i="10"/>
  <c r="V250" i="10" s="1"/>
  <c r="S656" i="10"/>
  <c r="U656" i="10"/>
  <c r="V656" i="10" s="1"/>
  <c r="S350" i="10"/>
  <c r="S919" i="10"/>
  <c r="S833" i="10"/>
  <c r="S205" i="10"/>
  <c r="U205" i="10"/>
  <c r="V205" i="10" s="1"/>
  <c r="S983" i="10"/>
  <c r="U983" i="10"/>
  <c r="V983" i="10" s="1"/>
  <c r="S294" i="10"/>
  <c r="U294" i="10"/>
  <c r="V294" i="10" s="1"/>
  <c r="S291" i="10"/>
  <c r="U291" i="10"/>
  <c r="V291" i="10" s="1"/>
  <c r="S19" i="10"/>
  <c r="U19" i="10"/>
  <c r="V19" i="10" s="1"/>
  <c r="S436" i="10"/>
  <c r="U436" i="10"/>
  <c r="V436" i="10" s="1"/>
  <c r="S649" i="10"/>
  <c r="U649" i="10"/>
  <c r="V649" i="10" s="1"/>
  <c r="S67" i="10"/>
  <c r="S376" i="10"/>
  <c r="S483" i="10"/>
  <c r="S1009" i="10"/>
  <c r="S903" i="10"/>
  <c r="S798" i="10"/>
  <c r="S504" i="10"/>
  <c r="S396" i="10"/>
  <c r="S819" i="10"/>
  <c r="S922" i="10"/>
  <c r="S605" i="10"/>
  <c r="S313" i="10"/>
  <c r="S520" i="10"/>
  <c r="S837" i="10"/>
  <c r="S1049" i="10"/>
  <c r="S1048" i="10"/>
  <c r="S387" i="10"/>
  <c r="S913" i="10"/>
  <c r="S787" i="10"/>
  <c r="S867" i="10"/>
  <c r="S466" i="10"/>
  <c r="S360" i="10"/>
  <c r="S380" i="10"/>
  <c r="S384" i="10"/>
  <c r="S1010" i="10"/>
  <c r="S592" i="10"/>
  <c r="S801" i="10"/>
  <c r="S636" i="10"/>
  <c r="S10" i="10"/>
  <c r="S434" i="10"/>
  <c r="S115" i="10"/>
  <c r="S644" i="10"/>
  <c r="S640" i="10"/>
  <c r="S537" i="10"/>
  <c r="S113" i="10"/>
  <c r="U113" i="10"/>
  <c r="V113" i="10" s="1"/>
  <c r="S639" i="10"/>
  <c r="U639" i="10"/>
  <c r="V639" i="10" s="1"/>
  <c r="S137" i="10"/>
  <c r="U137" i="10"/>
  <c r="V137" i="10" s="1"/>
  <c r="S556" i="10"/>
  <c r="U556" i="10"/>
  <c r="V556" i="10" s="1"/>
  <c r="S1029" i="10"/>
  <c r="S254" i="10"/>
  <c r="U254" i="10"/>
  <c r="V254" i="10" s="1"/>
  <c r="S118" i="10"/>
  <c r="S433" i="10"/>
  <c r="U433" i="10"/>
  <c r="V433" i="10" s="1"/>
  <c r="S643" i="10"/>
  <c r="U643" i="10"/>
  <c r="V643" i="10" s="1"/>
  <c r="S390" i="10"/>
  <c r="S34" i="10"/>
  <c r="S751" i="10"/>
  <c r="S267" i="10"/>
  <c r="U267" i="10"/>
  <c r="V267" i="10" s="1"/>
  <c r="S497" i="10"/>
  <c r="U497" i="10"/>
  <c r="V497" i="10" s="1"/>
  <c r="S290" i="10"/>
  <c r="U290" i="10"/>
  <c r="V290" i="10" s="1"/>
  <c r="S40" i="10"/>
  <c r="S481" i="10"/>
  <c r="S379" i="10"/>
  <c r="S169" i="10"/>
  <c r="S902" i="10"/>
  <c r="S587" i="10"/>
  <c r="S693" i="10"/>
  <c r="S186" i="10"/>
  <c r="S188" i="10"/>
  <c r="S816" i="10"/>
  <c r="S710" i="10"/>
  <c r="S711" i="10"/>
  <c r="S523" i="10"/>
  <c r="S206" i="10"/>
  <c r="S941" i="10"/>
  <c r="S1047" i="10"/>
  <c r="S835" i="10"/>
  <c r="S44" i="10"/>
  <c r="U44" i="10"/>
  <c r="V44" i="10" s="1"/>
  <c r="S264" i="10"/>
  <c r="S25" i="10"/>
  <c r="S74" i="10"/>
  <c r="S277" i="10"/>
  <c r="S279" i="10"/>
  <c r="S804" i="10"/>
  <c r="S802" i="10"/>
  <c r="S1012" i="10"/>
  <c r="S29" i="10"/>
  <c r="U29" i="10"/>
  <c r="V29" i="10" s="1"/>
  <c r="S342" i="10"/>
  <c r="U342" i="10"/>
  <c r="V342" i="10" s="1"/>
  <c r="S259" i="10"/>
  <c r="U259" i="10"/>
  <c r="V259" i="10" s="1"/>
  <c r="S12" i="10"/>
  <c r="S117" i="10"/>
  <c r="S224" i="10"/>
  <c r="S538" i="10"/>
  <c r="S747" i="10"/>
  <c r="S748" i="10"/>
  <c r="T24" i="10"/>
  <c r="S943" i="10"/>
  <c r="S1014" i="10"/>
  <c r="S343" i="10"/>
  <c r="U343" i="10"/>
  <c r="V343" i="10" s="1"/>
  <c r="S667" i="10"/>
  <c r="S61" i="10"/>
  <c r="S265" i="10"/>
  <c r="S1043" i="10"/>
  <c r="S871" i="10"/>
  <c r="S981" i="10"/>
  <c r="U981" i="10"/>
  <c r="V981" i="10" s="1"/>
  <c r="S881" i="10"/>
  <c r="S273" i="10"/>
  <c r="S480" i="10"/>
  <c r="S168" i="10"/>
  <c r="S694" i="10"/>
  <c r="S901" i="10"/>
  <c r="S692" i="10"/>
  <c r="S395" i="10"/>
  <c r="S500" i="10"/>
  <c r="S923" i="10"/>
  <c r="S921" i="10"/>
  <c r="S1028" i="10"/>
  <c r="S416" i="10"/>
  <c r="S417" i="10"/>
  <c r="S734" i="10"/>
  <c r="S626" i="10"/>
  <c r="S1046" i="10"/>
  <c r="S41" i="10"/>
  <c r="U41" i="10"/>
  <c r="V41" i="10" s="1"/>
  <c r="S494" i="10"/>
  <c r="S369" i="10"/>
  <c r="S761" i="10"/>
  <c r="S72" i="10"/>
  <c r="S381" i="10"/>
  <c r="S486" i="10"/>
  <c r="S695" i="10"/>
  <c r="S590" i="10"/>
  <c r="S697" i="10"/>
  <c r="S191" i="10"/>
  <c r="S198" i="10"/>
  <c r="S932" i="10"/>
  <c r="S720" i="10"/>
  <c r="S322" i="10"/>
  <c r="S763" i="10"/>
  <c r="U763" i="10"/>
  <c r="V763" i="10" s="1"/>
  <c r="S13" i="10"/>
  <c r="S325" i="10"/>
  <c r="S222" i="10"/>
  <c r="S642" i="10"/>
  <c r="S641" i="10"/>
  <c r="S959" i="10"/>
  <c r="S426" i="10"/>
  <c r="U426" i="10"/>
  <c r="V426" i="10" s="1"/>
  <c r="S112" i="10"/>
  <c r="U112" i="10"/>
  <c r="V112" i="10" s="1"/>
  <c r="S321" i="10"/>
  <c r="U321" i="10"/>
  <c r="V321" i="10" s="1"/>
  <c r="S745" i="10"/>
  <c r="U745" i="10"/>
  <c r="V745" i="10" s="1"/>
  <c r="S773" i="10"/>
  <c r="S584" i="10"/>
  <c r="S838" i="10"/>
  <c r="U838" i="10"/>
  <c r="V838" i="10" s="1"/>
  <c r="S439" i="10"/>
  <c r="S964" i="10"/>
  <c r="S142" i="10"/>
  <c r="U142" i="10"/>
  <c r="V142" i="10" s="1"/>
  <c r="S143" i="10"/>
  <c r="U143" i="10"/>
  <c r="V143" i="10" s="1"/>
  <c r="S899" i="10"/>
  <c r="U899" i="10"/>
  <c r="V899" i="10" s="1"/>
  <c r="S84" i="10"/>
  <c r="U84" i="10"/>
  <c r="V84" i="10" s="1"/>
  <c r="S411" i="10"/>
  <c r="U411" i="10"/>
  <c r="V411" i="10" s="1"/>
  <c r="S543" i="10"/>
  <c r="U543" i="10"/>
  <c r="V543" i="10" s="1"/>
  <c r="S569" i="10"/>
  <c r="S484" i="10"/>
  <c r="S271" i="10"/>
  <c r="S1008" i="10"/>
  <c r="S1005" i="10"/>
  <c r="S589" i="10"/>
  <c r="S1006" i="10"/>
  <c r="S399" i="10"/>
  <c r="S503" i="10"/>
  <c r="S607" i="10"/>
  <c r="S713" i="10"/>
  <c r="S606" i="10"/>
  <c r="S311" i="10"/>
  <c r="S521" i="10"/>
  <c r="S836" i="10"/>
  <c r="S942" i="10"/>
  <c r="S732" i="10"/>
  <c r="S1018" i="10"/>
  <c r="S276" i="10"/>
  <c r="S488" i="10"/>
  <c r="S170" i="10"/>
  <c r="S906" i="10"/>
  <c r="S1013" i="10"/>
  <c r="S591" i="10"/>
  <c r="S1039" i="10"/>
  <c r="S14" i="10"/>
  <c r="S223" i="10"/>
  <c r="S220" i="10"/>
  <c r="S956" i="10"/>
  <c r="S851" i="10"/>
  <c r="S197" i="10"/>
  <c r="U197" i="10"/>
  <c r="V197" i="10" s="1"/>
  <c r="S6" i="7"/>
  <c r="S100" i="7"/>
  <c r="S57" i="7"/>
  <c r="S5" i="7"/>
  <c r="S61" i="7"/>
  <c r="S78" i="7"/>
  <c r="S36" i="7"/>
  <c r="S47" i="7"/>
  <c r="S103" i="7"/>
  <c r="S81" i="7"/>
  <c r="S14" i="7"/>
  <c r="S33" i="7"/>
  <c r="S8" i="7"/>
  <c r="S34" i="7"/>
  <c r="S91" i="7"/>
  <c r="S51" i="7"/>
  <c r="S39" i="7"/>
  <c r="S99" i="7"/>
  <c r="S52" i="7"/>
  <c r="S62" i="7"/>
  <c r="S53" i="7"/>
  <c r="S41" i="7"/>
  <c r="S79" i="7"/>
  <c r="S10" i="7"/>
  <c r="S59" i="7"/>
  <c r="S40" i="7"/>
  <c r="S72" i="7"/>
  <c r="S56" i="7"/>
  <c r="S50" i="7"/>
  <c r="S70" i="7"/>
  <c r="S38" i="7"/>
  <c r="S83" i="7"/>
  <c r="S66" i="7"/>
  <c r="S32" i="7"/>
  <c r="S96" i="7"/>
  <c r="S54" i="7"/>
  <c r="S27" i="7"/>
  <c r="S11" i="7"/>
  <c r="S63" i="7"/>
  <c r="S85" i="7"/>
  <c r="S84" i="7"/>
  <c r="S44" i="7"/>
  <c r="S67" i="7"/>
  <c r="S46" i="7"/>
  <c r="S71" i="7"/>
  <c r="S35" i="7"/>
  <c r="S101" i="7"/>
  <c r="S42" i="7"/>
  <c r="S65" i="7"/>
  <c r="S95" i="7"/>
  <c r="U95" i="7"/>
  <c r="V95" i="7" s="1"/>
  <c r="S9" i="7"/>
  <c r="S25" i="7"/>
  <c r="U25" i="7"/>
  <c r="V25" i="7" s="1"/>
  <c r="S48" i="7"/>
  <c r="S13" i="7"/>
  <c r="U13" i="7"/>
  <c r="V13" i="7" s="1"/>
  <c r="S76" i="7"/>
  <c r="S29" i="7"/>
  <c r="S45" i="7"/>
  <c r="S94" i="7"/>
  <c r="S64" i="7"/>
  <c r="S80" i="7"/>
  <c r="S43" i="7"/>
  <c r="S86" i="7"/>
  <c r="S102" i="7"/>
  <c r="S7" i="7"/>
  <c r="S31" i="7"/>
  <c r="S75" i="7"/>
  <c r="S26" i="7"/>
  <c r="S73" i="7"/>
  <c r="S92" i="7"/>
  <c r="S98" i="7"/>
  <c r="U98" i="7"/>
  <c r="V98" i="7" s="1"/>
  <c r="S12" i="7"/>
  <c r="U12" i="7"/>
  <c r="V12" i="7" s="1"/>
  <c r="S60" i="7"/>
  <c r="S58" i="7"/>
  <c r="U58" i="7"/>
  <c r="V58" i="7" s="1"/>
  <c r="S55" i="7"/>
  <c r="U55" i="7"/>
  <c r="V55" i="7" s="1"/>
  <c r="S69" i="7"/>
  <c r="S87" i="7"/>
  <c r="S97" i="7"/>
  <c r="S49" i="7"/>
  <c r="S90" i="7"/>
  <c r="S37" i="7"/>
  <c r="S89" i="7"/>
  <c r="S30" i="7"/>
  <c r="S77" i="7"/>
  <c r="S28" i="7"/>
  <c r="S74" i="7"/>
  <c r="S93" i="7"/>
  <c r="S82" i="7"/>
  <c r="T24" i="7"/>
  <c r="S68" i="7"/>
  <c r="S88" i="7"/>
  <c r="S16" i="7"/>
  <c r="U16" i="7"/>
  <c r="V16" i="7" s="1"/>
  <c r="U18" i="7"/>
  <c r="V18" i="7" s="1"/>
  <c r="S18" i="7"/>
  <c r="U19" i="7"/>
  <c r="V19" i="7" s="1"/>
  <c r="S19" i="7"/>
  <c r="S17" i="7"/>
  <c r="U17" i="7"/>
  <c r="V17" i="7" s="1"/>
  <c r="U15" i="7"/>
  <c r="V15" i="7" s="1"/>
  <c r="S15" i="7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5" i="1"/>
  <c r="T1134" i="10" l="1"/>
  <c r="T1154" i="10"/>
  <c r="T1119" i="10"/>
  <c r="T1104" i="10"/>
  <c r="T1109" i="10"/>
  <c r="T1144" i="10"/>
  <c r="T1129" i="10"/>
  <c r="T1149" i="10"/>
  <c r="T1124" i="10"/>
  <c r="T1084" i="10"/>
  <c r="T1064" i="10"/>
  <c r="T1089" i="10"/>
  <c r="T674" i="10"/>
  <c r="T814" i="10"/>
  <c r="T1034" i="10"/>
  <c r="T474" i="10"/>
  <c r="T859" i="10"/>
  <c r="T349" i="10"/>
  <c r="T454" i="10"/>
  <c r="T789" i="10"/>
  <c r="T249" i="10"/>
  <c r="T939" i="10"/>
  <c r="T729" i="10"/>
  <c r="T724" i="10"/>
  <c r="T9" i="10"/>
  <c r="T304" i="10"/>
  <c r="T509" i="10"/>
  <c r="T929" i="10"/>
  <c r="T579" i="10"/>
  <c r="T394" i="10"/>
  <c r="T979" i="10"/>
  <c r="T264" i="10"/>
  <c r="T404" i="10"/>
  <c r="T999" i="10"/>
  <c r="T769" i="10"/>
  <c r="T704" i="10"/>
  <c r="T954" i="10"/>
  <c r="T534" i="10"/>
  <c r="T179" i="10"/>
  <c r="T779" i="10"/>
  <c r="T34" i="10"/>
  <c r="T934" i="10"/>
  <c r="T829" i="10"/>
  <c r="T499" i="10"/>
  <c r="T794" i="10"/>
  <c r="T574" i="10"/>
  <c r="T79" i="10"/>
  <c r="T599" i="10"/>
  <c r="T204" i="10"/>
  <c r="T409" i="10"/>
  <c r="T334" i="10"/>
  <c r="T554" i="10"/>
  <c r="T679" i="10"/>
  <c r="T329" i="10"/>
  <c r="T39" i="10"/>
  <c r="T354" i="10"/>
  <c r="T1024" i="10"/>
  <c r="T624" i="10"/>
  <c r="T604" i="10"/>
  <c r="T184" i="10"/>
  <c r="T94" i="10"/>
  <c r="T479" i="10"/>
  <c r="T449" i="10"/>
  <c r="T824" i="10"/>
  <c r="T459" i="10"/>
  <c r="T154" i="10"/>
  <c r="T289" i="10"/>
  <c r="T149" i="10"/>
  <c r="T744" i="10"/>
  <c r="T689" i="10"/>
  <c r="T784" i="10"/>
  <c r="T229" i="10"/>
  <c r="T219" i="10"/>
  <c r="T874" i="10"/>
  <c r="T364" i="10"/>
  <c r="T809" i="10"/>
  <c r="T664" i="10"/>
  <c r="T619" i="10"/>
  <c r="T239" i="10"/>
  <c r="T359" i="10"/>
  <c r="T49" i="10"/>
  <c r="T994" i="10"/>
  <c r="T1044" i="10"/>
  <c r="T144" i="10"/>
  <c r="T684" i="10"/>
  <c r="T514" i="10"/>
  <c r="T299" i="10"/>
  <c r="T559" i="10"/>
  <c r="T19" i="10"/>
  <c r="T164" i="10"/>
  <c r="T54" i="10"/>
  <c r="T1039" i="10"/>
  <c r="T919" i="10"/>
  <c r="T464" i="10"/>
  <c r="T99" i="10"/>
  <c r="T989" i="10"/>
  <c r="T269" i="10"/>
  <c r="T469" i="10"/>
  <c r="T974" i="10"/>
  <c r="T889" i="10"/>
  <c r="T564" i="10"/>
  <c r="T569" i="10"/>
  <c r="T669" i="10"/>
  <c r="T374" i="10"/>
  <c r="T494" i="10"/>
  <c r="T709" i="10"/>
  <c r="T614" i="10"/>
  <c r="T259" i="10"/>
  <c r="T1004" i="10"/>
  <c r="T519" i="10"/>
  <c r="T224" i="10"/>
  <c r="T544" i="10"/>
  <c r="T114" i="10"/>
  <c r="T539" i="10"/>
  <c r="T914" i="10"/>
  <c r="T159" i="10"/>
  <c r="T489" i="10"/>
  <c r="T64" i="10"/>
  <c r="T279" i="10"/>
  <c r="T659" i="10"/>
  <c r="T899" i="10"/>
  <c r="T749" i="10"/>
  <c r="T984" i="10"/>
  <c r="T584" i="10"/>
  <c r="T324" i="10"/>
  <c r="T834" i="10"/>
  <c r="T104" i="10"/>
  <c r="T244" i="10"/>
  <c r="T719" i="10"/>
  <c r="T1019" i="10"/>
  <c r="T964" i="10"/>
  <c r="T754" i="10"/>
  <c r="T869" i="10"/>
  <c r="T894" i="10"/>
  <c r="T799" i="10"/>
  <c r="T879" i="10"/>
  <c r="T649" i="10"/>
  <c r="T84" i="10"/>
  <c r="T429" i="10"/>
  <c r="T884" i="10"/>
  <c r="T134" i="10"/>
  <c r="T309" i="10"/>
  <c r="T849" i="10"/>
  <c r="T639" i="10"/>
  <c r="T764" i="10"/>
  <c r="T839" i="10"/>
  <c r="T389" i="10"/>
  <c r="T419" i="10"/>
  <c r="T174" i="10"/>
  <c r="T714" i="10"/>
  <c r="T774" i="10"/>
  <c r="T29" i="10"/>
  <c r="T439" i="10"/>
  <c r="T199" i="10"/>
  <c r="T89" i="10"/>
  <c r="T369" i="10"/>
  <c r="T854" i="10"/>
  <c r="T414" i="10"/>
  <c r="T344" i="10"/>
  <c r="T294" i="10"/>
  <c r="T1014" i="10"/>
  <c r="T284" i="10"/>
  <c r="T59" i="10"/>
  <c r="T119" i="10"/>
  <c r="T924" i="10"/>
  <c r="T1009" i="10"/>
  <c r="T44" i="10"/>
  <c r="T609" i="10"/>
  <c r="T254" i="10"/>
  <c r="T379" i="10"/>
  <c r="T314" i="10"/>
  <c r="T399" i="10"/>
  <c r="T14" i="10"/>
  <c r="T384" i="10"/>
  <c r="T1029" i="10"/>
  <c r="T909" i="10"/>
  <c r="T694" i="10"/>
  <c r="T734" i="10"/>
  <c r="T944" i="10"/>
  <c r="T189" i="10"/>
  <c r="T434" i="10"/>
  <c r="T819" i="10"/>
  <c r="T274" i="10"/>
  <c r="T194" i="10"/>
  <c r="T74" i="10"/>
  <c r="T629" i="10"/>
  <c r="T594" i="10"/>
  <c r="T504" i="10"/>
  <c r="T209" i="10"/>
  <c r="T139" i="10"/>
  <c r="T1049" i="10"/>
  <c r="T69" i="10"/>
  <c r="T699" i="10"/>
  <c r="T644" i="10"/>
  <c r="T959" i="10"/>
  <c r="T124" i="10"/>
  <c r="T804" i="10"/>
  <c r="T589" i="10"/>
  <c r="T169" i="10"/>
  <c r="T484" i="10"/>
  <c r="T524" i="10"/>
  <c r="T904" i="10"/>
  <c r="T9" i="7"/>
  <c r="T104" i="7"/>
  <c r="T14" i="7"/>
  <c r="T54" i="7"/>
  <c r="T64" i="7"/>
  <c r="T74" i="7"/>
  <c r="T49" i="7"/>
  <c r="T89" i="7"/>
  <c r="T69" i="7"/>
  <c r="T59" i="7"/>
  <c r="T44" i="7"/>
  <c r="T99" i="7"/>
  <c r="T79" i="7"/>
  <c r="T84" i="7"/>
  <c r="T94" i="7"/>
  <c r="T39" i="7"/>
  <c r="T34" i="7"/>
  <c r="T29" i="7"/>
  <c r="T19" i="7"/>
  <c r="H6" i="1" l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5" i="1"/>
  <c r="G6" i="1"/>
  <c r="G7" i="1"/>
  <c r="N7" i="1" s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N79" i="1" s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1" i="1"/>
  <c r="G102" i="1"/>
  <c r="G103" i="1"/>
  <c r="G104" i="1"/>
  <c r="G5" i="1"/>
  <c r="D6" i="1"/>
  <c r="D7" i="1"/>
  <c r="O7" i="1" s="1"/>
  <c r="D8" i="1"/>
  <c r="O8" i="1" s="1"/>
  <c r="D9" i="1"/>
  <c r="O9" i="1" s="1"/>
  <c r="D10" i="1"/>
  <c r="D11" i="1"/>
  <c r="O11" i="1" s="1"/>
  <c r="D12" i="1"/>
  <c r="O12" i="1" s="1"/>
  <c r="D13" i="1"/>
  <c r="O13" i="1" s="1"/>
  <c r="D14" i="1"/>
  <c r="O14" i="1" s="1"/>
  <c r="D15" i="1"/>
  <c r="O15" i="1" s="1"/>
  <c r="D16" i="1"/>
  <c r="D17" i="1"/>
  <c r="O17" i="1" s="1"/>
  <c r="D18" i="1"/>
  <c r="O18" i="1" s="1"/>
  <c r="D19" i="1"/>
  <c r="O19" i="1" s="1"/>
  <c r="D20" i="1"/>
  <c r="O20" i="1" s="1"/>
  <c r="D21" i="1"/>
  <c r="D22" i="1"/>
  <c r="D23" i="1"/>
  <c r="D24" i="1"/>
  <c r="O24" i="1" s="1"/>
  <c r="D25" i="1"/>
  <c r="O25" i="1" s="1"/>
  <c r="D26" i="1"/>
  <c r="D27" i="1"/>
  <c r="D28" i="1"/>
  <c r="D30" i="1"/>
  <c r="D31" i="1"/>
  <c r="D32" i="1"/>
  <c r="D33" i="1"/>
  <c r="O33" i="1" s="1"/>
  <c r="D34" i="1"/>
  <c r="D35" i="1"/>
  <c r="D36" i="1"/>
  <c r="D37" i="1"/>
  <c r="D38" i="1"/>
  <c r="D39" i="1"/>
  <c r="D40" i="1"/>
  <c r="D41" i="1"/>
  <c r="O41" i="1" s="1"/>
  <c r="D42" i="1"/>
  <c r="D43" i="1"/>
  <c r="D44" i="1"/>
  <c r="D45" i="1"/>
  <c r="D46" i="1"/>
  <c r="D47" i="1"/>
  <c r="D48" i="1"/>
  <c r="D49" i="1"/>
  <c r="O49" i="1" s="1"/>
  <c r="D50" i="1"/>
  <c r="O50" i="1" s="1"/>
  <c r="D51" i="1"/>
  <c r="D52" i="1"/>
  <c r="D53" i="1"/>
  <c r="D54" i="1"/>
  <c r="D55" i="1"/>
  <c r="D56" i="1"/>
  <c r="O56" i="1" s="1"/>
  <c r="D57" i="1"/>
  <c r="O57" i="1" s="1"/>
  <c r="D58" i="1"/>
  <c r="D59" i="1"/>
  <c r="D60" i="1"/>
  <c r="D61" i="1"/>
  <c r="D62" i="1"/>
  <c r="D63" i="1"/>
  <c r="D64" i="1"/>
  <c r="O64" i="1" s="1"/>
  <c r="D65" i="1"/>
  <c r="O65" i="1" s="1"/>
  <c r="D66" i="1"/>
  <c r="D67" i="1"/>
  <c r="D68" i="1"/>
  <c r="D69" i="1"/>
  <c r="D70" i="1"/>
  <c r="O70" i="1" s="1"/>
  <c r="D71" i="1"/>
  <c r="D72" i="1"/>
  <c r="O72" i="1" s="1"/>
  <c r="D73" i="1"/>
  <c r="O73" i="1" s="1"/>
  <c r="D74" i="1"/>
  <c r="D75" i="1"/>
  <c r="D76" i="1"/>
  <c r="D77" i="1"/>
  <c r="D78" i="1"/>
  <c r="D79" i="1"/>
  <c r="O79" i="1" s="1"/>
  <c r="D80" i="1"/>
  <c r="O80" i="1" s="1"/>
  <c r="D81" i="1"/>
  <c r="O81" i="1" s="1"/>
  <c r="D82" i="1"/>
  <c r="D83" i="1"/>
  <c r="D84" i="1"/>
  <c r="D85" i="1"/>
  <c r="D86" i="1"/>
  <c r="O86" i="1" s="1"/>
  <c r="D87" i="1"/>
  <c r="O87" i="1" s="1"/>
  <c r="D88" i="1"/>
  <c r="O88" i="1" s="1"/>
  <c r="D89" i="1"/>
  <c r="O89" i="1" s="1"/>
  <c r="D90" i="1"/>
  <c r="D91" i="1"/>
  <c r="D92" i="1"/>
  <c r="O92" i="1" s="1"/>
  <c r="D93" i="1"/>
  <c r="D94" i="1"/>
  <c r="O94" i="1" s="1"/>
  <c r="D95" i="1"/>
  <c r="O95" i="1" s="1"/>
  <c r="D96" i="1"/>
  <c r="O96" i="1" s="1"/>
  <c r="D97" i="1"/>
  <c r="O97" i="1" s="1"/>
  <c r="D98" i="1"/>
  <c r="D99" i="1"/>
  <c r="D100" i="1"/>
  <c r="D101" i="1"/>
  <c r="D102" i="1"/>
  <c r="O102" i="1" s="1"/>
  <c r="D103" i="1"/>
  <c r="O103" i="1" s="1"/>
  <c r="D104" i="1"/>
  <c r="O104" i="1" s="1"/>
  <c r="D5" i="1"/>
  <c r="O5" i="1" s="1"/>
  <c r="N5" i="1" l="1"/>
  <c r="R89" i="1"/>
  <c r="U89" i="1" s="1"/>
  <c r="V89" i="1" s="1"/>
  <c r="N89" i="1"/>
  <c r="R57" i="1"/>
  <c r="U57" i="1" s="1"/>
  <c r="V57" i="1" s="1"/>
  <c r="N57" i="1"/>
  <c r="R41" i="1"/>
  <c r="U41" i="1" s="1"/>
  <c r="V41" i="1" s="1"/>
  <c r="N41" i="1"/>
  <c r="P41" i="1" s="1"/>
  <c r="R25" i="1"/>
  <c r="U25" i="1" s="1"/>
  <c r="V25" i="1" s="1"/>
  <c r="N25" i="1"/>
  <c r="P25" i="1" s="1"/>
  <c r="R104" i="1"/>
  <c r="S104" i="1" s="1"/>
  <c r="N104" i="1"/>
  <c r="R96" i="1"/>
  <c r="U96" i="1" s="1"/>
  <c r="V96" i="1" s="1"/>
  <c r="N96" i="1"/>
  <c r="R88" i="1"/>
  <c r="U88" i="1" s="1"/>
  <c r="V88" i="1" s="1"/>
  <c r="N88" i="1"/>
  <c r="P88" i="1" s="1"/>
  <c r="R80" i="1"/>
  <c r="U80" i="1" s="1"/>
  <c r="V80" i="1" s="1"/>
  <c r="N80" i="1"/>
  <c r="P80" i="1" s="1"/>
  <c r="R72" i="1"/>
  <c r="U72" i="1" s="1"/>
  <c r="V72" i="1" s="1"/>
  <c r="N72" i="1"/>
  <c r="R64" i="1"/>
  <c r="U64" i="1" s="1"/>
  <c r="V64" i="1" s="1"/>
  <c r="N64" i="1"/>
  <c r="R56" i="1"/>
  <c r="U56" i="1" s="1"/>
  <c r="V56" i="1" s="1"/>
  <c r="N56" i="1"/>
  <c r="P56" i="1" s="1"/>
  <c r="R48" i="1"/>
  <c r="U48" i="1" s="1"/>
  <c r="N48" i="1"/>
  <c r="R40" i="1"/>
  <c r="U40" i="1" s="1"/>
  <c r="N40" i="1"/>
  <c r="R32" i="1"/>
  <c r="U32" i="1" s="1"/>
  <c r="N32" i="1"/>
  <c r="R24" i="1"/>
  <c r="U24" i="1" s="1"/>
  <c r="V24" i="1" s="1"/>
  <c r="N24" i="1"/>
  <c r="P24" i="1" s="1"/>
  <c r="R16" i="1"/>
  <c r="U16" i="1" s="1"/>
  <c r="N16" i="1"/>
  <c r="R8" i="1"/>
  <c r="S8" i="1" s="1"/>
  <c r="N8" i="1"/>
  <c r="R65" i="1"/>
  <c r="S65" i="1" s="1"/>
  <c r="N65" i="1"/>
  <c r="R103" i="1"/>
  <c r="U103" i="1" s="1"/>
  <c r="V103" i="1" s="1"/>
  <c r="N103" i="1"/>
  <c r="P103" i="1" s="1"/>
  <c r="R71" i="1"/>
  <c r="U71" i="1" s="1"/>
  <c r="N71" i="1"/>
  <c r="R102" i="1"/>
  <c r="U102" i="1" s="1"/>
  <c r="V102" i="1" s="1"/>
  <c r="N102" i="1"/>
  <c r="R94" i="1"/>
  <c r="U94" i="1" s="1"/>
  <c r="V94" i="1" s="1"/>
  <c r="N94" i="1"/>
  <c r="R86" i="1"/>
  <c r="U86" i="1" s="1"/>
  <c r="V86" i="1" s="1"/>
  <c r="N86" i="1"/>
  <c r="P86" i="1" s="1"/>
  <c r="R78" i="1"/>
  <c r="U78" i="1" s="1"/>
  <c r="N78" i="1"/>
  <c r="R70" i="1"/>
  <c r="U70" i="1" s="1"/>
  <c r="V70" i="1" s="1"/>
  <c r="N70" i="1"/>
  <c r="R62" i="1"/>
  <c r="U62" i="1" s="1"/>
  <c r="N62" i="1"/>
  <c r="R54" i="1"/>
  <c r="U54" i="1" s="1"/>
  <c r="N54" i="1"/>
  <c r="R46" i="1"/>
  <c r="U46" i="1" s="1"/>
  <c r="N46" i="1"/>
  <c r="R38" i="1"/>
  <c r="U38" i="1" s="1"/>
  <c r="N38" i="1"/>
  <c r="R30" i="1"/>
  <c r="U30" i="1" s="1"/>
  <c r="N30" i="1"/>
  <c r="R22" i="1"/>
  <c r="U22" i="1" s="1"/>
  <c r="N22" i="1"/>
  <c r="R14" i="1"/>
  <c r="U14" i="1" s="1"/>
  <c r="V14" i="1" s="1"/>
  <c r="N14" i="1"/>
  <c r="R6" i="1"/>
  <c r="U6" i="1" s="1"/>
  <c r="N6" i="1"/>
  <c r="R97" i="1"/>
  <c r="U97" i="1" s="1"/>
  <c r="V97" i="1" s="1"/>
  <c r="N97" i="1"/>
  <c r="R17" i="1"/>
  <c r="S17" i="1" s="1"/>
  <c r="N17" i="1"/>
  <c r="P17" i="1" s="1"/>
  <c r="R95" i="1"/>
  <c r="U95" i="1" s="1"/>
  <c r="V95" i="1" s="1"/>
  <c r="N95" i="1"/>
  <c r="P95" i="1" s="1"/>
  <c r="R39" i="1"/>
  <c r="U39" i="1" s="1"/>
  <c r="N39" i="1"/>
  <c r="R101" i="1"/>
  <c r="U101" i="1" s="1"/>
  <c r="N101" i="1"/>
  <c r="R93" i="1"/>
  <c r="U93" i="1" s="1"/>
  <c r="N93" i="1"/>
  <c r="R85" i="1"/>
  <c r="U85" i="1" s="1"/>
  <c r="N85" i="1"/>
  <c r="R77" i="1"/>
  <c r="U77" i="1" s="1"/>
  <c r="N77" i="1"/>
  <c r="R69" i="1"/>
  <c r="U69" i="1" s="1"/>
  <c r="N69" i="1"/>
  <c r="R61" i="1"/>
  <c r="U61" i="1" s="1"/>
  <c r="N61" i="1"/>
  <c r="R53" i="1"/>
  <c r="U53" i="1" s="1"/>
  <c r="N53" i="1"/>
  <c r="R45" i="1"/>
  <c r="U45" i="1" s="1"/>
  <c r="N45" i="1"/>
  <c r="R37" i="1"/>
  <c r="U37" i="1" s="1"/>
  <c r="N37" i="1"/>
  <c r="R29" i="1"/>
  <c r="U29" i="1" s="1"/>
  <c r="N29" i="1"/>
  <c r="R21" i="1"/>
  <c r="U21" i="1" s="1"/>
  <c r="N21" i="1"/>
  <c r="R13" i="1"/>
  <c r="S13" i="1" s="1"/>
  <c r="N13" i="1"/>
  <c r="R33" i="1"/>
  <c r="U33" i="1" s="1"/>
  <c r="V33" i="1" s="1"/>
  <c r="N33" i="1"/>
  <c r="R63" i="1"/>
  <c r="U63" i="1" s="1"/>
  <c r="N63" i="1"/>
  <c r="R100" i="1"/>
  <c r="U100" i="1" s="1"/>
  <c r="N100" i="1"/>
  <c r="R92" i="1"/>
  <c r="U92" i="1" s="1"/>
  <c r="V92" i="1" s="1"/>
  <c r="N92" i="1"/>
  <c r="R84" i="1"/>
  <c r="U84" i="1" s="1"/>
  <c r="N84" i="1"/>
  <c r="R76" i="1"/>
  <c r="U76" i="1" s="1"/>
  <c r="N76" i="1"/>
  <c r="R68" i="1"/>
  <c r="U68" i="1" s="1"/>
  <c r="N68" i="1"/>
  <c r="R60" i="1"/>
  <c r="U60" i="1" s="1"/>
  <c r="N60" i="1"/>
  <c r="R52" i="1"/>
  <c r="U52" i="1" s="1"/>
  <c r="N52" i="1"/>
  <c r="R44" i="1"/>
  <c r="U44" i="1" s="1"/>
  <c r="N44" i="1"/>
  <c r="R36" i="1"/>
  <c r="U36" i="1" s="1"/>
  <c r="N36" i="1"/>
  <c r="R28" i="1"/>
  <c r="U28" i="1" s="1"/>
  <c r="N28" i="1"/>
  <c r="R20" i="1"/>
  <c r="S20" i="1" s="1"/>
  <c r="N20" i="1"/>
  <c r="R12" i="1"/>
  <c r="U12" i="1" s="1"/>
  <c r="V12" i="1" s="1"/>
  <c r="N12" i="1"/>
  <c r="P12" i="1" s="1"/>
  <c r="R81" i="1"/>
  <c r="U81" i="1" s="1"/>
  <c r="V81" i="1" s="1"/>
  <c r="N81" i="1"/>
  <c r="P81" i="1" s="1"/>
  <c r="R49" i="1"/>
  <c r="U49" i="1" s="1"/>
  <c r="V49" i="1" s="1"/>
  <c r="N49" i="1"/>
  <c r="R9" i="1"/>
  <c r="U9" i="1" s="1"/>
  <c r="V9" i="1" s="1"/>
  <c r="N9" i="1"/>
  <c r="R47" i="1"/>
  <c r="U47" i="1" s="1"/>
  <c r="N47" i="1"/>
  <c r="R31" i="1"/>
  <c r="U31" i="1" s="1"/>
  <c r="N31" i="1"/>
  <c r="R15" i="1"/>
  <c r="S15" i="1" s="1"/>
  <c r="N15" i="1"/>
  <c r="R91" i="1"/>
  <c r="U91" i="1" s="1"/>
  <c r="N91" i="1"/>
  <c r="R83" i="1"/>
  <c r="U83" i="1" s="1"/>
  <c r="N83" i="1"/>
  <c r="R75" i="1"/>
  <c r="U75" i="1" s="1"/>
  <c r="N75" i="1"/>
  <c r="R67" i="1"/>
  <c r="U67" i="1" s="1"/>
  <c r="N67" i="1"/>
  <c r="R59" i="1"/>
  <c r="U59" i="1" s="1"/>
  <c r="N59" i="1"/>
  <c r="R51" i="1"/>
  <c r="U51" i="1" s="1"/>
  <c r="N51" i="1"/>
  <c r="R43" i="1"/>
  <c r="U43" i="1" s="1"/>
  <c r="N43" i="1"/>
  <c r="R35" i="1"/>
  <c r="U35" i="1" s="1"/>
  <c r="N35" i="1"/>
  <c r="R27" i="1"/>
  <c r="U27" i="1" s="1"/>
  <c r="N27" i="1"/>
  <c r="R19" i="1"/>
  <c r="S19" i="1" s="1"/>
  <c r="N19" i="1"/>
  <c r="R11" i="1"/>
  <c r="U11" i="1" s="1"/>
  <c r="V11" i="1" s="1"/>
  <c r="N11" i="1"/>
  <c r="R73" i="1"/>
  <c r="U73" i="1" s="1"/>
  <c r="V73" i="1" s="1"/>
  <c r="N73" i="1"/>
  <c r="R87" i="1"/>
  <c r="U87" i="1" s="1"/>
  <c r="V87" i="1" s="1"/>
  <c r="N87" i="1"/>
  <c r="P87" i="1" s="1"/>
  <c r="R55" i="1"/>
  <c r="U55" i="1" s="1"/>
  <c r="N55" i="1"/>
  <c r="R23" i="1"/>
  <c r="U23" i="1" s="1"/>
  <c r="N23" i="1"/>
  <c r="R99" i="1"/>
  <c r="U99" i="1" s="1"/>
  <c r="N99" i="1"/>
  <c r="R98" i="1"/>
  <c r="U98" i="1" s="1"/>
  <c r="N98" i="1"/>
  <c r="R90" i="1"/>
  <c r="U90" i="1" s="1"/>
  <c r="N90" i="1"/>
  <c r="R82" i="1"/>
  <c r="U82" i="1" s="1"/>
  <c r="N82" i="1"/>
  <c r="R74" i="1"/>
  <c r="U74" i="1" s="1"/>
  <c r="N74" i="1"/>
  <c r="R66" i="1"/>
  <c r="U66" i="1" s="1"/>
  <c r="N66" i="1"/>
  <c r="R58" i="1"/>
  <c r="U58" i="1" s="1"/>
  <c r="N58" i="1"/>
  <c r="R50" i="1"/>
  <c r="U50" i="1" s="1"/>
  <c r="V50" i="1" s="1"/>
  <c r="N50" i="1"/>
  <c r="R42" i="1"/>
  <c r="U42" i="1" s="1"/>
  <c r="N42" i="1"/>
  <c r="R34" i="1"/>
  <c r="U34" i="1" s="1"/>
  <c r="N34" i="1"/>
  <c r="R26" i="1"/>
  <c r="U26" i="1" s="1"/>
  <c r="N26" i="1"/>
  <c r="R18" i="1"/>
  <c r="U18" i="1" s="1"/>
  <c r="V18" i="1" s="1"/>
  <c r="N18" i="1"/>
  <c r="R10" i="1"/>
  <c r="U10" i="1" s="1"/>
  <c r="N10" i="1"/>
  <c r="O53" i="1"/>
  <c r="O100" i="1"/>
  <c r="O84" i="1"/>
  <c r="O76" i="1"/>
  <c r="O68" i="1"/>
  <c r="O60" i="1"/>
  <c r="P60" i="1" s="1"/>
  <c r="O52" i="1"/>
  <c r="O44" i="1"/>
  <c r="O36" i="1"/>
  <c r="O28" i="1"/>
  <c r="O101" i="1"/>
  <c r="O29" i="1"/>
  <c r="O35" i="1"/>
  <c r="P35" i="1" s="1"/>
  <c r="O61" i="1"/>
  <c r="O59" i="1"/>
  <c r="O98" i="1"/>
  <c r="O90" i="1"/>
  <c r="O82" i="1"/>
  <c r="O74" i="1"/>
  <c r="O66" i="1"/>
  <c r="P66" i="1" s="1"/>
  <c r="O58" i="1"/>
  <c r="O42" i="1"/>
  <c r="O34" i="1"/>
  <c r="O26" i="1"/>
  <c r="O10" i="1"/>
  <c r="O69" i="1"/>
  <c r="O83" i="1"/>
  <c r="O51" i="1"/>
  <c r="O77" i="1"/>
  <c r="P77" i="1" s="1"/>
  <c r="O45" i="1"/>
  <c r="O21" i="1"/>
  <c r="O99" i="1"/>
  <c r="P99" i="1" s="1"/>
  <c r="O67" i="1"/>
  <c r="P67" i="1" s="1"/>
  <c r="O27" i="1"/>
  <c r="O48" i="1"/>
  <c r="O40" i="1"/>
  <c r="O32" i="1"/>
  <c r="P32" i="1" s="1"/>
  <c r="O16" i="1"/>
  <c r="O93" i="1"/>
  <c r="O75" i="1"/>
  <c r="O63" i="1"/>
  <c r="O55" i="1"/>
  <c r="O47" i="1"/>
  <c r="O39" i="1"/>
  <c r="O31" i="1"/>
  <c r="O23" i="1"/>
  <c r="P23" i="1" s="1"/>
  <c r="O85" i="1"/>
  <c r="O37" i="1"/>
  <c r="P37" i="1" s="1"/>
  <c r="O91" i="1"/>
  <c r="O43" i="1"/>
  <c r="O71" i="1"/>
  <c r="O78" i="1"/>
  <c r="O62" i="1"/>
  <c r="V62" i="1" s="1"/>
  <c r="O54" i="1"/>
  <c r="O46" i="1"/>
  <c r="O38" i="1"/>
  <c r="O30" i="1"/>
  <c r="O22" i="1"/>
  <c r="O6" i="1"/>
  <c r="P79" i="1"/>
  <c r="P97" i="1"/>
  <c r="P89" i="1"/>
  <c r="P73" i="1"/>
  <c r="P65" i="1"/>
  <c r="P57" i="1"/>
  <c r="P49" i="1"/>
  <c r="P33" i="1"/>
  <c r="P9" i="1"/>
  <c r="P104" i="1"/>
  <c r="P96" i="1"/>
  <c r="P72" i="1"/>
  <c r="P64" i="1"/>
  <c r="P8" i="1"/>
  <c r="U104" i="1"/>
  <c r="V104" i="1" s="1"/>
  <c r="P39" i="1"/>
  <c r="P15" i="1"/>
  <c r="R79" i="1"/>
  <c r="U79" i="1" s="1"/>
  <c r="V79" i="1" s="1"/>
  <c r="P7" i="1"/>
  <c r="R7" i="1"/>
  <c r="U7" i="1" s="1"/>
  <c r="V7" i="1" s="1"/>
  <c r="P102" i="1"/>
  <c r="P94" i="1"/>
  <c r="P70" i="1"/>
  <c r="P6" i="1"/>
  <c r="P5" i="1"/>
  <c r="R5" i="1"/>
  <c r="P13" i="1"/>
  <c r="P11" i="1"/>
  <c r="P92" i="1"/>
  <c r="P20" i="1"/>
  <c r="P27" i="1"/>
  <c r="P50" i="1"/>
  <c r="P18" i="1"/>
  <c r="B101" i="1"/>
  <c r="B102" i="1"/>
  <c r="B103" i="1"/>
  <c r="B100" i="1"/>
  <c r="B96" i="1"/>
  <c r="B97" i="1"/>
  <c r="B98" i="1"/>
  <c r="B99" i="1"/>
  <c r="B95" i="1"/>
  <c r="B91" i="1"/>
  <c r="B92" i="1"/>
  <c r="B93" i="1"/>
  <c r="B94" i="1"/>
  <c r="B90" i="1"/>
  <c r="B86" i="1"/>
  <c r="B87" i="1"/>
  <c r="B88" i="1"/>
  <c r="B89" i="1"/>
  <c r="S89" i="1" s="1"/>
  <c r="B85" i="1"/>
  <c r="B81" i="1"/>
  <c r="B82" i="1"/>
  <c r="B83" i="1"/>
  <c r="B84" i="1"/>
  <c r="B80" i="1"/>
  <c r="B76" i="1"/>
  <c r="B77" i="1"/>
  <c r="B78" i="1"/>
  <c r="B79" i="1"/>
  <c r="B75" i="1"/>
  <c r="B71" i="1"/>
  <c r="B72" i="1"/>
  <c r="B73" i="1"/>
  <c r="B74" i="1"/>
  <c r="B66" i="1"/>
  <c r="B67" i="1"/>
  <c r="B68" i="1"/>
  <c r="B69" i="1"/>
  <c r="B61" i="1"/>
  <c r="B62" i="1"/>
  <c r="B63" i="1"/>
  <c r="B64" i="1"/>
  <c r="S64" i="1" s="1"/>
  <c r="B60" i="1"/>
  <c r="B56" i="1"/>
  <c r="B57" i="1"/>
  <c r="B58" i="1"/>
  <c r="B59" i="1"/>
  <c r="B55" i="1"/>
  <c r="B51" i="1"/>
  <c r="B52" i="1"/>
  <c r="B53" i="1"/>
  <c r="B54" i="1"/>
  <c r="B46" i="1"/>
  <c r="B47" i="1"/>
  <c r="B48" i="1"/>
  <c r="B49" i="1"/>
  <c r="B45" i="1"/>
  <c r="B41" i="1"/>
  <c r="B42" i="1"/>
  <c r="B43" i="1"/>
  <c r="B44" i="1"/>
  <c r="B40" i="1"/>
  <c r="B36" i="1"/>
  <c r="B37" i="1"/>
  <c r="B38" i="1"/>
  <c r="B39" i="1"/>
  <c r="B35" i="1"/>
  <c r="B31" i="1"/>
  <c r="B32" i="1"/>
  <c r="B33" i="1"/>
  <c r="B34" i="1"/>
  <c r="B30" i="1"/>
  <c r="B26" i="1"/>
  <c r="B27" i="1"/>
  <c r="B28" i="1"/>
  <c r="B29" i="1"/>
  <c r="B25" i="1"/>
  <c r="B16" i="1"/>
  <c r="B21" i="1"/>
  <c r="B22" i="1"/>
  <c r="B23" i="1"/>
  <c r="B6" i="1"/>
  <c r="B7" i="1"/>
  <c r="B10" i="1"/>
  <c r="B11" i="1"/>
  <c r="V52" i="1" l="1"/>
  <c r="P42" i="1"/>
  <c r="P75" i="1"/>
  <c r="S57" i="1"/>
  <c r="S102" i="1"/>
  <c r="S39" i="1"/>
  <c r="U8" i="1"/>
  <c r="V8" i="1" s="1"/>
  <c r="S6" i="1"/>
  <c r="S40" i="1"/>
  <c r="S70" i="1"/>
  <c r="S54" i="1"/>
  <c r="S56" i="1"/>
  <c r="S72" i="1"/>
  <c r="S92" i="1"/>
  <c r="S103" i="1"/>
  <c r="V101" i="1"/>
  <c r="P90" i="1"/>
  <c r="P36" i="1"/>
  <c r="P52" i="1"/>
  <c r="V6" i="1"/>
  <c r="P68" i="1"/>
  <c r="P71" i="1"/>
  <c r="P58" i="1"/>
  <c r="P21" i="1"/>
  <c r="P85" i="1"/>
  <c r="P78" i="1"/>
  <c r="P16" i="1"/>
  <c r="P29" i="1"/>
  <c r="P26" i="1"/>
  <c r="P51" i="1"/>
  <c r="P84" i="1"/>
  <c r="P69" i="1"/>
  <c r="V30" i="1"/>
  <c r="S38" i="1"/>
  <c r="S96" i="1"/>
  <c r="V91" i="1"/>
  <c r="V46" i="1"/>
  <c r="V63" i="1"/>
  <c r="S31" i="1"/>
  <c r="S33" i="1"/>
  <c r="S69" i="1"/>
  <c r="S75" i="1"/>
  <c r="S82" i="1"/>
  <c r="S94" i="1"/>
  <c r="V10" i="1"/>
  <c r="S32" i="1"/>
  <c r="S77" i="1"/>
  <c r="V55" i="1"/>
  <c r="S60" i="1"/>
  <c r="S41" i="1"/>
  <c r="S88" i="1"/>
  <c r="S24" i="1"/>
  <c r="U17" i="1"/>
  <c r="V17" i="1" s="1"/>
  <c r="V93" i="1"/>
  <c r="V38" i="1"/>
  <c r="V43" i="1"/>
  <c r="V45" i="1"/>
  <c r="V82" i="1"/>
  <c r="V40" i="1"/>
  <c r="V31" i="1"/>
  <c r="V90" i="1"/>
  <c r="V76" i="1"/>
  <c r="S10" i="1"/>
  <c r="S29" i="1"/>
  <c r="S43" i="1"/>
  <c r="S67" i="1"/>
  <c r="S12" i="1"/>
  <c r="S27" i="1"/>
  <c r="S52" i="1"/>
  <c r="S74" i="1"/>
  <c r="S76" i="1"/>
  <c r="S95" i="1"/>
  <c r="S101" i="1"/>
  <c r="U13" i="1"/>
  <c r="V13" i="1" s="1"/>
  <c r="S22" i="1"/>
  <c r="S30" i="1"/>
  <c r="S37" i="1"/>
  <c r="S49" i="1"/>
  <c r="S62" i="1"/>
  <c r="S84" i="1"/>
  <c r="S86" i="1"/>
  <c r="S98" i="1"/>
  <c r="S9" i="1"/>
  <c r="V34" i="1"/>
  <c r="S28" i="1"/>
  <c r="U20" i="1"/>
  <c r="V20" i="1" s="1"/>
  <c r="U65" i="1"/>
  <c r="V65" i="1" s="1"/>
  <c r="S23" i="1"/>
  <c r="S45" i="1"/>
  <c r="S63" i="1"/>
  <c r="S18" i="1"/>
  <c r="S11" i="1"/>
  <c r="S44" i="1"/>
  <c r="S93" i="1"/>
  <c r="S14" i="1"/>
  <c r="S35" i="1"/>
  <c r="S42" i="1"/>
  <c r="S53" i="1"/>
  <c r="S80" i="1"/>
  <c r="P61" i="1"/>
  <c r="V53" i="1"/>
  <c r="S55" i="1"/>
  <c r="V85" i="1"/>
  <c r="V48" i="1"/>
  <c r="V36" i="1"/>
  <c r="S48" i="1"/>
  <c r="S16" i="1"/>
  <c r="S58" i="1"/>
  <c r="V71" i="1"/>
  <c r="S25" i="1"/>
  <c r="S46" i="1"/>
  <c r="S68" i="1"/>
  <c r="S81" i="1"/>
  <c r="S100" i="1"/>
  <c r="P101" i="1"/>
  <c r="S47" i="1"/>
  <c r="S78" i="1"/>
  <c r="S85" i="1"/>
  <c r="P59" i="1"/>
  <c r="P91" i="1"/>
  <c r="P93" i="1"/>
  <c r="P10" i="1"/>
  <c r="P53" i="1"/>
  <c r="P30" i="1"/>
  <c r="U15" i="1"/>
  <c r="V15" i="1" s="1"/>
  <c r="S50" i="1"/>
  <c r="P62" i="1"/>
  <c r="V21" i="1"/>
  <c r="S66" i="1"/>
  <c r="S91" i="1"/>
  <c r="U19" i="1"/>
  <c r="V19" i="1" s="1"/>
  <c r="V37" i="1"/>
  <c r="V26" i="1"/>
  <c r="V98" i="1"/>
  <c r="V28" i="1"/>
  <c r="V100" i="1"/>
  <c r="S26" i="1"/>
  <c r="S51" i="1"/>
  <c r="S73" i="1"/>
  <c r="S87" i="1"/>
  <c r="S99" i="1"/>
  <c r="V78" i="1"/>
  <c r="V23" i="1"/>
  <c r="S21" i="1"/>
  <c r="S34" i="1"/>
  <c r="S36" i="1"/>
  <c r="S59" i="1"/>
  <c r="S61" i="1"/>
  <c r="S71" i="1"/>
  <c r="S83" i="1"/>
  <c r="S90" i="1"/>
  <c r="S97" i="1"/>
  <c r="V22" i="1"/>
  <c r="V16" i="1"/>
  <c r="V35" i="1"/>
  <c r="V68" i="1"/>
  <c r="P19" i="1"/>
  <c r="P43" i="1"/>
  <c r="P14" i="1"/>
  <c r="P98" i="1"/>
  <c r="P100" i="1"/>
  <c r="P31" i="1"/>
  <c r="V27" i="1"/>
  <c r="V42" i="1"/>
  <c r="V44" i="1"/>
  <c r="P38" i="1"/>
  <c r="V58" i="1"/>
  <c r="P40" i="1"/>
  <c r="P45" i="1"/>
  <c r="P46" i="1"/>
  <c r="P55" i="1"/>
  <c r="P48" i="1"/>
  <c r="V51" i="1"/>
  <c r="V66" i="1"/>
  <c r="V61" i="1"/>
  <c r="V60" i="1"/>
  <c r="P76" i="1"/>
  <c r="P82" i="1"/>
  <c r="P28" i="1"/>
  <c r="P63" i="1"/>
  <c r="P47" i="1"/>
  <c r="P83" i="1"/>
  <c r="V74" i="1"/>
  <c r="P34" i="1"/>
  <c r="P22" i="1"/>
  <c r="V54" i="1"/>
  <c r="V47" i="1"/>
  <c r="V75" i="1"/>
  <c r="V32" i="1"/>
  <c r="V67" i="1"/>
  <c r="V77" i="1"/>
  <c r="V83" i="1"/>
  <c r="V29" i="1"/>
  <c r="V99" i="1"/>
  <c r="V69" i="1"/>
  <c r="V59" i="1"/>
  <c r="V84" i="1"/>
  <c r="S79" i="1"/>
  <c r="P74" i="1"/>
  <c r="P54" i="1"/>
  <c r="P44" i="1"/>
  <c r="V39" i="1"/>
  <c r="S7" i="1"/>
  <c r="S5" i="1"/>
  <c r="U5" i="1"/>
  <c r="V5" i="1" s="1"/>
  <c r="T19" i="1" l="1"/>
  <c r="T69" i="1"/>
  <c r="T14" i="1"/>
  <c r="T79" i="1"/>
  <c r="T89" i="1"/>
  <c r="T104" i="1"/>
  <c r="T94" i="1"/>
  <c r="T49" i="1"/>
  <c r="T64" i="1"/>
  <c r="T29" i="1"/>
  <c r="T44" i="1"/>
  <c r="T24" i="1"/>
  <c r="T39" i="1"/>
  <c r="T34" i="1"/>
  <c r="T59" i="1"/>
  <c r="T74" i="1"/>
  <c r="T84" i="1"/>
  <c r="T54" i="1"/>
  <c r="T9" i="1"/>
  <c r="T9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김미수</author>
  </authors>
  <commentList>
    <comment ref="B26" authorId="0" shapeId="0" xr:uid="{4F32AE39-171B-4F83-86E4-3700125D718A}">
      <text>
        <r>
          <rPr>
            <b/>
            <sz val="9"/>
            <color indexed="81"/>
            <rFont val="돋움"/>
            <family val="3"/>
            <charset val="129"/>
          </rPr>
          <t>김미수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캐릭터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B~P</t>
        </r>
        <r>
          <rPr>
            <sz val="9"/>
            <color indexed="81"/>
            <rFont val="돋움"/>
            <family val="3"/>
            <charset val="129"/>
          </rPr>
          <t>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붙여넣기하면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계산이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>.</t>
        </r>
      </text>
    </comment>
    <comment ref="S27" authorId="0" shapeId="0" xr:uid="{2C7AC4AE-DEE4-45FC-B5DC-5A9F7ABF70D1}">
      <text>
        <r>
          <rPr>
            <b/>
            <sz val="9"/>
            <color indexed="81"/>
            <rFont val="돋움"/>
            <family val="3"/>
            <charset val="129"/>
          </rPr>
          <t>김미수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방관이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실제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체력</t>
        </r>
        <r>
          <rPr>
            <sz val="9"/>
            <color indexed="81"/>
            <rFont val="Tahoma"/>
            <family val="2"/>
          </rPr>
          <t>.
(</t>
        </r>
        <r>
          <rPr>
            <sz val="9"/>
            <color indexed="81"/>
            <rFont val="돋움"/>
            <family val="3"/>
            <charset val="129"/>
          </rPr>
          <t>체력</t>
        </r>
        <r>
          <rPr>
            <sz val="9"/>
            <color indexed="81"/>
            <rFont val="Tahoma"/>
            <family val="2"/>
          </rPr>
          <t>)*(1+(</t>
        </r>
        <r>
          <rPr>
            <sz val="9"/>
            <color indexed="81"/>
            <rFont val="돋움"/>
            <family val="3"/>
            <charset val="129"/>
          </rPr>
          <t>방어력</t>
        </r>
        <r>
          <rPr>
            <sz val="9"/>
            <color indexed="81"/>
            <rFont val="Tahoma"/>
            <family val="2"/>
          </rPr>
          <t>*(1-</t>
        </r>
        <r>
          <rPr>
            <sz val="9"/>
            <color indexed="81"/>
            <rFont val="돋움"/>
            <family val="3"/>
            <charset val="129"/>
          </rPr>
          <t>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방관</t>
        </r>
        <r>
          <rPr>
            <sz val="9"/>
            <color indexed="81"/>
            <rFont val="Tahoma"/>
            <family val="2"/>
          </rPr>
          <t>)/100))</t>
        </r>
      </text>
    </comment>
    <comment ref="C30" authorId="0" shapeId="0" xr:uid="{1112F1E3-41FF-4904-85EA-AD488B942ABD}">
      <text>
        <r>
          <rPr>
            <b/>
            <sz val="9"/>
            <color indexed="81"/>
            <rFont val="돋움"/>
            <family val="3"/>
            <charset val="129"/>
          </rPr>
          <t>김미수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치명타가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터지지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않았을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처치하기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횟수</t>
        </r>
        <r>
          <rPr>
            <sz val="9"/>
            <color indexed="81"/>
            <rFont val="Tahoma"/>
            <family val="2"/>
          </rPr>
          <t>. 
(</t>
        </r>
        <r>
          <rPr>
            <sz val="9"/>
            <color indexed="81"/>
            <rFont val="돋움"/>
            <family val="3"/>
            <charset val="129"/>
          </rPr>
          <t>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실제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체력</t>
        </r>
        <r>
          <rPr>
            <sz val="9"/>
            <color indexed="81"/>
            <rFont val="Tahoma"/>
            <family val="2"/>
          </rPr>
          <t>)/(</t>
        </r>
        <r>
          <rPr>
            <sz val="9"/>
            <color indexed="81"/>
            <rFont val="돋움"/>
            <family val="3"/>
            <charset val="129"/>
          </rPr>
          <t>자신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</t>
        </r>
        <r>
          <rPr>
            <sz val="9"/>
            <color indexed="81"/>
            <rFont val="Tahoma"/>
            <family val="2"/>
          </rPr>
          <t>)=X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X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첫째자리에서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올림한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>.</t>
        </r>
      </text>
    </comment>
    <comment ref="D30" authorId="0" shapeId="0" xr:uid="{A606E8C0-6CF2-40CD-9A5A-7BA23A223443}">
      <text>
        <r>
          <rPr>
            <b/>
            <sz val="9"/>
            <color indexed="81"/>
            <rFont val="돋움"/>
            <family val="3"/>
            <charset val="129"/>
          </rPr>
          <t>김미수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치명타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확률에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근사하게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치명타가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발생했을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, 
</t>
        </r>
        <r>
          <rPr>
            <sz val="9"/>
            <color indexed="81"/>
            <rFont val="돋움"/>
            <family val="3"/>
            <charset val="129"/>
          </rPr>
          <t>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처치하는데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횟수</t>
        </r>
        <r>
          <rPr>
            <sz val="9"/>
            <color indexed="81"/>
            <rFont val="Tahoma"/>
            <family val="2"/>
          </rPr>
          <t>.
(</t>
        </r>
        <r>
          <rPr>
            <sz val="9"/>
            <color indexed="81"/>
            <rFont val="돋움"/>
            <family val="3"/>
            <charset val="129"/>
          </rPr>
          <t>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실제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체력</t>
        </r>
        <r>
          <rPr>
            <sz val="9"/>
            <color indexed="81"/>
            <rFont val="Tahoma"/>
            <family val="2"/>
          </rPr>
          <t>)/(</t>
        </r>
        <r>
          <rPr>
            <sz val="9"/>
            <color indexed="81"/>
            <rFont val="돋움"/>
            <family val="3"/>
            <charset val="129"/>
          </rPr>
          <t>공격력</t>
        </r>
        <r>
          <rPr>
            <sz val="9"/>
            <color indexed="81"/>
            <rFont val="Tahoma"/>
            <family val="2"/>
          </rPr>
          <t>)+(</t>
        </r>
        <r>
          <rPr>
            <sz val="9"/>
            <color indexed="81"/>
            <rFont val="돋움"/>
            <family val="3"/>
            <charset val="129"/>
          </rPr>
          <t>공격력</t>
        </r>
        <r>
          <rPr>
            <sz val="9"/>
            <color indexed="81"/>
            <rFont val="Tahoma"/>
            <family val="2"/>
          </rPr>
          <t>)*(</t>
        </r>
        <r>
          <rPr>
            <sz val="9"/>
            <color indexed="81"/>
            <rFont val="돋움"/>
            <family val="3"/>
            <charset val="129"/>
          </rPr>
          <t>치명타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</t>
        </r>
        <r>
          <rPr>
            <sz val="9"/>
            <color indexed="81"/>
            <rFont val="Tahoma"/>
            <family val="2"/>
          </rPr>
          <t>-1)*</t>
        </r>
        <r>
          <rPr>
            <sz val="9"/>
            <color indexed="81"/>
            <rFont val="돋움"/>
            <family val="3"/>
            <charset val="129"/>
          </rPr>
          <t>치명타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확률</t>
        </r>
        <r>
          <rPr>
            <sz val="9"/>
            <color indexed="81"/>
            <rFont val="Tahoma"/>
            <family val="2"/>
          </rPr>
          <t xml:space="preserve">=X
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X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첫째자리에서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올림한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>.</t>
        </r>
      </text>
    </comment>
    <comment ref="E30" authorId="0" shapeId="0" xr:uid="{D868F3F1-92A5-4360-A4A3-F08C152F9C44}">
      <text>
        <r>
          <rPr>
            <b/>
            <sz val="9"/>
            <color indexed="81"/>
            <rFont val="돋움"/>
            <family val="3"/>
            <charset val="129"/>
          </rPr>
          <t>김미수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처치하는데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치명타가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터지지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않았을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.
(Max </t>
        </r>
        <r>
          <rPr>
            <sz val="9"/>
            <color indexed="81"/>
            <rFont val="돋움"/>
            <family val="3"/>
            <charset val="129"/>
          </rPr>
          <t>타격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>)/(</t>
        </r>
        <r>
          <rPr>
            <sz val="9"/>
            <color indexed="81"/>
            <rFont val="돋움"/>
            <family val="3"/>
            <charset val="129"/>
          </rPr>
          <t>공격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>)</t>
        </r>
      </text>
    </comment>
    <comment ref="F30" authorId="0" shapeId="0" xr:uid="{A68F8A34-B354-4507-982F-561CC676CC14}">
      <text>
        <r>
          <rPr>
            <b/>
            <sz val="9"/>
            <color indexed="81"/>
            <rFont val="돋움"/>
            <family val="3"/>
            <charset val="129"/>
          </rPr>
          <t>김미수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처치하는데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평균값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근사치</t>
        </r>
        <r>
          <rPr>
            <sz val="9"/>
            <color indexed="81"/>
            <rFont val="Tahoma"/>
            <family val="2"/>
          </rPr>
          <t xml:space="preserve">).
(Avg </t>
        </r>
        <r>
          <rPr>
            <sz val="9"/>
            <color indexed="81"/>
            <rFont val="돋움"/>
            <family val="3"/>
            <charset val="129"/>
          </rPr>
          <t>타격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>)/(</t>
        </r>
        <r>
          <rPr>
            <sz val="9"/>
            <color indexed="81"/>
            <rFont val="돋움"/>
            <family val="3"/>
            <charset val="129"/>
          </rPr>
          <t>공격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>)</t>
        </r>
      </text>
    </comment>
    <comment ref="G30" authorId="0" shapeId="0" xr:uid="{10E0C547-50E6-45A1-BCCC-C493B4191CA4}">
      <text>
        <r>
          <rPr>
            <b/>
            <sz val="9"/>
            <color indexed="81"/>
            <rFont val="돋움"/>
            <family val="3"/>
            <charset val="129"/>
          </rPr>
          <t>김미수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상대를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처치하는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쪽이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승리</t>
        </r>
        <r>
          <rPr>
            <sz val="9"/>
            <color indexed="81"/>
            <rFont val="Tahoma"/>
            <family val="2"/>
          </rPr>
          <t>.</t>
        </r>
      </text>
    </comment>
    <comment ref="H30" authorId="0" shapeId="0" xr:uid="{FBD2E2CC-F2FE-4FCA-8B75-EC5D96A94C80}">
      <text>
        <r>
          <rPr>
            <b/>
            <sz val="9"/>
            <color indexed="81"/>
            <rFont val="돋움"/>
            <family val="3"/>
            <charset val="129"/>
          </rPr>
          <t>김미수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처치하고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실제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체력</t>
        </r>
        <r>
          <rPr>
            <sz val="9"/>
            <color indexed="81"/>
            <rFont val="Tahoma"/>
            <family val="2"/>
          </rPr>
          <t xml:space="preserve">. </t>
        </r>
      </text>
    </comment>
  </commentList>
</comments>
</file>

<file path=xl/sharedStrings.xml><?xml version="1.0" encoding="utf-8"?>
<sst xmlns="http://schemas.openxmlformats.org/spreadsheetml/2006/main" count="963" uniqueCount="373">
  <si>
    <t>HP</t>
    <phoneticPr fontId="1" type="noConversion"/>
  </si>
  <si>
    <t>모험가 능력치 표</t>
    <phoneticPr fontId="1" type="noConversion"/>
  </si>
  <si>
    <t>공격력</t>
    <phoneticPr fontId="1" type="noConversion"/>
  </si>
  <si>
    <t>방어력</t>
    <phoneticPr fontId="1" type="noConversion"/>
  </si>
  <si>
    <t>이동 속도</t>
    <phoneticPr fontId="1" type="noConversion"/>
  </si>
  <si>
    <t>치명타 확률</t>
    <phoneticPr fontId="1" type="noConversion"/>
  </si>
  <si>
    <t>치명타 공격력</t>
    <phoneticPr fontId="1" type="noConversion"/>
  </si>
  <si>
    <t>방어구 관통</t>
    <phoneticPr fontId="1" type="noConversion"/>
  </si>
  <si>
    <t>공격 속도(초당 공격 수)</t>
    <phoneticPr fontId="1" type="noConversion"/>
  </si>
  <si>
    <t>DPS</t>
    <phoneticPr fontId="1" type="noConversion"/>
  </si>
  <si>
    <t>실제 체력</t>
    <phoneticPr fontId="1" type="noConversion"/>
  </si>
  <si>
    <t>소득</t>
    <phoneticPr fontId="1" type="noConversion"/>
  </si>
  <si>
    <t>서민층</t>
    <phoneticPr fontId="1" type="noConversion"/>
  </si>
  <si>
    <t>중산층</t>
    <phoneticPr fontId="1" type="noConversion"/>
  </si>
  <si>
    <t>부유층</t>
    <phoneticPr fontId="1" type="noConversion"/>
  </si>
  <si>
    <t>초기 소지금</t>
    <phoneticPr fontId="1" type="noConversion"/>
  </si>
  <si>
    <t>rand 범위</t>
    <phoneticPr fontId="1" type="noConversion"/>
  </si>
  <si>
    <t>&gt; 100레벨에서 경험치 다 채우면 레벨업은 하지 않지만 던전에서 나감.</t>
    <phoneticPr fontId="1" type="noConversion"/>
  </si>
  <si>
    <t>레벨</t>
    <phoneticPr fontId="4" type="noConversion"/>
  </si>
  <si>
    <t>이름</t>
    <phoneticPr fontId="4" type="noConversion"/>
  </si>
  <si>
    <t>몬스터 목록 표</t>
    <phoneticPr fontId="1" type="noConversion"/>
  </si>
  <si>
    <t>상수</t>
    <phoneticPr fontId="1" type="noConversion"/>
  </si>
  <si>
    <t>몬스터 잡고 이동 시간</t>
    <phoneticPr fontId="1" type="noConversion"/>
  </si>
  <si>
    <t>던전 퇴장 체력 트리거</t>
    <phoneticPr fontId="1" type="noConversion"/>
  </si>
  <si>
    <t>퇴장 후 소요시간</t>
    <phoneticPr fontId="1" type="noConversion"/>
  </si>
  <si>
    <t>기본형</t>
    <phoneticPr fontId="1" type="noConversion"/>
  </si>
  <si>
    <t>코볼트</t>
    <phoneticPr fontId="1" type="noConversion"/>
  </si>
  <si>
    <t>작은 슬라임</t>
    <phoneticPr fontId="1" type="noConversion"/>
  </si>
  <si>
    <t>허약한 코볼트</t>
    <phoneticPr fontId="1" type="noConversion"/>
  </si>
  <si>
    <t>대형 슬라임</t>
    <phoneticPr fontId="1" type="noConversion"/>
  </si>
  <si>
    <t>호전적인 코볼트</t>
    <phoneticPr fontId="1" type="noConversion"/>
  </si>
  <si>
    <t>코볼트 십장</t>
    <phoneticPr fontId="1" type="noConversion"/>
  </si>
  <si>
    <t>메탈 슬라임</t>
    <phoneticPr fontId="1" type="noConversion"/>
  </si>
  <si>
    <t>코볼트 병정</t>
    <phoneticPr fontId="1" type="noConversion"/>
  </si>
  <si>
    <t>코볼트 광부</t>
    <phoneticPr fontId="1" type="noConversion"/>
  </si>
  <si>
    <t>1~60</t>
    <phoneticPr fontId="1" type="noConversion"/>
  </si>
  <si>
    <t>픽시</t>
    <phoneticPr fontId="1" type="noConversion"/>
  </si>
  <si>
    <t>조그만 픽시</t>
    <phoneticPr fontId="1" type="noConversion"/>
  </si>
  <si>
    <t>드라이어드</t>
    <phoneticPr fontId="1" type="noConversion"/>
  </si>
  <si>
    <t>체력이 낮고 공격 속도가 높음.</t>
    <phoneticPr fontId="1" type="noConversion"/>
  </si>
  <si>
    <t>사정거리</t>
    <phoneticPr fontId="1" type="noConversion"/>
  </si>
  <si>
    <t>허약한 드라이어드</t>
    <phoneticPr fontId="1" type="noConversion"/>
  </si>
  <si>
    <t>빛나는 픽시</t>
    <phoneticPr fontId="1" type="noConversion"/>
  </si>
  <si>
    <t>노련한 드라이어드</t>
    <phoneticPr fontId="1" type="noConversion"/>
  </si>
  <si>
    <t>체력이 낮고 치명타 확률, 공격력이 높음</t>
    <phoneticPr fontId="1" type="noConversion"/>
  </si>
  <si>
    <t>나무 정령</t>
    <phoneticPr fontId="1" type="noConversion"/>
  </si>
  <si>
    <t>체력, 방어력 높고 공격 속도가 낮음.</t>
    <phoneticPr fontId="1" type="noConversion"/>
  </si>
  <si>
    <t>드라이어드 궁수</t>
    <phoneticPr fontId="1" type="noConversion"/>
  </si>
  <si>
    <t>드라이어드 정예 궁수</t>
    <phoneticPr fontId="1" type="noConversion"/>
  </si>
  <si>
    <t>호전적인 나무 정령</t>
    <phoneticPr fontId="1" type="noConversion"/>
  </si>
  <si>
    <t>원거리 공격, 치명타 확률이 약간 높음.</t>
    <phoneticPr fontId="1" type="noConversion"/>
  </si>
  <si>
    <t>체력이 약간 낮고 치명타 확률이 약간 높음.</t>
    <phoneticPr fontId="1" type="noConversion"/>
  </si>
  <si>
    <t>드라이어드 정예 전사</t>
    <phoneticPr fontId="1" type="noConversion"/>
  </si>
  <si>
    <t>드라이어드 마궁수</t>
    <phoneticPr fontId="1" type="noConversion"/>
  </si>
  <si>
    <t>원거리 공격, 치명타 확률이 약간 높음, 방관 25%</t>
    <phoneticPr fontId="1" type="noConversion"/>
  </si>
  <si>
    <t>체력이 약간 낮고 방어력이 높음. 방관 15%</t>
    <phoneticPr fontId="1" type="noConversion"/>
  </si>
  <si>
    <t>1~70</t>
    <phoneticPr fontId="1" type="noConversion"/>
  </si>
  <si>
    <t>숲</t>
    <phoneticPr fontId="1" type="noConversion"/>
  </si>
  <si>
    <t>스켈레톤</t>
    <phoneticPr fontId="1" type="noConversion"/>
  </si>
  <si>
    <t>어설픈 임프</t>
    <phoneticPr fontId="1" type="noConversion"/>
  </si>
  <si>
    <t>임프</t>
    <phoneticPr fontId="1" type="noConversion"/>
  </si>
  <si>
    <t>1마리를 잡으면서 받은 피해의 60%</t>
    <phoneticPr fontId="1" type="noConversion"/>
  </si>
  <si>
    <t>1마리 사냥 후 체력 회복량</t>
    <phoneticPr fontId="1" type="noConversion"/>
  </si>
  <si>
    <t>체력 회복 시간</t>
    <phoneticPr fontId="1" type="noConversion"/>
  </si>
  <si>
    <t>약삭빠른 임프</t>
    <phoneticPr fontId="1" type="noConversion"/>
  </si>
  <si>
    <t xml:space="preserve"> </t>
    <phoneticPr fontId="1" type="noConversion"/>
  </si>
  <si>
    <t>스켈레톤 창병</t>
    <phoneticPr fontId="1" type="noConversion"/>
  </si>
  <si>
    <t>스켈레톤 정예병</t>
    <phoneticPr fontId="1" type="noConversion"/>
  </si>
  <si>
    <t>데스나이트</t>
    <phoneticPr fontId="1" type="noConversion"/>
  </si>
  <si>
    <t>견습 데스나이트</t>
    <phoneticPr fontId="1" type="noConversion"/>
  </si>
  <si>
    <t>방어력 +50%, 경험치 (약)+15%.</t>
    <phoneticPr fontId="1" type="noConversion"/>
  </si>
  <si>
    <t>경험치 1/2이지만 능력치가 낮고(체력, 공격력 3/4, 공격 속도 5/6) 개체 수가 많음.</t>
    <phoneticPr fontId="1" type="noConversion"/>
  </si>
  <si>
    <t>경험치 3/4이지만 능력치 낮고(체력 5/6, 방어력 -2, 공격력 4/5, 공격 속도 7/6) 개체 수가 많음.</t>
    <phoneticPr fontId="1" type="noConversion"/>
  </si>
  <si>
    <t>경험치 3/4이지만 능력치 낮고(체력 5/6, 방어력 -3, 공격력 4/5, 공격 속도 7/6) 개체 수가 많음.</t>
    <phoneticPr fontId="1" type="noConversion"/>
  </si>
  <si>
    <t>경험치 1/2이지만 능력치가 낮고(체력, 공격력 3/4, 공격 속도 5/6) 개체 수가 많음. 방관 25%.</t>
    <phoneticPr fontId="1" type="noConversion"/>
  </si>
  <si>
    <t>방어력 +50%, 공격력 +10%, 경험치 +25%.</t>
    <phoneticPr fontId="1" type="noConversion"/>
  </si>
  <si>
    <t>마그마 슬라임</t>
    <phoneticPr fontId="1" type="noConversion"/>
  </si>
  <si>
    <t>임프 화염술사</t>
    <phoneticPr fontId="1" type="noConversion"/>
  </si>
  <si>
    <t>방어구의 효력이 떨어지는 화염마법을 사용.</t>
    <phoneticPr fontId="1" type="noConversion"/>
  </si>
  <si>
    <t>임프 화염술사의 소환수. 방어구의 효력이 떨어지는 화염 공격을 함.</t>
    <phoneticPr fontId="1" type="noConversion"/>
  </si>
  <si>
    <t>방관 20%, 체력, 공격력 5/6, 원거리 공격. 개체 수 4/3. 경험치 3/4.</t>
    <phoneticPr fontId="1" type="noConversion"/>
  </si>
  <si>
    <t>푸른 빛의 마그마 슬라임</t>
    <phoneticPr fontId="1" type="noConversion"/>
  </si>
  <si>
    <t>강력한 임프 화염술사</t>
    <phoneticPr fontId="1" type="noConversion"/>
  </si>
  <si>
    <t>코볼트 백인대장</t>
    <phoneticPr fontId="1" type="noConversion"/>
  </si>
  <si>
    <t>스켈레톤 대형도끼병</t>
    <phoneticPr fontId="1" type="noConversion"/>
  </si>
  <si>
    <t>지휘관 데스나이트</t>
    <phoneticPr fontId="1" type="noConversion"/>
  </si>
  <si>
    <t>지휘력이 뛰어난 데스나이트. 주변의 스켈레톤들을 통솔한다.</t>
    <phoneticPr fontId="1" type="noConversion"/>
  </si>
  <si>
    <t>거대한 도끼와 중갑을 착용한 스켈레톤.</t>
    <phoneticPr fontId="1" type="noConversion"/>
  </si>
  <si>
    <t>스켈레톤 둔기병</t>
    <phoneticPr fontId="1" type="noConversion"/>
  </si>
  <si>
    <t>거대한 워해머와 중갑을 착용한 스켈레톤.</t>
    <phoneticPr fontId="1" type="noConversion"/>
  </si>
  <si>
    <t>방관 30%. 체력, 공격력 5/6. 개체 수 4/3. 경험치 3/4</t>
    <phoneticPr fontId="1" type="noConversion"/>
  </si>
  <si>
    <t>데스로드</t>
    <phoneticPr fontId="1" type="noConversion"/>
  </si>
  <si>
    <t>스켈레톤을 부리는 군주.</t>
    <phoneticPr fontId="1" type="noConversion"/>
  </si>
  <si>
    <t>광역 공격 효과 가진 아이템.</t>
    <phoneticPr fontId="1" type="noConversion"/>
  </si>
  <si>
    <t>방관.</t>
    <phoneticPr fontId="1" type="noConversion"/>
  </si>
  <si>
    <t>광역 공격 효과 가진 아이템, 깡체력(방어력 X).</t>
    <phoneticPr fontId="1" type="noConversion"/>
  </si>
  <si>
    <t>방관, 체력.</t>
    <phoneticPr fontId="1" type="noConversion"/>
  </si>
  <si>
    <t>방관 40%, 체력 약간 높음, 공격속도 3/4, 개체 수 *2. 경험치 1/2. 방어력 +7.</t>
    <phoneticPr fontId="1" type="noConversion"/>
  </si>
  <si>
    <t>방관 40%, 체력 약간 높음, 공격속도 3/4, 개체 수 *2. 경험치 1/2. 방어력 +7.</t>
    <phoneticPr fontId="1" type="noConversion"/>
  </si>
  <si>
    <t>방관 20%, 체력 (약)-10%, 방어력 +70%, 경험치 +20%. 메이스 들고 있음.</t>
    <phoneticPr fontId="1" type="noConversion"/>
  </si>
  <si>
    <t>같은 대상을 공격중인 스켈레톤 대형도끼병에게 공격속도 +15% 버프를 줌. 이 버프는 지휘관 데스나이트가 죽으면 버프 소유자에게 250 트루 데미지를 준 후에 사라지며, 최대 2대상까지 동시에 걸 수 있음.</t>
    <phoneticPr fontId="1" type="noConversion"/>
  </si>
  <si>
    <t>같은 대상을 공격중인 스켈레톤 대형도끼병에게 공격속도 +15% 버프를 줌. 이 버프는 지휘관 데스나이트가 죽으면 버프 소유자에게 200 트루데미지를 준 후에 사라지며, 최대 2대상까지 동시에 걸 수 있음.</t>
    <phoneticPr fontId="1" type="noConversion"/>
  </si>
  <si>
    <t>체력, 방어력에 투자.</t>
    <phoneticPr fontId="1" type="noConversion"/>
  </si>
  <si>
    <t>2. 방관이 존재하니 방어력 아이템의 효율을 높게 잡을 것.</t>
    <phoneticPr fontId="1" type="noConversion"/>
  </si>
  <si>
    <t>1~90</t>
    <phoneticPr fontId="1" type="noConversion"/>
  </si>
  <si>
    <t>바다</t>
    <phoneticPr fontId="1" type="noConversion"/>
  </si>
  <si>
    <t>변종 게</t>
    <phoneticPr fontId="1" type="noConversion"/>
  </si>
  <si>
    <t>거대 게</t>
    <phoneticPr fontId="1" type="noConversion"/>
  </si>
  <si>
    <t>말단 해적</t>
    <phoneticPr fontId="1" type="noConversion"/>
  </si>
  <si>
    <t>공격 아이템, 흡혈 아이템.</t>
    <phoneticPr fontId="1" type="noConversion"/>
  </si>
  <si>
    <t>체력+30%, 공격력 -20%</t>
    <phoneticPr fontId="1" type="noConversion"/>
  </si>
  <si>
    <t>광전사 해적</t>
    <phoneticPr fontId="1" type="noConversion"/>
  </si>
  <si>
    <t>전투 개시 후 1초가 지날 때마다 공격 속도가 0.05 증가.</t>
    <phoneticPr fontId="1" type="noConversion"/>
  </si>
  <si>
    <t>세이렌</t>
    <phoneticPr fontId="1" type="noConversion"/>
  </si>
  <si>
    <t>체력 -20(약 -6%), 공격력 -20%.</t>
    <phoneticPr fontId="1" type="noConversion"/>
  </si>
  <si>
    <t>허약한 세이렌</t>
    <phoneticPr fontId="1" type="noConversion"/>
  </si>
  <si>
    <t>쌍검을 든 해적</t>
    <phoneticPr fontId="1" type="noConversion"/>
  </si>
  <si>
    <t>바다 슬라임</t>
    <phoneticPr fontId="1" type="noConversion"/>
  </si>
  <si>
    <t>전투용 게</t>
    <phoneticPr fontId="1" type="noConversion"/>
  </si>
  <si>
    <t>마력이 높은 세이렌</t>
    <phoneticPr fontId="1" type="noConversion"/>
  </si>
  <si>
    <t>체력+20%, 방어력 +12, 공격력 -20%</t>
    <phoneticPr fontId="1" type="noConversion"/>
  </si>
  <si>
    <t>공격을 받을 때 받은 데미지의 10%를 공격자에게 반사.(데미지 감소 X)</t>
    <phoneticPr fontId="1" type="noConversion"/>
  </si>
  <si>
    <t>체력(1순위), 방어력에 투자, 흡혈.</t>
    <phoneticPr fontId="1" type="noConversion"/>
  </si>
  <si>
    <t>체력, 방어력에 투자.</t>
    <phoneticPr fontId="1" type="noConversion"/>
  </si>
  <si>
    <t>말라비틀어진 나무 정령</t>
    <phoneticPr fontId="1" type="noConversion"/>
  </si>
  <si>
    <t>흡혈.</t>
    <phoneticPr fontId="1" type="noConversion"/>
  </si>
  <si>
    <t>공격을 받을 때 받은 데미지의 5%를 공격자에게 반사.(데미지 감소 X)</t>
    <phoneticPr fontId="1" type="noConversion"/>
  </si>
  <si>
    <t>공격 아이템.</t>
    <phoneticPr fontId="1" type="noConversion"/>
  </si>
  <si>
    <t xml:space="preserve">공격 아이템. </t>
    <phoneticPr fontId="1" type="noConversion"/>
  </si>
  <si>
    <t>공격 아이템, 흡혈 아이템, 방관.</t>
    <phoneticPr fontId="1" type="noConversion"/>
  </si>
  <si>
    <t>같은 대상을 공격하는 몬스터 1 개체에게 60의 피해를 흡수하는 보호막을 사용(자힐 가능, 중첩 불가). 6초 쿨타임을 가지며 2초 동안 지속되며, 공격 직후에 쿨타임이 돌아왔다면 사용함.</t>
    <phoneticPr fontId="1" type="noConversion"/>
  </si>
  <si>
    <t>같은 대상을 공격하는 몬스터 1 개체에게 70의 피해를 흡수하는 보호막을 사용(자힐 가능, 중첩 불가). 6초 쿨타임을 가지며 2초 동안 지속되며, 공격 직후에 쿨타임이 돌아왔다면 사용함.</t>
    <phoneticPr fontId="1" type="noConversion"/>
  </si>
  <si>
    <t>같은 대상을 공격하는 몬스터 1 개체에게 90의 피해를 흡수하는 보호막을 사용(자힐 가능, 중첩 불가). 6초 쿨타임을 가지며 2초 동안 지속되며, 공격 직후에 쿨타임이 돌아왔다면 사용함.</t>
    <phoneticPr fontId="1" type="noConversion"/>
  </si>
  <si>
    <t>만취한 해적</t>
    <phoneticPr fontId="1" type="noConversion"/>
  </si>
  <si>
    <t>(초기)공격 속도 -0.15, 빨리 처리하지 못하면 피가 많이 소모됨.</t>
    <phoneticPr fontId="1" type="noConversion"/>
  </si>
  <si>
    <t>작은 해룡</t>
    <phoneticPr fontId="1" type="noConversion"/>
  </si>
  <si>
    <t>체력 +15%, 방어력 -7, (초기)공격 속도 -0.2</t>
    <phoneticPr fontId="1" type="noConversion"/>
  </si>
  <si>
    <t>세이렌 제사장</t>
    <phoneticPr fontId="1" type="noConversion"/>
  </si>
  <si>
    <t>고대 해룡</t>
    <phoneticPr fontId="1" type="noConversion"/>
  </si>
  <si>
    <t>같은 대상을 공격하는 몬스터 1 개체에게 110의 피해를 흡수하는 보호막을 사용(자힐 가능, 중첩 불가). 6초 쿨타임을 가지며 2초 동안 지속되며, 공격 직후에 쿨타임이 돌아왔다면 사용함.</t>
    <phoneticPr fontId="1" type="noConversion"/>
  </si>
  <si>
    <t>체력 +40%, 방어력 -13(실제 체력 +28%), 경험치 +10%.</t>
    <phoneticPr fontId="1" type="noConversion"/>
  </si>
  <si>
    <t>체력 +50%, 방어력 -20(실제 체력 +32%), 공격력 +5%, 경험치 +15%</t>
    <phoneticPr fontId="1" type="noConversion"/>
  </si>
  <si>
    <t>쌍권총 해적</t>
    <phoneticPr fontId="1" type="noConversion"/>
  </si>
  <si>
    <t>체력 +15%, 방어력 -9, (초기)공격 속도 -0.25, 원거리 공격</t>
    <phoneticPr fontId="1" type="noConversion"/>
  </si>
  <si>
    <t>체력 -35(약 -4%), 공격력 -20%, 원거리 공격.</t>
    <phoneticPr fontId="1" type="noConversion"/>
  </si>
  <si>
    <t>1~80</t>
    <phoneticPr fontId="1" type="noConversion"/>
  </si>
  <si>
    <t>천계</t>
    <phoneticPr fontId="1" type="noConversion"/>
  </si>
  <si>
    <t>1~100</t>
    <phoneticPr fontId="1" type="noConversion"/>
  </si>
  <si>
    <t>날개달린 슬라임</t>
    <phoneticPr fontId="1" type="noConversion"/>
  </si>
  <si>
    <t>하스스톤 천상의 보호막처럼 1회 공격 막는 특능</t>
    <phoneticPr fontId="1" type="noConversion"/>
  </si>
  <si>
    <t>방어력 무시 공격?</t>
    <phoneticPr fontId="1" type="noConversion"/>
  </si>
  <si>
    <t>참회(메즈)</t>
    <phoneticPr fontId="1" type="noConversion"/>
  </si>
  <si>
    <t>무적-&gt;힐</t>
    <phoneticPr fontId="1" type="noConversion"/>
  </si>
  <si>
    <t>피 줄어들면 날개 달리면서 2페이즈</t>
    <phoneticPr fontId="1" type="noConversion"/>
  </si>
  <si>
    <t>부활</t>
    <phoneticPr fontId="1" type="noConversion"/>
  </si>
  <si>
    <t>작은 히포그리프</t>
    <phoneticPr fontId="1" type="noConversion"/>
  </si>
  <si>
    <t>히포그리프</t>
    <phoneticPr fontId="1" type="noConversion"/>
  </si>
  <si>
    <t>성전사</t>
    <phoneticPr fontId="1" type="noConversion"/>
  </si>
  <si>
    <t>구도자</t>
    <phoneticPr fontId="1" type="noConversion"/>
  </si>
  <si>
    <t>종자</t>
    <phoneticPr fontId="1" type="noConversion"/>
  </si>
  <si>
    <t>무장한 종자</t>
    <phoneticPr fontId="1" type="noConversion"/>
  </si>
  <si>
    <t>강습기병</t>
    <phoneticPr fontId="1" type="noConversion"/>
  </si>
  <si>
    <t>심문관</t>
    <phoneticPr fontId="1" type="noConversion"/>
  </si>
  <si>
    <t>성기사</t>
    <phoneticPr fontId="1" type="noConversion"/>
  </si>
  <si>
    <t>마계</t>
    <phoneticPr fontId="1" type="noConversion"/>
  </si>
  <si>
    <t>천사병</t>
    <phoneticPr fontId="1" type="noConversion"/>
  </si>
  <si>
    <t>마나 구름</t>
    <phoneticPr fontId="1" type="noConversion"/>
  </si>
  <si>
    <t>지니</t>
    <phoneticPr fontId="1" type="noConversion"/>
  </si>
  <si>
    <t>견습 천사병</t>
    <phoneticPr fontId="1" type="noConversion"/>
  </si>
  <si>
    <t>레드 드래곤</t>
    <phoneticPr fontId="1" type="noConversion"/>
  </si>
  <si>
    <t>유체(일반 공격에는 50%의 데미지만 받음. 크리티컬은 그대로)</t>
    <phoneticPr fontId="1" type="noConversion"/>
  </si>
  <si>
    <t>1. 너무 잦은 템 세팅은 귀찮으니 적어도 2구간은 비슷한 구성의 몬스터를 가짐.</t>
    <phoneticPr fontId="1" type="noConversion"/>
  </si>
  <si>
    <t>축복(공격 1회 방어, 쿨타임 8초)</t>
    <phoneticPr fontId="1" type="noConversion"/>
  </si>
  <si>
    <t>응보(공격을 받을 때 받은 데미지의 10%를 공격자에게 반사. 데미지 감소 X)</t>
    <phoneticPr fontId="1" type="noConversion"/>
  </si>
  <si>
    <t>흡혈</t>
    <phoneticPr fontId="1" type="noConversion"/>
  </si>
  <si>
    <t>크리티컬 확률</t>
    <phoneticPr fontId="1" type="noConversion"/>
  </si>
  <si>
    <t>체력 -30</t>
    <phoneticPr fontId="1" type="noConversion"/>
  </si>
  <si>
    <t>체력 -20</t>
    <phoneticPr fontId="1" type="noConversion"/>
  </si>
  <si>
    <t>크리티컬 확률, 방관</t>
    <phoneticPr fontId="1" type="noConversion"/>
  </si>
  <si>
    <t>참회(스턴, 5초 지속. 캐릭터는 계속 공격 계산은 함. 크리 터지면 스턴 풀리고 아니면 공격 나가지 않고 스턴 그대로. 자신의 쿨타임 30초, 한번 걸리면 면역 12초)</t>
    <phoneticPr fontId="1" type="noConversion"/>
  </si>
  <si>
    <t>체력 -10%, 방어력 +18, 사정거리 3(매우 긺)</t>
    <phoneticPr fontId="1" type="noConversion"/>
  </si>
  <si>
    <t>체력 -10%, 방어력 +20, 사정거리 3(매우 긺)</t>
    <phoneticPr fontId="1" type="noConversion"/>
  </si>
  <si>
    <t>체력 -10%, 방어력 +22, 사정거리 3(매우 긺)</t>
    <phoneticPr fontId="1" type="noConversion"/>
  </si>
  <si>
    <t>유체(일반 공격에는 50%의 데미지만 받음. 크리티컬은 그대로)</t>
    <phoneticPr fontId="1" type="noConversion"/>
  </si>
  <si>
    <t>체력 -25%</t>
    <phoneticPr fontId="1" type="noConversion"/>
  </si>
  <si>
    <t>광폭화(체력 20% 이하 남았을 때 공격력 +15%, 공격속도 +30%)</t>
    <phoneticPr fontId="1" type="noConversion"/>
  </si>
  <si>
    <t>광폭화(체력 20% 이하 남았을 때 공격력 +15%, 공격속도 +30%)</t>
    <phoneticPr fontId="1" type="noConversion"/>
  </si>
  <si>
    <t>브레스(전투 시작시 375데미지 공격), 광폭화(체력 20% 이하 남았을 때 공격력 +15%, 공격속도 +30%), 축복(공격 1회 방어, 쿨타임 8초)</t>
    <phoneticPr fontId="1" type="noConversion"/>
  </si>
  <si>
    <t>브레스(전투 시작시 300데미지 공격), 광폭화(체력 20% 이하 남았을 때 공격력 +15%, 공격속도 +30%)</t>
    <phoneticPr fontId="1" type="noConversion"/>
  </si>
  <si>
    <t>크리티컬 확률</t>
    <phoneticPr fontId="1" type="noConversion"/>
  </si>
  <si>
    <t>공격 속도, 마격, 전투시간 길어질수록 버프 주는 아이템</t>
    <phoneticPr fontId="1" type="noConversion"/>
  </si>
  <si>
    <t>마격, 전투 시간 길어질수록 버프주는 아이템</t>
    <phoneticPr fontId="1" type="noConversion"/>
  </si>
  <si>
    <t>공격 아이템(특히 최대 체력 비례 데미지 아이템), 전투 시간 길어질수록 버프주는 아이템</t>
    <phoneticPr fontId="1" type="noConversion"/>
  </si>
  <si>
    <t>공격 아이템(특히 최대 체력 비례 데미지 아이템), 전투 시간 길어질수록 버프주는 아이템]</t>
    <phoneticPr fontId="1" type="noConversion"/>
  </si>
  <si>
    <t>공격 속도 +50%, 공격력 -20%</t>
    <phoneticPr fontId="1" type="noConversion"/>
  </si>
  <si>
    <t>공격 당할 때마다 치유 받거나 보너스 받는 아이템.</t>
    <phoneticPr fontId="1" type="noConversion"/>
  </si>
  <si>
    <t>공격 속도 +10%</t>
    <phoneticPr fontId="1" type="noConversion"/>
  </si>
  <si>
    <t>공격력 +10%, 방관 +10%</t>
    <phoneticPr fontId="1" type="noConversion"/>
  </si>
  <si>
    <t>모험가와의 차이점</t>
    <phoneticPr fontId="1" type="noConversion"/>
  </si>
  <si>
    <t>치명타 확률 성장치 0.</t>
    <phoneticPr fontId="1" type="noConversion"/>
  </si>
  <si>
    <t>방어력 성장치 0.5(2레벨당 1 상승). 모험가는 1.</t>
    <phoneticPr fontId="1" type="noConversion"/>
  </si>
  <si>
    <t>공격 속도 성장치 0.2. 모험가는 0.4.</t>
    <phoneticPr fontId="1" type="noConversion"/>
  </si>
  <si>
    <t>1레벨 방어력 20. 모험가는 10.</t>
    <phoneticPr fontId="1" type="noConversion"/>
  </si>
  <si>
    <t>1레벨 체력 150. 모험가는 110.</t>
    <phoneticPr fontId="1" type="noConversion"/>
  </si>
  <si>
    <t>체력 성장치 15. 모험가는 20.</t>
    <phoneticPr fontId="1" type="noConversion"/>
  </si>
  <si>
    <t>베이스</t>
    <phoneticPr fontId="1" type="noConversion"/>
  </si>
  <si>
    <t>더미데이터</t>
    <phoneticPr fontId="1" type="noConversion"/>
  </si>
  <si>
    <t>1레벨 공격력 20. 모험가는 13.</t>
    <phoneticPr fontId="1" type="noConversion"/>
  </si>
  <si>
    <t>공격력 성장치 1.33. 모험가는 2.</t>
    <phoneticPr fontId="1" type="noConversion"/>
  </si>
  <si>
    <t>초기 소지금 +100G.</t>
    <phoneticPr fontId="1" type="noConversion"/>
  </si>
  <si>
    <t>공격 속도, 마격, 전투시간 길어질수록 버프 주는 아이템, 추가 공격 아이템.</t>
    <phoneticPr fontId="1" type="noConversion"/>
  </si>
  <si>
    <t>문제점</t>
    <phoneticPr fontId="1" type="noConversion"/>
  </si>
  <si>
    <t>저레벨 때 플레이어가 후원하는 모험가와 아닌 모험가의 차이?</t>
    <phoneticPr fontId="1" type="noConversion"/>
  </si>
  <si>
    <t>추가 공격 아이템. 공속도 약간의 효과.</t>
    <phoneticPr fontId="1" type="noConversion"/>
  </si>
  <si>
    <t>관광객 수치 표</t>
    <phoneticPr fontId="1" type="noConversion"/>
  </si>
  <si>
    <t>초기 소지금은 위 수치가 기본이고 +-20% 범위에서 RAND 돌려서 정함.</t>
    <phoneticPr fontId="1" type="noConversion"/>
  </si>
  <si>
    <t>레벨 34까지는 서민층, 67까지는 중산층, 100까지는 부유층으로 설정.</t>
    <phoneticPr fontId="1" type="noConversion"/>
  </si>
  <si>
    <t>모험가 계층 표</t>
    <phoneticPr fontId="1" type="noConversion"/>
  </si>
  <si>
    <t>1~34</t>
    <phoneticPr fontId="1" type="noConversion"/>
  </si>
  <si>
    <t>35~67</t>
    <phoneticPr fontId="1" type="noConversion"/>
  </si>
  <si>
    <t>68~100</t>
    <phoneticPr fontId="1" type="noConversion"/>
  </si>
  <si>
    <t>레벨</t>
    <phoneticPr fontId="1" type="noConversion"/>
  </si>
  <si>
    <t>서민층</t>
    <phoneticPr fontId="1" type="noConversion"/>
  </si>
  <si>
    <t>중산층</t>
    <phoneticPr fontId="1" type="noConversion"/>
  </si>
  <si>
    <t>부유층</t>
    <phoneticPr fontId="1" type="noConversion"/>
  </si>
  <si>
    <t>코볼트 중보병</t>
    <phoneticPr fontId="1" type="noConversion"/>
  </si>
  <si>
    <t>낡은 스켈레톤</t>
    <phoneticPr fontId="1" type="noConversion"/>
  </si>
  <si>
    <t>정예 슬라임(*)</t>
    <phoneticPr fontId="1" type="noConversion"/>
  </si>
  <si>
    <t>정예 코볼트(*)</t>
    <phoneticPr fontId="1" type="noConversion"/>
  </si>
  <si>
    <t>정예 메탈 슬라임(*)</t>
    <phoneticPr fontId="1" type="noConversion"/>
  </si>
  <si>
    <t>정예 코볼트 광부(*)</t>
    <phoneticPr fontId="1" type="noConversion"/>
  </si>
  <si>
    <t>코볼트 근위대(*)</t>
    <phoneticPr fontId="1" type="noConversion"/>
  </si>
  <si>
    <t>코볼트 근위대장(*)</t>
    <phoneticPr fontId="1" type="noConversion"/>
  </si>
  <si>
    <t>정예 스켈레톤(*)</t>
    <phoneticPr fontId="1" type="noConversion"/>
  </si>
  <si>
    <t>정예 임프(*)</t>
    <phoneticPr fontId="1" type="noConversion"/>
  </si>
  <si>
    <t>스켈레톤 근위병(*)</t>
    <phoneticPr fontId="1" type="noConversion"/>
  </si>
  <si>
    <t>스켈레톤 할버디어</t>
    <phoneticPr fontId="1" type="noConversion"/>
  </si>
  <si>
    <t>미숙한 데스나이트(*)</t>
    <phoneticPr fontId="1" type="noConversion"/>
  </si>
  <si>
    <t>대형 마그마 슬라임(*)</t>
    <phoneticPr fontId="1" type="noConversion"/>
  </si>
  <si>
    <t>노련한 임프 화염술사(*)</t>
    <phoneticPr fontId="1" type="noConversion"/>
  </si>
  <si>
    <t>3. 일선 모험가는 캐릭터별로 다른 스탯을 지니며 현재 적혀있는 스탯은 표준으로 활용하기 위한 값.</t>
    <phoneticPr fontId="1" type="noConversion"/>
  </si>
  <si>
    <t>슬롯1</t>
    <phoneticPr fontId="4" type="noConversion"/>
  </si>
  <si>
    <t>슬롯2</t>
    <phoneticPr fontId="4" type="noConversion"/>
  </si>
  <si>
    <t>슬롯3</t>
    <phoneticPr fontId="4" type="noConversion"/>
  </si>
  <si>
    <t>슬롯4</t>
    <phoneticPr fontId="4" type="noConversion"/>
  </si>
  <si>
    <t>고대 왕의 법전</t>
    <phoneticPr fontId="1" type="noConversion"/>
  </si>
  <si>
    <t>최초 공략자의 갑옷</t>
    <phoneticPr fontId="1" type="noConversion"/>
  </si>
  <si>
    <t>캐릭터 테이블</t>
    <phoneticPr fontId="1" type="noConversion"/>
  </si>
  <si>
    <t>밸런스 계산기</t>
    <phoneticPr fontId="1" type="noConversion"/>
  </si>
  <si>
    <t>계산기</t>
    <phoneticPr fontId="1" type="noConversion"/>
  </si>
  <si>
    <t>적 체력/자신의 공격력</t>
    <phoneticPr fontId="4" type="noConversion"/>
  </si>
  <si>
    <t>방4(구버전)</t>
    <phoneticPr fontId="1" type="noConversion"/>
  </si>
  <si>
    <t>공2방2(구버전)</t>
    <phoneticPr fontId="1" type="noConversion"/>
  </si>
  <si>
    <t>방4(구버전2)</t>
    <phoneticPr fontId="1" type="noConversion"/>
  </si>
  <si>
    <t>공2방2(구버전2)</t>
    <phoneticPr fontId="1" type="noConversion"/>
  </si>
  <si>
    <t>max 타격 수</t>
    <phoneticPr fontId="4" type="noConversion"/>
  </si>
  <si>
    <t>avg 타격 수</t>
    <phoneticPr fontId="4" type="noConversion"/>
  </si>
  <si>
    <t>max 처치시간</t>
    <phoneticPr fontId="4" type="noConversion"/>
  </si>
  <si>
    <t>avg 처치시간</t>
    <phoneticPr fontId="4" type="noConversion"/>
  </si>
  <si>
    <t>실제 체력(방관 적용)</t>
    <phoneticPr fontId="1" type="noConversion"/>
  </si>
  <si>
    <t>Lv50 기본</t>
    <phoneticPr fontId="1" type="noConversion"/>
  </si>
  <si>
    <t>Lv20 기본</t>
    <phoneticPr fontId="1" type="noConversion"/>
  </si>
  <si>
    <t>Lv50 공4</t>
    <phoneticPr fontId="1" type="noConversion"/>
  </si>
  <si>
    <t>Lv50 방4</t>
    <phoneticPr fontId="1" type="noConversion"/>
  </si>
  <si>
    <t>Lv50 공2방2</t>
    <phoneticPr fontId="1" type="noConversion"/>
  </si>
  <si>
    <t>Lv100 공4</t>
    <phoneticPr fontId="1" type="noConversion"/>
  </si>
  <si>
    <t>Lv100 방4</t>
    <phoneticPr fontId="1" type="noConversion"/>
  </si>
  <si>
    <t>Lv100 공2방2</t>
    <phoneticPr fontId="1" type="noConversion"/>
  </si>
  <si>
    <t>승패</t>
    <phoneticPr fontId="4" type="noConversion"/>
  </si>
  <si>
    <t>잔여 체력</t>
    <phoneticPr fontId="4" type="noConversion"/>
  </si>
  <si>
    <t>잔여 실제 체력</t>
    <phoneticPr fontId="4" type="noConversion"/>
  </si>
  <si>
    <t>잔여 체력(%)</t>
    <phoneticPr fontId="4" type="noConversion"/>
  </si>
  <si>
    <t>Lv20 공4</t>
    <phoneticPr fontId="1" type="noConversion"/>
  </si>
  <si>
    <t>Lv20 방4</t>
    <phoneticPr fontId="1" type="noConversion"/>
  </si>
  <si>
    <t>Lv20 공2방2</t>
    <phoneticPr fontId="1" type="noConversion"/>
  </si>
  <si>
    <t>Lv50 공1방1</t>
    <phoneticPr fontId="1" type="noConversion"/>
  </si>
  <si>
    <t>Lv20 공1방1</t>
    <phoneticPr fontId="1" type="noConversion"/>
  </si>
  <si>
    <t>Lv100 공1방1</t>
    <phoneticPr fontId="1" type="noConversion"/>
  </si>
  <si>
    <t>규칙</t>
    <phoneticPr fontId="1" type="noConversion"/>
  </si>
  <si>
    <t>일선 모험가별 능력치 표</t>
    <phoneticPr fontId="1" type="noConversion"/>
  </si>
  <si>
    <t>카트린</t>
    <phoneticPr fontId="1" type="noConversion"/>
  </si>
  <si>
    <t>막시밀리안</t>
    <phoneticPr fontId="1" type="noConversion"/>
  </si>
  <si>
    <t>비고</t>
    <phoneticPr fontId="1" type="noConversion"/>
  </si>
  <si>
    <t>아이리스</t>
    <phoneticPr fontId="1" type="noConversion"/>
  </si>
  <si>
    <t>존</t>
    <phoneticPr fontId="1" type="noConversion"/>
  </si>
  <si>
    <t>에밀</t>
    <phoneticPr fontId="1" type="noConversion"/>
  </si>
  <si>
    <t>사정거리가 2인 것 외에는 표준적인 스탯.</t>
    <phoneticPr fontId="1" type="noConversion"/>
  </si>
  <si>
    <t>하나</t>
    <phoneticPr fontId="1" type="noConversion"/>
  </si>
  <si>
    <t>초기 방어력 +10에 범용성 높은 고유능력으로 다루기 쉬운 캐릭터. 단 고유능력 때문에 성장 공격력이 다소 낮음. +로 체력이 미세하게(+2%) 높음.</t>
    <phoneticPr fontId="1" type="noConversion"/>
  </si>
  <si>
    <t>뮈라</t>
    <phoneticPr fontId="1" type="noConversion"/>
  </si>
  <si>
    <t>기본 체력이 높고(+12%) 고유능력이 방어력 기반이라 방어력만 확보해주면 생존력이 확보되는 캐릭터. +로 초기 방어력이 미세하게(+2) 높음. 초기 방어력이 높은 건 전사 설정에 어울리도록 한 것.</t>
    <phoneticPr fontId="1" type="noConversion"/>
  </si>
  <si>
    <t>장연화</t>
    <phoneticPr fontId="1" type="noConversion"/>
  </si>
  <si>
    <t>회피율</t>
    <phoneticPr fontId="1" type="noConversion"/>
  </si>
  <si>
    <t>고유능력으로 인해 기본적으로 10%의 회피율을 가지며 대신 초기 방어력 -5와 체력 -5%의 패널티를 줌.</t>
    <phoneticPr fontId="1" type="noConversion"/>
  </si>
  <si>
    <t>왈멍멍</t>
    <phoneticPr fontId="1" type="noConversion"/>
  </si>
  <si>
    <t>궁수 답게 사거리 최장. 체력 낮음(-8%). 공격력 보너스와 공격속도 패널티가 있지만, 기본스탯이 아닌 추가 능력치로 적용됨. 아무 아이템 없는 레벨1의 왈멍멍은 공격력 28. 공격속도 0.44정도임.</t>
    <phoneticPr fontId="1" type="noConversion"/>
  </si>
  <si>
    <t>냥냐리우스</t>
    <phoneticPr fontId="1" type="noConversion"/>
  </si>
  <si>
    <t>궁수 답게 사거리 최장. 체력 낮음(-10%). 고유능력 발동을 위해 초기 치명타 확률 다소 높음(+3%). 고유능력에 이동속도 보너스가 있지만 추가 능력치로 적용됨. +로 초기 방어력 -2로 다소 낮지만 설정에 맞춘 것으로 중요한 수치는 아님.</t>
    <phoneticPr fontId="1" type="noConversion"/>
  </si>
  <si>
    <t>1~40레벨 체력이 다소 낮음.(1레벨 -15, 10레벨 -20, 20레벨 -25, 30레벨 -30, 40레벨 -35). 대신 성장방어력이 약간 높음.</t>
    <phoneticPr fontId="1" type="noConversion"/>
  </si>
  <si>
    <t>체력 기반 고유능력과의 시너지를 위해 기본 체력 다소 높음(+5%).</t>
    <phoneticPr fontId="1" type="noConversion"/>
  </si>
  <si>
    <t>필요 경험치</t>
    <phoneticPr fontId="4" type="noConversion"/>
  </si>
  <si>
    <t>HP</t>
    <phoneticPr fontId="4" type="noConversion"/>
  </si>
  <si>
    <t>방어력</t>
    <phoneticPr fontId="4" type="noConversion"/>
  </si>
  <si>
    <t>회피율</t>
    <phoneticPr fontId="4" type="noConversion"/>
  </si>
  <si>
    <t>고유능력 성능이 좋은 대신 기본 체력이 게임 내 최저(-20%). 공격력 다소 높음(+8%). 방어력 약간 낮음(-3).</t>
    <phoneticPr fontId="1" type="noConversion"/>
  </si>
  <si>
    <t>공격력</t>
    <phoneticPr fontId="4" type="noConversion"/>
  </si>
  <si>
    <t>공격 속도(초당 공격 수)</t>
    <phoneticPr fontId="4" type="noConversion"/>
  </si>
  <si>
    <t>치명타 확률</t>
    <phoneticPr fontId="4" type="noConversion"/>
  </si>
  <si>
    <t>치명타 공격력</t>
    <phoneticPr fontId="4" type="noConversion"/>
  </si>
  <si>
    <t>방어구 관통</t>
    <phoneticPr fontId="4" type="noConversion"/>
  </si>
  <si>
    <t>이동 속도</t>
    <phoneticPr fontId="4" type="noConversion"/>
  </si>
  <si>
    <t>초기 소지금</t>
    <phoneticPr fontId="4" type="noConversion"/>
  </si>
  <si>
    <t>사정거리</t>
    <phoneticPr fontId="4" type="noConversion"/>
  </si>
  <si>
    <t>DPS</t>
    <phoneticPr fontId="4" type="noConversion"/>
  </si>
  <si>
    <t>실제 체력</t>
    <phoneticPr fontId="4" type="noConversion"/>
  </si>
  <si>
    <t>체력/DPS</t>
    <phoneticPr fontId="4" type="noConversion"/>
  </si>
  <si>
    <t>몹1당 공격횟수</t>
    <phoneticPr fontId="4" type="noConversion"/>
  </si>
  <si>
    <t>몹1당 사냥 시간</t>
    <phoneticPr fontId="4" type="noConversion"/>
  </si>
  <si>
    <t>최소 레벨업 시간</t>
    <phoneticPr fontId="4" type="noConversion"/>
  </si>
  <si>
    <t>구간 종료 최소 소요시간</t>
    <phoneticPr fontId="4" type="noConversion"/>
  </si>
  <si>
    <t>1마리당 소모 체력</t>
    <phoneticPr fontId="4" type="noConversion"/>
  </si>
  <si>
    <t>소모 체력(%)</t>
    <phoneticPr fontId="4" type="noConversion"/>
  </si>
  <si>
    <t>경험치</t>
    <phoneticPr fontId="4" type="noConversion"/>
  </si>
  <si>
    <t>*은 보스 주둔지 몬스터. 이전 사냥터 몬스터의 강화형</t>
    <phoneticPr fontId="1" type="noConversion"/>
  </si>
  <si>
    <t>획득 금액</t>
    <phoneticPr fontId="4" type="noConversion"/>
  </si>
  <si>
    <t>특성</t>
    <phoneticPr fontId="4" type="noConversion"/>
  </si>
  <si>
    <t>설명</t>
    <phoneticPr fontId="4" type="noConversion"/>
  </si>
  <si>
    <t>메모</t>
    <phoneticPr fontId="4" type="noConversion"/>
  </si>
  <si>
    <t>공략법</t>
    <phoneticPr fontId="4" type="noConversion"/>
  </si>
  <si>
    <t>일선 모험가(표준) 능력치 표</t>
    <phoneticPr fontId="1" type="noConversion"/>
  </si>
  <si>
    <t>단단한 게(*)</t>
    <phoneticPr fontId="1" type="noConversion"/>
  </si>
  <si>
    <t>해적(*)</t>
    <phoneticPr fontId="1" type="noConversion"/>
  </si>
  <si>
    <t>흥분한 해적(*)</t>
    <phoneticPr fontId="1" type="noConversion"/>
  </si>
  <si>
    <t>무장한 세이렌(*)</t>
    <phoneticPr fontId="1" type="noConversion"/>
  </si>
  <si>
    <t>체력 -30(약 -6%), 공격력 -20%.</t>
    <phoneticPr fontId="1" type="noConversion"/>
  </si>
  <si>
    <t>노련한 해적(*)</t>
    <phoneticPr fontId="1" type="noConversion"/>
  </si>
  <si>
    <t>사나운 해룡</t>
    <phoneticPr fontId="1" type="noConversion"/>
  </si>
  <si>
    <t>해룡(*)</t>
    <phoneticPr fontId="1" type="noConversion"/>
  </si>
  <si>
    <t>같은 대상을 공격하는 몬스터 1 개체에게 75의 피해를 흡수하는 보호막을 사용(자힐 가능, 중첩 불가). 6초 쿨타임을 가지며 2초 동안 지속되며, 공격 직후에 쿨타임이 돌아왔다면 사용함.</t>
    <phoneticPr fontId="1" type="noConversion"/>
  </si>
  <si>
    <t>쌍권총 해적(*)</t>
    <phoneticPr fontId="1" type="noConversion"/>
  </si>
  <si>
    <t>고대 해룡(*)</t>
    <phoneticPr fontId="1" type="noConversion"/>
  </si>
  <si>
    <t>사나운 히포그리프(*)</t>
    <phoneticPr fontId="1" type="noConversion"/>
  </si>
  <si>
    <t>신성한 슬라임(*)</t>
    <phoneticPr fontId="1" type="noConversion"/>
  </si>
  <si>
    <t>빛나는 슬라임</t>
    <phoneticPr fontId="1" type="noConversion"/>
  </si>
  <si>
    <t>중장갑 히포그리프</t>
    <phoneticPr fontId="1" type="noConversion"/>
  </si>
  <si>
    <t>종자(*)</t>
    <phoneticPr fontId="1" type="noConversion"/>
  </si>
  <si>
    <t>성전사(*)</t>
    <phoneticPr fontId="1" type="noConversion"/>
  </si>
  <si>
    <t>심판관(*)</t>
    <phoneticPr fontId="1" type="noConversion"/>
  </si>
  <si>
    <t>상급 지니(*)</t>
    <phoneticPr fontId="1" type="noConversion"/>
  </si>
  <si>
    <t>마인</t>
    <phoneticPr fontId="1" type="noConversion"/>
  </si>
  <si>
    <t>브레스(전투 시작시 385데미지 공격), 광폭화(체력 20% 이하 남았을 때 공격력 +15%, 공격속도 +30%), 축복(공격 1회 방어, 쿨타임 8초)</t>
    <phoneticPr fontId="1" type="noConversion"/>
  </si>
  <si>
    <t>기마 성기사(*)</t>
    <phoneticPr fontId="1" type="noConversion"/>
  </si>
  <si>
    <t>정예 천사병(*)</t>
    <phoneticPr fontId="1" type="noConversion"/>
  </si>
  <si>
    <t>할배</t>
    <phoneticPr fontId="1" type="noConversion"/>
  </si>
  <si>
    <t>튜토리얼용 캐릭터. 표준 능력치.</t>
    <phoneticPr fontId="1" type="noConversion"/>
  </si>
  <si>
    <t>좋은 고유능력을 가진 대신 체력이 낮음(-12%). 방어력 미세하게 낮음(-2)</t>
    <phoneticPr fontId="1" type="noConversion"/>
  </si>
  <si>
    <t>천사장</t>
    <phoneticPr fontId="1" type="noConversion"/>
  </si>
  <si>
    <t>셀레스티얼 드래곤</t>
    <phoneticPr fontId="1" type="noConversion"/>
  </si>
  <si>
    <t>Boss</t>
    <phoneticPr fontId="1" type="noConversion"/>
  </si>
  <si>
    <t>보스몬스터 목록</t>
    <phoneticPr fontId="1" type="noConversion"/>
  </si>
  <si>
    <t>역할</t>
    <phoneticPr fontId="1" type="noConversion"/>
  </si>
  <si>
    <t>킹 슬라임</t>
    <phoneticPr fontId="1" type="noConversion"/>
  </si>
  <si>
    <t>레벨은 이전 사냥터의 적정 레벨 상한 +5. 스탯은 몬스터마다 다르나, 동레벨 일반 모험가의 1.05배, 1.1배, 1.15배 정도의 실제 체력과 DPS를 가지도록 함. 보상은 동레벨 몬스터의 5배.</t>
    <phoneticPr fontId="1" type="noConversion"/>
  </si>
  <si>
    <t>최종보스</t>
    <phoneticPr fontId="1" type="noConversion"/>
  </si>
  <si>
    <t>스테이지</t>
    <phoneticPr fontId="1" type="noConversion"/>
  </si>
  <si>
    <t>킹 메탈 슬라임</t>
    <phoneticPr fontId="1" type="noConversion"/>
  </si>
  <si>
    <t>중간보스</t>
    <phoneticPr fontId="1" type="noConversion"/>
  </si>
  <si>
    <t>코볼트 족장</t>
    <phoneticPr fontId="1" type="noConversion"/>
  </si>
  <si>
    <t>코볼트 왕</t>
    <phoneticPr fontId="1" type="noConversion"/>
  </si>
  <si>
    <t>코볼트 장군</t>
    <phoneticPr fontId="1" type="noConversion"/>
  </si>
  <si>
    <t>수문장</t>
    <phoneticPr fontId="1" type="noConversion"/>
  </si>
  <si>
    <t>코볼트 대장</t>
    <phoneticPr fontId="1" type="noConversion"/>
  </si>
  <si>
    <t>슬라임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</si>
</sst>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0\ &quot;exp&quot;"/>
    <numFmt numFmtId="177" formatCode="0\ &quot;G&quot;"/>
    <numFmt numFmtId="178" formatCode="0.0000"/>
    <numFmt numFmtId="179" formatCode="0.0000\ &quot;초&quot;"/>
    <numFmt numFmtId="180" formatCode="&quot;+-&quot;\ 0\ &quot;G&quot;"/>
    <numFmt numFmtId="181" formatCode="0.00\ &quot;초&quot;"/>
    <numFmt numFmtId="182" formatCode="0&quot;칸&quot;"/>
  </numFmts>
  <fonts count="1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4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b/>
      <sz val="11"/>
      <color theme="1" tint="0.499984740745262"/>
      <name val="맑은 고딕"/>
      <family val="3"/>
      <charset val="129"/>
      <scheme val="minor"/>
    </font>
    <font>
      <b/>
      <sz val="12"/>
      <color theme="1" tint="0.34998626667073579"/>
      <name val="맑은 고딕"/>
      <family val="3"/>
      <charset val="129"/>
      <scheme val="minor"/>
    </font>
    <font>
      <b/>
      <sz val="14"/>
      <color theme="9" tint="-0.249977111117893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2"/>
      <color theme="0" tint="-0.499984740745262"/>
      <name val="맑은 고딕"/>
      <family val="3"/>
      <charset val="129"/>
      <scheme val="minor"/>
    </font>
    <font>
      <b/>
      <sz val="11"/>
      <color theme="2" tint="-0.499984740745262"/>
      <name val="맑은 고딕"/>
      <family val="3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9"/>
      <color indexed="81"/>
      <name val="돋움"/>
      <family val="3"/>
      <charset val="129"/>
    </font>
    <font>
      <b/>
      <sz val="12"/>
      <color theme="1"/>
      <name val="맑은 고딕"/>
      <family val="3"/>
      <charset val="129"/>
      <scheme val="minor"/>
    </font>
    <font>
      <b/>
      <sz val="12"/>
      <color theme="0"/>
      <name val="맑은 고딕"/>
      <family val="3"/>
      <charset val="129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A1E3DD"/>
        <bgColor indexed="64"/>
      </patternFill>
    </fill>
    <fill>
      <patternFill patternType="solid">
        <fgColor rgb="FFBD131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007EE6"/>
        <bgColor indexed="64"/>
      </patternFill>
    </fill>
    <fill>
      <patternFill patternType="solid">
        <fgColor rgb="FFBBC9F7"/>
        <bgColor indexed="64"/>
      </patternFill>
    </fill>
    <fill>
      <patternFill patternType="solid">
        <fgColor rgb="FFFF531D"/>
        <bgColor indexed="64"/>
      </patternFill>
    </fill>
    <fill>
      <patternFill patternType="solid">
        <fgColor rgb="FFBA8AEA"/>
        <bgColor indexed="64"/>
      </patternFill>
    </fill>
    <fill>
      <patternFill patternType="solid">
        <fgColor rgb="FF93CA3A"/>
        <bgColor indexed="64"/>
      </patternFill>
    </fill>
    <fill>
      <patternFill patternType="solid">
        <fgColor rgb="FFFDEB63"/>
        <bgColor indexed="64"/>
      </patternFill>
    </fill>
    <fill>
      <patternFill patternType="solid">
        <fgColor theme="3" tint="0.59999389629810485"/>
        <bgColor indexed="64"/>
      </patternFill>
    </fill>
  </fills>
  <borders count="18">
    <border>
      <left/>
      <right/>
      <top/>
      <bottom/>
      <diagonal/>
    </border>
    <border>
      <left/>
      <right style="mediumDashed">
        <color theme="4" tint="0.39997558519241921"/>
      </right>
      <top/>
      <bottom/>
      <diagonal/>
    </border>
    <border>
      <left style="mediumDashed">
        <color theme="4" tint="0.39997558519241921"/>
      </left>
      <right/>
      <top style="medium">
        <color theme="0" tint="-0.24994659260841701"/>
      </top>
      <bottom style="thick">
        <color theme="3" tint="0.59996337778862885"/>
      </bottom>
      <diagonal/>
    </border>
    <border>
      <left/>
      <right/>
      <top style="medium">
        <color theme="0" tint="-0.24994659260841701"/>
      </top>
      <bottom style="thick">
        <color theme="4" tint="-0.24994659260841701"/>
      </bottom>
      <diagonal/>
    </border>
    <border>
      <left/>
      <right/>
      <top style="medium">
        <color theme="0" tint="-0.24994659260841701"/>
      </top>
      <bottom style="thick">
        <color rgb="FFD09DE5"/>
      </bottom>
      <diagonal/>
    </border>
    <border>
      <left/>
      <right style="mediumDashed">
        <color theme="4" tint="0.39997558519241921"/>
      </right>
      <top style="medium">
        <color theme="0" tint="-0.24994659260841701"/>
      </top>
      <bottom style="thick">
        <color rgb="FFA1E3DD"/>
      </bottom>
      <diagonal/>
    </border>
    <border>
      <left/>
      <right/>
      <top style="medium">
        <color theme="0" tint="-0.24994659260841701"/>
      </top>
      <bottom style="thick">
        <color rgb="FFA1E3DD"/>
      </bottom>
      <diagonal/>
    </border>
    <border>
      <left style="mediumDashed">
        <color theme="4" tint="0.39997558519241921"/>
      </left>
      <right/>
      <top style="medium">
        <color theme="0" tint="-0.24994659260841701"/>
      </top>
      <bottom style="thick">
        <color rgb="FFB1E69C"/>
      </bottom>
      <diagonal/>
    </border>
    <border>
      <left/>
      <right/>
      <top style="medium">
        <color theme="0" tint="-0.24994659260841701"/>
      </top>
      <bottom style="thick">
        <color rgb="FFB1E69C"/>
      </bottom>
      <diagonal/>
    </border>
    <border>
      <left/>
      <right/>
      <top/>
      <bottom style="thin">
        <color indexed="64"/>
      </bottom>
      <diagonal/>
    </border>
    <border>
      <left style="mediumDashed">
        <color theme="4" tint="0.39997558519241921"/>
      </left>
      <right/>
      <top style="medium">
        <color theme="0" tint="-0.24994659260841701"/>
      </top>
      <bottom style="thick">
        <color rgb="FFED9595"/>
      </bottom>
      <diagonal/>
    </border>
    <border>
      <left/>
      <right/>
      <top style="medium">
        <color theme="0" tint="-0.24994659260841701"/>
      </top>
      <bottom style="thick">
        <color rgb="FFF0EA7C"/>
      </bottom>
      <diagonal/>
    </border>
    <border>
      <left/>
      <right/>
      <top style="medium">
        <color theme="0" tint="-0.24994659260841701"/>
      </top>
      <bottom style="thick">
        <color theme="3" tint="0.59996337778862885"/>
      </bottom>
      <diagonal/>
    </border>
    <border>
      <left/>
      <right/>
      <top style="medium">
        <color theme="0" tint="-0.24994659260841701"/>
      </top>
      <bottom style="thick">
        <color rgb="FFED9595"/>
      </bottom>
      <diagonal/>
    </border>
    <border>
      <left/>
      <right/>
      <top style="medium">
        <color theme="0" tint="-0.24994659260841701"/>
      </top>
      <bottom style="thick">
        <color theme="4" tint="0.39994506668294322"/>
      </bottom>
      <diagonal/>
    </border>
    <border>
      <left/>
      <right/>
      <top style="medium">
        <color theme="0" tint="-0.24994659260841701"/>
      </top>
      <bottom style="thick">
        <color rgb="FF9EE4B9"/>
      </bottom>
      <diagonal/>
    </border>
    <border>
      <left/>
      <right/>
      <top style="medium">
        <color theme="0" tint="-0.24994659260841701"/>
      </top>
      <bottom style="thick">
        <color theme="9" tint="0.59996337778862885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theme="0" tint="-0.24994659260841701"/>
      </bottom>
      <diagonal/>
    </border>
  </borders>
  <cellStyleXfs count="2">
    <xf numFmtId="0" fontId="0" fillId="0" borderId="0">
      <alignment vertical="center"/>
    </xf>
    <xf numFmtId="9" fontId="3" fillId="0" borderId="0" applyFont="0" applyFill="0" applyBorder="0" applyAlignment="0" applyProtection="0">
      <alignment vertical="center"/>
    </xf>
  </cellStyleXfs>
  <cellXfs count="54">
    <xf numFmtId="0" fontId="0" fillId="0" borderId="0" xfId="0">
      <alignment vertical="center"/>
    </xf>
    <xf numFmtId="0" fontId="2" fillId="0" borderId="0" xfId="0" applyFont="1">
      <alignment vertical="center"/>
    </xf>
    <xf numFmtId="9" fontId="0" fillId="0" borderId="0" xfId="1" applyFont="1">
      <alignment vertical="center"/>
    </xf>
    <xf numFmtId="10" fontId="0" fillId="0" borderId="0" xfId="1" applyNumberFormat="1" applyFont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  <xf numFmtId="180" fontId="0" fillId="0" borderId="0" xfId="0" applyNumberFormat="1">
      <alignment vertical="center"/>
    </xf>
    <xf numFmtId="2" fontId="0" fillId="0" borderId="0" xfId="0" applyNumberFormat="1">
      <alignment vertical="center"/>
    </xf>
    <xf numFmtId="9" fontId="0" fillId="0" borderId="0" xfId="0" applyNumberFormat="1">
      <alignment vertical="center"/>
    </xf>
    <xf numFmtId="10" fontId="0" fillId="0" borderId="0" xfId="0" applyNumberFormat="1">
      <alignment vertical="center"/>
    </xf>
    <xf numFmtId="181" fontId="0" fillId="0" borderId="0" xfId="0" applyNumberFormat="1">
      <alignment vertical="center"/>
    </xf>
    <xf numFmtId="0" fontId="6" fillId="0" borderId="0" xfId="0" applyFont="1" applyAlignment="1">
      <alignment horizontal="center" vertical="center"/>
    </xf>
    <xf numFmtId="0" fontId="7" fillId="0" borderId="0" xfId="0" applyFont="1">
      <alignment vertical="center"/>
    </xf>
    <xf numFmtId="0" fontId="0" fillId="0" borderId="0" xfId="0" applyAlignment="1">
      <alignment horizontal="right" vertical="center"/>
    </xf>
    <xf numFmtId="182" fontId="0" fillId="0" borderId="0" xfId="0" applyNumberFormat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5" fillId="0" borderId="0" xfId="0" applyFont="1" applyBorder="1">
      <alignment vertical="center"/>
    </xf>
    <xf numFmtId="0" fontId="0" fillId="0" borderId="1" xfId="0" applyBorder="1">
      <alignment vertical="center"/>
    </xf>
    <xf numFmtId="0" fontId="5" fillId="0" borderId="2" xfId="0" applyFont="1" applyBorder="1">
      <alignment vertical="center"/>
    </xf>
    <xf numFmtId="0" fontId="5" fillId="0" borderId="3" xfId="0" applyFont="1" applyBorder="1">
      <alignment vertical="center"/>
    </xf>
    <xf numFmtId="0" fontId="5" fillId="0" borderId="4" xfId="0" applyFont="1" applyBorder="1">
      <alignment vertical="center"/>
    </xf>
    <xf numFmtId="0" fontId="5" fillId="0" borderId="6" xfId="0" applyFont="1" applyBorder="1">
      <alignment vertical="center"/>
    </xf>
    <xf numFmtId="9" fontId="5" fillId="0" borderId="6" xfId="0" applyNumberFormat="1" applyFont="1" applyBorder="1">
      <alignment vertical="center"/>
    </xf>
    <xf numFmtId="0" fontId="5" fillId="0" borderId="5" xfId="0" applyFont="1" applyBorder="1">
      <alignment vertical="center"/>
    </xf>
    <xf numFmtId="0" fontId="5" fillId="0" borderId="7" xfId="0" applyFont="1" applyBorder="1">
      <alignment vertical="center"/>
    </xf>
    <xf numFmtId="0" fontId="5" fillId="0" borderId="8" xfId="0" applyFont="1" applyBorder="1">
      <alignment vertical="center"/>
    </xf>
    <xf numFmtId="0" fontId="6" fillId="0" borderId="0" xfId="0" applyFont="1">
      <alignment vertical="center"/>
    </xf>
    <xf numFmtId="0" fontId="0" fillId="0" borderId="9" xfId="0" applyBorder="1">
      <alignment vertical="center"/>
    </xf>
    <xf numFmtId="0" fontId="5" fillId="0" borderId="10" xfId="0" applyFont="1" applyBorder="1">
      <alignment vertical="center"/>
    </xf>
    <xf numFmtId="0" fontId="5" fillId="0" borderId="11" xfId="0" applyFont="1" applyBorder="1">
      <alignment vertical="center"/>
    </xf>
    <xf numFmtId="0" fontId="10" fillId="0" borderId="0" xfId="0" applyFont="1" applyAlignment="1">
      <alignment horizontal="center" vertical="center"/>
    </xf>
    <xf numFmtId="9" fontId="5" fillId="0" borderId="6" xfId="1" applyFont="1" applyBorder="1">
      <alignment vertical="center"/>
    </xf>
    <xf numFmtId="9" fontId="5" fillId="0" borderId="4" xfId="1" applyFont="1" applyBorder="1">
      <alignment vertical="center"/>
    </xf>
    <xf numFmtId="0" fontId="5" fillId="0" borderId="12" xfId="0" applyFont="1" applyBorder="1">
      <alignment vertical="center"/>
    </xf>
    <xf numFmtId="0" fontId="5" fillId="0" borderId="13" xfId="0" applyFont="1" applyBorder="1">
      <alignment vertical="center"/>
    </xf>
    <xf numFmtId="0" fontId="5" fillId="0" borderId="14" xfId="0" applyFont="1" applyBorder="1">
      <alignment vertical="center"/>
    </xf>
    <xf numFmtId="0" fontId="5" fillId="0" borderId="15" xfId="0" applyFont="1" applyBorder="1">
      <alignment vertical="center"/>
    </xf>
    <xf numFmtId="9" fontId="5" fillId="0" borderId="8" xfId="1" applyFont="1" applyBorder="1">
      <alignment vertical="center"/>
    </xf>
    <xf numFmtId="0" fontId="5" fillId="0" borderId="16" xfId="0" applyFont="1" applyBorder="1">
      <alignment vertical="center"/>
    </xf>
    <xf numFmtId="0" fontId="16" fillId="2" borderId="0" xfId="0" applyFont="1" applyFill="1">
      <alignment vertical="center"/>
    </xf>
    <xf numFmtId="0" fontId="16" fillId="3" borderId="0" xfId="0" applyFont="1" applyFill="1">
      <alignment vertical="center"/>
    </xf>
    <xf numFmtId="0" fontId="16" fillId="4" borderId="0" xfId="0" applyFont="1" applyFill="1">
      <alignment vertical="center"/>
    </xf>
    <xf numFmtId="0" fontId="16" fillId="5" borderId="0" xfId="0" applyFont="1" applyFill="1">
      <alignment vertical="center"/>
    </xf>
    <xf numFmtId="0" fontId="16" fillId="6" borderId="0" xfId="0" applyFont="1" applyFill="1">
      <alignment vertical="center"/>
    </xf>
    <xf numFmtId="0" fontId="16" fillId="7" borderId="0" xfId="0" applyFont="1" applyFill="1">
      <alignment vertical="center"/>
    </xf>
    <xf numFmtId="0" fontId="16" fillId="8" borderId="0" xfId="0" applyFont="1" applyFill="1">
      <alignment vertical="center"/>
    </xf>
    <xf numFmtId="0" fontId="16" fillId="9" borderId="0" xfId="0" applyFont="1" applyFill="1">
      <alignment vertical="center"/>
    </xf>
    <xf numFmtId="0" fontId="15" fillId="0" borderId="17" xfId="0" applyFont="1" applyBorder="1">
      <alignment vertical="center"/>
    </xf>
    <xf numFmtId="0" fontId="16" fillId="10" borderId="0" xfId="0" applyFont="1" applyFill="1">
      <alignment vertical="center"/>
    </xf>
    <xf numFmtId="178" fontId="5" fillId="0" borderId="13" xfId="0" applyNumberFormat="1" applyFont="1" applyBorder="1">
      <alignment vertical="center"/>
    </xf>
    <xf numFmtId="0" fontId="16" fillId="11" borderId="0" xfId="0" applyFont="1" applyFill="1">
      <alignment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colors>
    <mruColors>
      <color rgb="FFFA3722"/>
      <color rgb="FFFEF08A"/>
      <color rgb="FFFDEB63"/>
      <color rgb="FFFDE63D"/>
      <color rgb="FFFFC73B"/>
      <color rgb="FFF3DA25"/>
      <color rgb="FFFFCE19"/>
      <color rgb="FFE2F622"/>
      <color rgb="FFF7ED21"/>
      <color rgb="FFDCD70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e24e0e4ec0c5fcce/&#47928;&#49436;/&#45912;&#51204;%20&#53440;&#51060;&#53220;/&#50500;&#51060;&#53596;%20&#49884;&#53944;%2018032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표지"/>
      <sheetName val="무기"/>
      <sheetName val="방어구"/>
      <sheetName val="장신구"/>
    </sheetNames>
    <sheetDataSet>
      <sheetData sheetId="0"/>
      <sheetData sheetId="1">
        <row r="14">
          <cell r="A14" t="str">
            <v>모험가 표준 장검</v>
          </cell>
          <cell r="C14">
            <v>18</v>
          </cell>
          <cell r="D14">
            <v>0.08</v>
          </cell>
          <cell r="E14">
            <v>0.12</v>
          </cell>
        </row>
        <row r="26">
          <cell r="A26" t="str">
            <v>다마스커스 검</v>
          </cell>
          <cell r="C26">
            <v>46</v>
          </cell>
          <cell r="D26">
            <v>0.17</v>
          </cell>
          <cell r="E26">
            <v>0.19</v>
          </cell>
        </row>
      </sheetData>
      <sheetData sheetId="2">
        <row r="12">
          <cell r="A12" t="str">
            <v>로리카 세그멘타타</v>
          </cell>
          <cell r="C12">
            <v>150</v>
          </cell>
          <cell r="D12">
            <v>35</v>
          </cell>
        </row>
        <row r="24">
          <cell r="A24" t="str">
            <v>모험가용 맞춤 갑옷</v>
          </cell>
          <cell r="C24">
            <v>600</v>
          </cell>
          <cell r="D24">
            <v>45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V125"/>
  <sheetViews>
    <sheetView topLeftCell="A67" workbookViewId="0">
      <selection activeCell="F121" sqref="F121"/>
    </sheetView>
  </sheetViews>
  <sheetFormatPr defaultRowHeight="17.399999999999999" x14ac:dyDescent="0.4"/>
  <cols>
    <col min="1" max="1" width="5.69921875" customWidth="1"/>
    <col min="2" max="2" width="10.69921875" customWidth="1"/>
    <col min="16" max="16" width="10.69921875" customWidth="1"/>
    <col min="17" max="17" width="8.796875" customWidth="1"/>
    <col min="19" max="19" width="13" customWidth="1"/>
    <col min="20" max="20" width="11.5" customWidth="1"/>
  </cols>
  <sheetData>
    <row r="2" spans="1:22" ht="21" x14ac:dyDescent="0.4">
      <c r="B2" s="1" t="s">
        <v>329</v>
      </c>
    </row>
    <row r="3" spans="1:22" ht="19.8" thickBot="1" x14ac:dyDescent="0.45">
      <c r="B3" s="17" t="s">
        <v>205</v>
      </c>
    </row>
    <row r="4" spans="1:22" ht="18" thickBot="1" x14ac:dyDescent="0.45">
      <c r="A4" s="36" t="s">
        <v>18</v>
      </c>
      <c r="B4" s="36" t="s">
        <v>300</v>
      </c>
      <c r="C4" s="28" t="s">
        <v>301</v>
      </c>
      <c r="D4" s="28" t="s">
        <v>302</v>
      </c>
      <c r="E4" s="28" t="s">
        <v>303</v>
      </c>
      <c r="F4" s="37" t="s">
        <v>305</v>
      </c>
      <c r="G4" s="37" t="s">
        <v>306</v>
      </c>
      <c r="H4" s="37" t="s">
        <v>307</v>
      </c>
      <c r="I4" s="37" t="s">
        <v>308</v>
      </c>
      <c r="J4" s="37" t="s">
        <v>309</v>
      </c>
      <c r="K4" s="38" t="s">
        <v>310</v>
      </c>
      <c r="L4" s="38" t="s">
        <v>312</v>
      </c>
      <c r="M4" s="38" t="s">
        <v>311</v>
      </c>
      <c r="N4" s="23" t="s">
        <v>313</v>
      </c>
      <c r="O4" s="23" t="s">
        <v>314</v>
      </c>
      <c r="P4" s="23" t="s">
        <v>315</v>
      </c>
      <c r="Q4" s="39" t="s">
        <v>316</v>
      </c>
      <c r="R4" s="39" t="s">
        <v>317</v>
      </c>
      <c r="S4" s="39" t="s">
        <v>318</v>
      </c>
      <c r="T4" s="39" t="s">
        <v>319</v>
      </c>
      <c r="U4" s="39" t="s">
        <v>320</v>
      </c>
      <c r="V4" s="39" t="s">
        <v>321</v>
      </c>
    </row>
    <row r="5" spans="1:22" ht="18" thickTop="1" x14ac:dyDescent="0.4">
      <c r="A5">
        <v>1</v>
      </c>
      <c r="B5" s="4">
        <f>150*A5</f>
        <v>150</v>
      </c>
      <c r="C5">
        <f t="shared" ref="C5:C36" si="0">MROUND(150+A5*11,5)</f>
        <v>160</v>
      </c>
      <c r="D5">
        <f t="shared" ref="D5:D36" si="1">ROUNDDOWN((20+A5*0.3), 0)</f>
        <v>20</v>
      </c>
      <c r="E5" s="2">
        <v>0</v>
      </c>
      <c r="F5">
        <f t="shared" ref="F5:F36" si="2">ROUND((28+A5*2)*2/3, 0)</f>
        <v>20</v>
      </c>
      <c r="G5">
        <f t="shared" ref="G5:G36" si="3">0.665+0.002*A5</f>
        <v>0.66700000000000004</v>
      </c>
      <c r="H5" s="3">
        <f>0.05</f>
        <v>0.05</v>
      </c>
      <c r="I5" s="2">
        <v>2</v>
      </c>
      <c r="J5" s="2">
        <v>0</v>
      </c>
      <c r="K5" s="2">
        <v>1</v>
      </c>
      <c r="L5" s="16">
        <f>1</f>
        <v>1</v>
      </c>
      <c r="M5" s="5">
        <f t="shared" ref="M5:M36" si="4">290+10*A5</f>
        <v>300</v>
      </c>
      <c r="N5" s="6">
        <f t="shared" ref="N5:N36" si="5">F5*G5*(1+H5)</f>
        <v>14.007</v>
      </c>
      <c r="O5">
        <f t="shared" ref="O5:O36" si="6">C5*(1+D5/100)</f>
        <v>192</v>
      </c>
      <c r="P5" s="7">
        <f>O5/N5</f>
        <v>13.707431998286571</v>
      </c>
      <c r="Q5">
        <f>ROUNDUP(몬스터!$P$5/F5, 0)</f>
        <v>7</v>
      </c>
      <c r="R5" s="6">
        <f t="shared" ref="R5:R36" si="7">Q5/G5</f>
        <v>10.494752623688155</v>
      </c>
      <c r="S5" s="7">
        <f>B5/몬스터!C5*R5</f>
        <v>52.473763118440779</v>
      </c>
      <c r="U5">
        <f>ROUNDDOWN(R5*몬스터!H5, 0)*몬스터!G5*(1+몬스터!I5)</f>
        <v>37.800000000000004</v>
      </c>
      <c r="V5" s="2">
        <f>U5/O5</f>
        <v>0.19687500000000002</v>
      </c>
    </row>
    <row r="6" spans="1:22" x14ac:dyDescent="0.4">
      <c r="A6">
        <v>2</v>
      </c>
      <c r="B6" s="4">
        <f>150*A6</f>
        <v>300</v>
      </c>
      <c r="C6">
        <f t="shared" si="0"/>
        <v>170</v>
      </c>
      <c r="D6">
        <f t="shared" si="1"/>
        <v>20</v>
      </c>
      <c r="E6" s="2">
        <v>0</v>
      </c>
      <c r="F6">
        <f t="shared" si="2"/>
        <v>21</v>
      </c>
      <c r="G6">
        <f t="shared" si="3"/>
        <v>0.66900000000000004</v>
      </c>
      <c r="H6" s="3">
        <f t="shared" ref="H6:H69" si="8">0.05</f>
        <v>0.05</v>
      </c>
      <c r="I6" s="2">
        <v>2</v>
      </c>
      <c r="J6" s="2">
        <v>0</v>
      </c>
      <c r="K6" s="2">
        <v>1</v>
      </c>
      <c r="L6" s="16">
        <f>1</f>
        <v>1</v>
      </c>
      <c r="M6" s="5">
        <f t="shared" si="4"/>
        <v>310</v>
      </c>
      <c r="N6" s="6">
        <f t="shared" si="5"/>
        <v>14.751450000000002</v>
      </c>
      <c r="O6">
        <f t="shared" si="6"/>
        <v>204</v>
      </c>
      <c r="P6" s="7">
        <f t="shared" ref="P6:P69" si="9">O6/N6</f>
        <v>13.82914899891197</v>
      </c>
      <c r="Q6">
        <f>ROUNDUP(몬스터!$P$5/F6, 0)</f>
        <v>7</v>
      </c>
      <c r="R6" s="6">
        <f t="shared" si="7"/>
        <v>10.46337817638266</v>
      </c>
      <c r="S6" s="7">
        <f>B6/몬스터!C5*R6</f>
        <v>104.6337817638266</v>
      </c>
      <c r="U6">
        <f>ROUNDDOWN(R6*몬스터!H5, 0)*몬스터!G5*(1+몬스터!I5)</f>
        <v>37.800000000000004</v>
      </c>
      <c r="V6" s="2">
        <f t="shared" ref="V6:V69" si="10">U6/O6</f>
        <v>0.18529411764705883</v>
      </c>
    </row>
    <row r="7" spans="1:22" x14ac:dyDescent="0.4">
      <c r="A7">
        <v>3</v>
      </c>
      <c r="B7" s="4">
        <f>150*A7</f>
        <v>450</v>
      </c>
      <c r="C7">
        <f t="shared" si="0"/>
        <v>185</v>
      </c>
      <c r="D7">
        <f t="shared" si="1"/>
        <v>20</v>
      </c>
      <c r="E7" s="2">
        <v>0</v>
      </c>
      <c r="F7">
        <f t="shared" si="2"/>
        <v>23</v>
      </c>
      <c r="G7">
        <f t="shared" si="3"/>
        <v>0.67100000000000004</v>
      </c>
      <c r="H7" s="3">
        <f t="shared" si="8"/>
        <v>0.05</v>
      </c>
      <c r="I7" s="2">
        <v>2</v>
      </c>
      <c r="J7" s="2">
        <v>0</v>
      </c>
      <c r="K7" s="2">
        <v>1</v>
      </c>
      <c r="L7" s="16">
        <f>1</f>
        <v>1</v>
      </c>
      <c r="M7" s="5">
        <f t="shared" si="4"/>
        <v>320</v>
      </c>
      <c r="N7" s="6">
        <f t="shared" si="5"/>
        <v>16.204650000000001</v>
      </c>
      <c r="O7">
        <f t="shared" si="6"/>
        <v>222</v>
      </c>
      <c r="P7" s="7">
        <f t="shared" si="9"/>
        <v>13.699771361923892</v>
      </c>
      <c r="Q7">
        <f>ROUNDUP(몬스터!$P$5/F7, 0)</f>
        <v>6</v>
      </c>
      <c r="R7" s="6">
        <f t="shared" si="7"/>
        <v>8.9418777943368095</v>
      </c>
      <c r="S7" s="7">
        <f>B7/몬스터!C5*R7</f>
        <v>134.12816691505213</v>
      </c>
      <c r="U7">
        <f>ROUNDDOWN(R7*몬스터!H5, 0)*몬스터!G5*(1+몬스터!I5)</f>
        <v>31.5</v>
      </c>
      <c r="V7" s="2">
        <f t="shared" si="10"/>
        <v>0.14189189189189189</v>
      </c>
    </row>
    <row r="8" spans="1:22" x14ac:dyDescent="0.4">
      <c r="A8">
        <v>4</v>
      </c>
      <c r="B8" s="4">
        <f>150*A8+50</f>
        <v>650</v>
      </c>
      <c r="C8">
        <f t="shared" si="0"/>
        <v>195</v>
      </c>
      <c r="D8">
        <f t="shared" si="1"/>
        <v>21</v>
      </c>
      <c r="E8" s="2">
        <v>0</v>
      </c>
      <c r="F8">
        <f t="shared" si="2"/>
        <v>24</v>
      </c>
      <c r="G8">
        <f t="shared" si="3"/>
        <v>0.67300000000000004</v>
      </c>
      <c r="H8" s="3">
        <f t="shared" si="8"/>
        <v>0.05</v>
      </c>
      <c r="I8" s="2">
        <v>2</v>
      </c>
      <c r="J8" s="2">
        <v>0</v>
      </c>
      <c r="K8" s="2">
        <v>1</v>
      </c>
      <c r="L8" s="16">
        <f>1</f>
        <v>1</v>
      </c>
      <c r="M8" s="5">
        <f t="shared" si="4"/>
        <v>330</v>
      </c>
      <c r="N8" s="6">
        <f t="shared" si="5"/>
        <v>16.959600000000002</v>
      </c>
      <c r="O8">
        <f t="shared" si="6"/>
        <v>235.95</v>
      </c>
      <c r="P8" s="7">
        <f t="shared" si="9"/>
        <v>13.912474350810159</v>
      </c>
      <c r="Q8">
        <f>ROUNDUP(몬스터!$P$5/F8, 0)</f>
        <v>6</v>
      </c>
      <c r="R8" s="6">
        <f t="shared" si="7"/>
        <v>8.9153046062407135</v>
      </c>
      <c r="S8" s="7">
        <f>B8/몬스터!C5*R8</f>
        <v>193.16493313521548</v>
      </c>
      <c r="U8">
        <f>ROUNDDOWN(R8*몬스터!H5, 0)*몬스터!G5*(1+몬스터!I5)</f>
        <v>31.5</v>
      </c>
      <c r="V8" s="2">
        <f t="shared" si="10"/>
        <v>0.13350286077558807</v>
      </c>
    </row>
    <row r="9" spans="1:22" x14ac:dyDescent="0.4">
      <c r="A9">
        <v>5</v>
      </c>
      <c r="B9" s="4">
        <f>150*A9+75</f>
        <v>825</v>
      </c>
      <c r="C9">
        <f t="shared" si="0"/>
        <v>205</v>
      </c>
      <c r="D9">
        <f t="shared" si="1"/>
        <v>21</v>
      </c>
      <c r="E9" s="2">
        <v>0</v>
      </c>
      <c r="F9">
        <f t="shared" si="2"/>
        <v>25</v>
      </c>
      <c r="G9">
        <f t="shared" si="3"/>
        <v>0.67500000000000004</v>
      </c>
      <c r="H9" s="3">
        <f t="shared" si="8"/>
        <v>0.05</v>
      </c>
      <c r="I9" s="2">
        <v>2</v>
      </c>
      <c r="J9" s="2">
        <v>0</v>
      </c>
      <c r="K9" s="2">
        <v>1</v>
      </c>
      <c r="L9" s="16">
        <f>1</f>
        <v>1</v>
      </c>
      <c r="M9" s="5">
        <f t="shared" si="4"/>
        <v>340</v>
      </c>
      <c r="N9" s="6">
        <f t="shared" si="5"/>
        <v>17.71875</v>
      </c>
      <c r="O9">
        <f t="shared" si="6"/>
        <v>248.04999999999998</v>
      </c>
      <c r="P9" s="7">
        <f t="shared" si="9"/>
        <v>13.999294532627864</v>
      </c>
      <c r="Q9">
        <f>ROUNDUP(몬스터!$P$5/F9, 0)</f>
        <v>6</v>
      </c>
      <c r="R9" s="6">
        <f t="shared" si="7"/>
        <v>8.8888888888888875</v>
      </c>
      <c r="S9" s="7">
        <f>B9/몬스터!C5*R9</f>
        <v>244.4444444444444</v>
      </c>
      <c r="T9" s="7">
        <f>SUM(S5:S9)</f>
        <v>728.84508937697933</v>
      </c>
      <c r="U9">
        <f>ROUNDDOWN(R9*몬스터!H5, 0)*몬스터!G5*(1+몬스터!I5)</f>
        <v>31.5</v>
      </c>
      <c r="V9" s="2">
        <f t="shared" si="10"/>
        <v>0.12699052610360814</v>
      </c>
    </row>
    <row r="10" spans="1:22" x14ac:dyDescent="0.4">
      <c r="A10">
        <v>6</v>
      </c>
      <c r="B10" s="4">
        <f>150*A10</f>
        <v>900</v>
      </c>
      <c r="C10">
        <f t="shared" si="0"/>
        <v>215</v>
      </c>
      <c r="D10">
        <f t="shared" si="1"/>
        <v>21</v>
      </c>
      <c r="E10" s="2">
        <v>0</v>
      </c>
      <c r="F10">
        <f t="shared" si="2"/>
        <v>27</v>
      </c>
      <c r="G10">
        <f t="shared" si="3"/>
        <v>0.67700000000000005</v>
      </c>
      <c r="H10" s="3">
        <f t="shared" si="8"/>
        <v>0.05</v>
      </c>
      <c r="I10" s="2">
        <v>2</v>
      </c>
      <c r="J10" s="2">
        <v>0</v>
      </c>
      <c r="K10" s="2">
        <v>1</v>
      </c>
      <c r="L10" s="16">
        <f>1</f>
        <v>1</v>
      </c>
      <c r="M10" s="5">
        <f t="shared" si="4"/>
        <v>350</v>
      </c>
      <c r="N10" s="6">
        <f t="shared" si="5"/>
        <v>19.19295</v>
      </c>
      <c r="O10">
        <f t="shared" si="6"/>
        <v>260.14999999999998</v>
      </c>
      <c r="P10" s="7">
        <f t="shared" si="9"/>
        <v>13.554456193550235</v>
      </c>
      <c r="Q10">
        <f>ROUNDUP(몬스터!$P$6/F10, 0)</f>
        <v>9</v>
      </c>
      <c r="R10" s="6">
        <f t="shared" si="7"/>
        <v>13.29394387001477</v>
      </c>
      <c r="S10" s="7">
        <f>B10/몬스터!C6*R10</f>
        <v>149.55686853766616</v>
      </c>
      <c r="U10">
        <f>ROUNDDOWN(R10*몬스터!H6, 0)*몬스터!G6*(1+몬스터!I6)</f>
        <v>109.98000000000002</v>
      </c>
      <c r="V10" s="2">
        <f t="shared" si="10"/>
        <v>0.4227561022487028</v>
      </c>
    </row>
    <row r="11" spans="1:22" x14ac:dyDescent="0.4">
      <c r="A11">
        <v>7</v>
      </c>
      <c r="B11" s="4">
        <f>150*A11</f>
        <v>1050</v>
      </c>
      <c r="C11">
        <f t="shared" si="0"/>
        <v>225</v>
      </c>
      <c r="D11">
        <f t="shared" si="1"/>
        <v>22</v>
      </c>
      <c r="E11" s="2">
        <v>0</v>
      </c>
      <c r="F11">
        <f t="shared" si="2"/>
        <v>28</v>
      </c>
      <c r="G11">
        <f t="shared" si="3"/>
        <v>0.67900000000000005</v>
      </c>
      <c r="H11" s="3">
        <f t="shared" si="8"/>
        <v>0.05</v>
      </c>
      <c r="I11" s="2">
        <v>2</v>
      </c>
      <c r="J11" s="2">
        <v>0</v>
      </c>
      <c r="K11" s="2">
        <v>1</v>
      </c>
      <c r="L11" s="16">
        <f>1</f>
        <v>1</v>
      </c>
      <c r="M11" s="5">
        <f t="shared" si="4"/>
        <v>360</v>
      </c>
      <c r="N11" s="6">
        <f t="shared" si="5"/>
        <v>19.962600000000002</v>
      </c>
      <c r="O11">
        <f t="shared" si="6"/>
        <v>274.5</v>
      </c>
      <c r="P11" s="7">
        <f t="shared" si="9"/>
        <v>13.750713834871208</v>
      </c>
      <c r="Q11">
        <f>ROUNDUP(몬스터!$P$6/F11, 0)</f>
        <v>8</v>
      </c>
      <c r="R11" s="6">
        <f t="shared" si="7"/>
        <v>11.782032400589101</v>
      </c>
      <c r="S11" s="7">
        <f>B11/몬스터!C6*R11</f>
        <v>154.63917525773195</v>
      </c>
      <c r="U11">
        <f>ROUNDDOWN(R11*몬스터!H6, 0)*몬스터!G6*(1+몬스터!I6)</f>
        <v>96.232500000000016</v>
      </c>
      <c r="V11" s="2">
        <f t="shared" si="10"/>
        <v>0.35057377049180333</v>
      </c>
    </row>
    <row r="12" spans="1:22" x14ac:dyDescent="0.4">
      <c r="A12">
        <v>8</v>
      </c>
      <c r="B12" s="4">
        <f>150*A12+50</f>
        <v>1250</v>
      </c>
      <c r="C12">
        <f t="shared" si="0"/>
        <v>240</v>
      </c>
      <c r="D12">
        <f t="shared" si="1"/>
        <v>22</v>
      </c>
      <c r="E12" s="2">
        <v>0</v>
      </c>
      <c r="F12">
        <f t="shared" si="2"/>
        <v>29</v>
      </c>
      <c r="G12">
        <f t="shared" si="3"/>
        <v>0.68100000000000005</v>
      </c>
      <c r="H12" s="3">
        <f t="shared" si="8"/>
        <v>0.05</v>
      </c>
      <c r="I12" s="2">
        <v>2</v>
      </c>
      <c r="J12" s="2">
        <v>0</v>
      </c>
      <c r="K12" s="2">
        <v>1</v>
      </c>
      <c r="L12" s="16">
        <f>1</f>
        <v>1</v>
      </c>
      <c r="M12" s="5">
        <f t="shared" si="4"/>
        <v>370</v>
      </c>
      <c r="N12" s="6">
        <f t="shared" si="5"/>
        <v>20.736450000000005</v>
      </c>
      <c r="O12">
        <f t="shared" si="6"/>
        <v>292.8</v>
      </c>
      <c r="P12" s="7">
        <f t="shared" si="9"/>
        <v>14.120063945371554</v>
      </c>
      <c r="Q12">
        <f>ROUNDUP(몬스터!$P$6/F12, 0)</f>
        <v>8</v>
      </c>
      <c r="R12" s="6">
        <f t="shared" si="7"/>
        <v>11.747430249632892</v>
      </c>
      <c r="S12" s="7">
        <f>B12/몬스터!C6*R12</f>
        <v>183.55359765051392</v>
      </c>
      <c r="U12">
        <f>ROUNDDOWN(R12*몬스터!H6, 0)*몬스터!G6*(1+몬스터!I6)</f>
        <v>96.232500000000016</v>
      </c>
      <c r="V12" s="2">
        <f t="shared" si="10"/>
        <v>0.32866290983606561</v>
      </c>
    </row>
    <row r="13" spans="1:22" x14ac:dyDescent="0.4">
      <c r="A13">
        <v>9</v>
      </c>
      <c r="B13" s="4">
        <f>150*A13+50</f>
        <v>1400</v>
      </c>
      <c r="C13">
        <f t="shared" si="0"/>
        <v>250</v>
      </c>
      <c r="D13">
        <f t="shared" si="1"/>
        <v>22</v>
      </c>
      <c r="E13" s="2">
        <v>0</v>
      </c>
      <c r="F13">
        <f t="shared" si="2"/>
        <v>31</v>
      </c>
      <c r="G13">
        <f t="shared" si="3"/>
        <v>0.68300000000000005</v>
      </c>
      <c r="H13" s="3">
        <f t="shared" si="8"/>
        <v>0.05</v>
      </c>
      <c r="I13" s="2">
        <v>2</v>
      </c>
      <c r="J13" s="2">
        <v>0</v>
      </c>
      <c r="K13" s="2">
        <v>1</v>
      </c>
      <c r="L13" s="16">
        <f>1</f>
        <v>1</v>
      </c>
      <c r="M13" s="5">
        <f t="shared" si="4"/>
        <v>380</v>
      </c>
      <c r="N13" s="6">
        <f t="shared" si="5"/>
        <v>22.231650000000002</v>
      </c>
      <c r="O13">
        <f t="shared" si="6"/>
        <v>305</v>
      </c>
      <c r="P13" s="7">
        <f t="shared" si="9"/>
        <v>13.719179638038561</v>
      </c>
      <c r="Q13">
        <f>ROUNDUP(몬스터!$P$6/F13, 0)</f>
        <v>8</v>
      </c>
      <c r="R13" s="6">
        <f t="shared" si="7"/>
        <v>11.713030746705709</v>
      </c>
      <c r="S13" s="7">
        <f>B13/몬스터!C6*R13</f>
        <v>204.9780380673499</v>
      </c>
      <c r="U13">
        <f>ROUNDDOWN(R13*몬스터!H6, 0)*몬스터!G6*(1+몬스터!I6)</f>
        <v>96.232500000000016</v>
      </c>
      <c r="V13" s="2">
        <f t="shared" si="10"/>
        <v>0.315516393442623</v>
      </c>
    </row>
    <row r="14" spans="1:22" x14ac:dyDescent="0.4">
      <c r="A14">
        <v>10</v>
      </c>
      <c r="B14" s="4">
        <f>150*A14+50</f>
        <v>1550</v>
      </c>
      <c r="C14">
        <f t="shared" si="0"/>
        <v>260</v>
      </c>
      <c r="D14">
        <f t="shared" si="1"/>
        <v>23</v>
      </c>
      <c r="E14" s="2">
        <v>0</v>
      </c>
      <c r="F14">
        <f t="shared" si="2"/>
        <v>32</v>
      </c>
      <c r="G14">
        <f t="shared" si="3"/>
        <v>0.68500000000000005</v>
      </c>
      <c r="H14" s="3">
        <f t="shared" si="8"/>
        <v>0.05</v>
      </c>
      <c r="I14" s="2">
        <v>2</v>
      </c>
      <c r="J14" s="2">
        <v>0</v>
      </c>
      <c r="K14" s="2">
        <v>1</v>
      </c>
      <c r="L14" s="16">
        <f>1</f>
        <v>1</v>
      </c>
      <c r="M14" s="5">
        <f t="shared" si="4"/>
        <v>390</v>
      </c>
      <c r="N14" s="6">
        <f t="shared" si="5"/>
        <v>23.016000000000002</v>
      </c>
      <c r="O14">
        <f t="shared" si="6"/>
        <v>319.8</v>
      </c>
      <c r="P14" s="7">
        <f t="shared" si="9"/>
        <v>13.89468196037539</v>
      </c>
      <c r="Q14">
        <f>ROUNDUP(몬스터!$P$6/F14, 0)</f>
        <v>7</v>
      </c>
      <c r="R14" s="6">
        <f t="shared" si="7"/>
        <v>10.21897810218978</v>
      </c>
      <c r="S14" s="7">
        <f>B14/몬스터!C6*R14</f>
        <v>197.99270072992698</v>
      </c>
      <c r="T14" s="7">
        <f>SUM(S10:S14)</f>
        <v>890.72038024318886</v>
      </c>
      <c r="U14">
        <f>ROUNDDOWN(R14*몬스터!H6, 0)*몬스터!G6*(1+몬스터!I6)</f>
        <v>82.485000000000014</v>
      </c>
      <c r="V14" s="2">
        <f t="shared" si="10"/>
        <v>0.25792682926829269</v>
      </c>
    </row>
    <row r="15" spans="1:22" x14ac:dyDescent="0.4">
      <c r="A15">
        <v>11</v>
      </c>
      <c r="B15" s="4">
        <f>160*A15</f>
        <v>1760</v>
      </c>
      <c r="C15">
        <f t="shared" si="0"/>
        <v>270</v>
      </c>
      <c r="D15">
        <f t="shared" si="1"/>
        <v>23</v>
      </c>
      <c r="E15" s="2">
        <v>0</v>
      </c>
      <c r="F15">
        <f t="shared" si="2"/>
        <v>33</v>
      </c>
      <c r="G15">
        <f t="shared" si="3"/>
        <v>0.68700000000000006</v>
      </c>
      <c r="H15" s="3">
        <f t="shared" si="8"/>
        <v>0.05</v>
      </c>
      <c r="I15" s="2">
        <v>2</v>
      </c>
      <c r="J15" s="2">
        <v>0</v>
      </c>
      <c r="K15" s="2">
        <v>1</v>
      </c>
      <c r="L15" s="16">
        <f>1</f>
        <v>1</v>
      </c>
      <c r="M15" s="5">
        <f t="shared" si="4"/>
        <v>400</v>
      </c>
      <c r="N15" s="6">
        <f t="shared" si="5"/>
        <v>23.804550000000003</v>
      </c>
      <c r="O15">
        <f t="shared" si="6"/>
        <v>332.1</v>
      </c>
      <c r="P15" s="7">
        <f t="shared" si="9"/>
        <v>13.951114387795609</v>
      </c>
      <c r="Q15">
        <f>ROUNDUP(몬스터!$P$7/F15, 0)</f>
        <v>8</v>
      </c>
      <c r="R15" s="6">
        <f t="shared" si="7"/>
        <v>11.644832605531295</v>
      </c>
      <c r="S15" s="7">
        <f>B15/몬스터!C7*R15</f>
        <v>157.6531183518083</v>
      </c>
      <c r="U15">
        <f>ROUNDDOWN(R15*몬스터!H7, 0)*몬스터!G7*(1+몬스터!I7)</f>
        <v>156.55499999999998</v>
      </c>
      <c r="V15" s="2">
        <f t="shared" si="10"/>
        <v>0.47140921409214082</v>
      </c>
    </row>
    <row r="16" spans="1:22" x14ac:dyDescent="0.4">
      <c r="A16">
        <v>12</v>
      </c>
      <c r="B16" s="4">
        <f>160*A16</f>
        <v>1920</v>
      </c>
      <c r="C16">
        <f t="shared" si="0"/>
        <v>280</v>
      </c>
      <c r="D16">
        <f t="shared" si="1"/>
        <v>23</v>
      </c>
      <c r="E16" s="2">
        <v>0</v>
      </c>
      <c r="F16">
        <f t="shared" si="2"/>
        <v>35</v>
      </c>
      <c r="G16">
        <f t="shared" si="3"/>
        <v>0.68900000000000006</v>
      </c>
      <c r="H16" s="3">
        <f t="shared" si="8"/>
        <v>0.05</v>
      </c>
      <c r="I16" s="2">
        <v>2</v>
      </c>
      <c r="J16" s="2">
        <v>0</v>
      </c>
      <c r="K16" s="2">
        <v>1</v>
      </c>
      <c r="L16" s="16">
        <f>1</f>
        <v>1</v>
      </c>
      <c r="M16" s="5">
        <f t="shared" si="4"/>
        <v>410</v>
      </c>
      <c r="N16" s="6">
        <f t="shared" si="5"/>
        <v>25.320750000000004</v>
      </c>
      <c r="O16">
        <f t="shared" si="6"/>
        <v>344.4</v>
      </c>
      <c r="P16" s="7">
        <f t="shared" si="9"/>
        <v>13.601492846775862</v>
      </c>
      <c r="Q16">
        <f>ROUNDUP(몬스터!$P$7/F16, 0)</f>
        <v>8</v>
      </c>
      <c r="R16" s="6">
        <f t="shared" si="7"/>
        <v>11.611030478955007</v>
      </c>
      <c r="S16" s="7">
        <f>B16/몬스터!C7*R16</f>
        <v>171.48598861225858</v>
      </c>
      <c r="U16">
        <f>ROUNDDOWN(R16*몬스터!H7, 0)*몬스터!G7*(1+몬스터!I7)</f>
        <v>156.55499999999998</v>
      </c>
      <c r="V16" s="2">
        <f t="shared" si="10"/>
        <v>0.45457317073170728</v>
      </c>
    </row>
    <row r="17" spans="1:22" x14ac:dyDescent="0.4">
      <c r="A17">
        <v>13</v>
      </c>
      <c r="B17" s="4">
        <f>160*A17+40</f>
        <v>2120</v>
      </c>
      <c r="C17">
        <f t="shared" si="0"/>
        <v>295</v>
      </c>
      <c r="D17">
        <f t="shared" si="1"/>
        <v>23</v>
      </c>
      <c r="E17" s="2">
        <v>0</v>
      </c>
      <c r="F17">
        <f t="shared" si="2"/>
        <v>36</v>
      </c>
      <c r="G17">
        <f t="shared" si="3"/>
        <v>0.69100000000000006</v>
      </c>
      <c r="H17" s="3">
        <f t="shared" si="8"/>
        <v>0.05</v>
      </c>
      <c r="I17" s="2">
        <v>2</v>
      </c>
      <c r="J17" s="2">
        <v>0</v>
      </c>
      <c r="K17" s="2">
        <v>1</v>
      </c>
      <c r="L17" s="16">
        <f>1</f>
        <v>1</v>
      </c>
      <c r="M17" s="5">
        <f t="shared" si="4"/>
        <v>420</v>
      </c>
      <c r="N17" s="6">
        <f t="shared" si="5"/>
        <v>26.119800000000001</v>
      </c>
      <c r="O17">
        <f t="shared" si="6"/>
        <v>362.85</v>
      </c>
      <c r="P17" s="7">
        <f t="shared" si="9"/>
        <v>13.891760273815267</v>
      </c>
      <c r="Q17">
        <f>ROUNDUP(몬스터!$P$7/F17, 0)</f>
        <v>8</v>
      </c>
      <c r="R17" s="6">
        <f t="shared" si="7"/>
        <v>11.577424023154848</v>
      </c>
      <c r="S17" s="7">
        <f>B17/몬스터!C7*R17</f>
        <v>188.80106868529441</v>
      </c>
      <c r="U17">
        <f>ROUNDDOWN(R17*몬스터!H7, 0)*몬스터!G7*(1+몬스터!I7)</f>
        <v>156.55499999999998</v>
      </c>
      <c r="V17" s="2">
        <f t="shared" si="10"/>
        <v>0.43145928069450179</v>
      </c>
    </row>
    <row r="18" spans="1:22" x14ac:dyDescent="0.4">
      <c r="A18">
        <v>14</v>
      </c>
      <c r="B18" s="4">
        <f>160*A18+120</f>
        <v>2360</v>
      </c>
      <c r="C18">
        <f t="shared" si="0"/>
        <v>305</v>
      </c>
      <c r="D18">
        <f t="shared" si="1"/>
        <v>24</v>
      </c>
      <c r="E18" s="2">
        <v>0</v>
      </c>
      <c r="F18">
        <f t="shared" si="2"/>
        <v>37</v>
      </c>
      <c r="G18">
        <f t="shared" si="3"/>
        <v>0.69300000000000006</v>
      </c>
      <c r="H18" s="3">
        <f t="shared" si="8"/>
        <v>0.05</v>
      </c>
      <c r="I18" s="2">
        <v>2</v>
      </c>
      <c r="J18" s="2">
        <v>0</v>
      </c>
      <c r="K18" s="2">
        <v>1</v>
      </c>
      <c r="L18" s="16">
        <f>1</f>
        <v>1</v>
      </c>
      <c r="M18" s="5">
        <f t="shared" si="4"/>
        <v>430</v>
      </c>
      <c r="N18" s="6">
        <f t="shared" si="5"/>
        <v>26.923050000000003</v>
      </c>
      <c r="O18">
        <f t="shared" si="6"/>
        <v>378.2</v>
      </c>
      <c r="P18" s="7">
        <f t="shared" si="9"/>
        <v>14.047442618871187</v>
      </c>
      <c r="Q18">
        <f>ROUNDUP(몬스터!$P$7/F18, 0)</f>
        <v>7</v>
      </c>
      <c r="R18" s="6">
        <f t="shared" si="7"/>
        <v>10.1010101010101</v>
      </c>
      <c r="S18" s="7">
        <f>B18/몬스터!C7*R18</f>
        <v>183.37218337218334</v>
      </c>
      <c r="U18">
        <f>ROUNDDOWN(R18*몬스터!H7, 0)*몬스터!G7*(1+몬스터!I7)</f>
        <v>134.19</v>
      </c>
      <c r="V18" s="2">
        <f t="shared" si="10"/>
        <v>0.35481226864093074</v>
      </c>
    </row>
    <row r="19" spans="1:22" x14ac:dyDescent="0.4">
      <c r="A19">
        <v>15</v>
      </c>
      <c r="B19" s="4">
        <f>160*A19+100</f>
        <v>2500</v>
      </c>
      <c r="C19">
        <f t="shared" si="0"/>
        <v>315</v>
      </c>
      <c r="D19">
        <f t="shared" si="1"/>
        <v>24</v>
      </c>
      <c r="E19" s="2">
        <v>0</v>
      </c>
      <c r="F19">
        <f t="shared" si="2"/>
        <v>39</v>
      </c>
      <c r="G19">
        <f t="shared" si="3"/>
        <v>0.69500000000000006</v>
      </c>
      <c r="H19" s="3">
        <f t="shared" si="8"/>
        <v>0.05</v>
      </c>
      <c r="I19" s="2">
        <v>2</v>
      </c>
      <c r="J19" s="2">
        <v>0</v>
      </c>
      <c r="K19" s="2">
        <v>1</v>
      </c>
      <c r="L19" s="16">
        <f>1</f>
        <v>1</v>
      </c>
      <c r="M19" s="5">
        <f t="shared" si="4"/>
        <v>440</v>
      </c>
      <c r="N19" s="6">
        <f t="shared" si="5"/>
        <v>28.460250000000006</v>
      </c>
      <c r="O19">
        <f t="shared" si="6"/>
        <v>390.6</v>
      </c>
      <c r="P19" s="7">
        <f t="shared" si="9"/>
        <v>13.724405091311564</v>
      </c>
      <c r="Q19">
        <f>ROUNDUP(몬스터!$P$7/F19, 0)</f>
        <v>7</v>
      </c>
      <c r="R19" s="6">
        <f t="shared" si="7"/>
        <v>10.071942446043165</v>
      </c>
      <c r="S19" s="7">
        <f>B19/몬스터!C7*R19</f>
        <v>193.69120088544548</v>
      </c>
      <c r="T19" s="7">
        <f t="shared" ref="T19" si="11">SUM(S15:S19)</f>
        <v>895.00355990699006</v>
      </c>
      <c r="U19">
        <f>ROUNDDOWN(R19*몬스터!H7, 0)*몬스터!G7*(1+몬스터!I7)</f>
        <v>134.19</v>
      </c>
      <c r="V19" s="2">
        <f t="shared" si="10"/>
        <v>0.34354838709677415</v>
      </c>
    </row>
    <row r="20" spans="1:22" x14ac:dyDescent="0.4">
      <c r="A20">
        <v>16</v>
      </c>
      <c r="B20" s="4">
        <f>160*A20</f>
        <v>2560</v>
      </c>
      <c r="C20">
        <f t="shared" si="0"/>
        <v>325</v>
      </c>
      <c r="D20">
        <f t="shared" si="1"/>
        <v>24</v>
      </c>
      <c r="E20" s="2">
        <v>0</v>
      </c>
      <c r="F20">
        <f t="shared" si="2"/>
        <v>40</v>
      </c>
      <c r="G20">
        <f t="shared" si="3"/>
        <v>0.69700000000000006</v>
      </c>
      <c r="H20" s="3">
        <f t="shared" si="8"/>
        <v>0.05</v>
      </c>
      <c r="I20" s="2">
        <v>2</v>
      </c>
      <c r="J20" s="2">
        <v>0</v>
      </c>
      <c r="K20" s="2">
        <v>1</v>
      </c>
      <c r="L20" s="16">
        <f>1</f>
        <v>1</v>
      </c>
      <c r="M20" s="5">
        <f t="shared" si="4"/>
        <v>450</v>
      </c>
      <c r="N20" s="6">
        <f t="shared" si="5"/>
        <v>29.274000000000004</v>
      </c>
      <c r="O20">
        <f t="shared" si="6"/>
        <v>403</v>
      </c>
      <c r="P20" s="7">
        <f t="shared" si="9"/>
        <v>13.76648220263715</v>
      </c>
      <c r="Q20">
        <f>ROUNDUP(몬스터!$P$8/F20, 0)</f>
        <v>9</v>
      </c>
      <c r="R20" s="6">
        <f t="shared" si="7"/>
        <v>12.91248206599713</v>
      </c>
      <c r="S20" s="7">
        <f>B20/몬스터!C8*R20</f>
        <v>183.64418938307028</v>
      </c>
      <c r="U20">
        <f>ROUNDDOWN(R20*몬스터!H$8, 0)*몬스터!G$8*(1+몬스터!I$8)</f>
        <v>240.24</v>
      </c>
      <c r="V20" s="2">
        <f t="shared" si="10"/>
        <v>0.59612903225806457</v>
      </c>
    </row>
    <row r="21" spans="1:22" x14ac:dyDescent="0.4">
      <c r="A21">
        <v>17</v>
      </c>
      <c r="B21" s="4">
        <f>160*A21</f>
        <v>2720</v>
      </c>
      <c r="C21">
        <f t="shared" si="0"/>
        <v>335</v>
      </c>
      <c r="D21">
        <f t="shared" si="1"/>
        <v>25</v>
      </c>
      <c r="E21" s="2">
        <v>0</v>
      </c>
      <c r="F21">
        <f t="shared" si="2"/>
        <v>41</v>
      </c>
      <c r="G21">
        <f t="shared" si="3"/>
        <v>0.69900000000000007</v>
      </c>
      <c r="H21" s="3">
        <f t="shared" si="8"/>
        <v>0.05</v>
      </c>
      <c r="I21" s="2">
        <v>2</v>
      </c>
      <c r="J21" s="2">
        <v>0</v>
      </c>
      <c r="K21" s="2">
        <v>1</v>
      </c>
      <c r="L21" s="16">
        <f>1</f>
        <v>1</v>
      </c>
      <c r="M21" s="5">
        <f t="shared" si="4"/>
        <v>460</v>
      </c>
      <c r="N21" s="6">
        <f t="shared" si="5"/>
        <v>30.091950000000004</v>
      </c>
      <c r="O21">
        <f t="shared" si="6"/>
        <v>418.75</v>
      </c>
      <c r="P21" s="7">
        <f t="shared" si="9"/>
        <v>13.915681768712229</v>
      </c>
      <c r="Q21">
        <f>ROUNDUP(몬스터!$P$8/F21, 0)</f>
        <v>9</v>
      </c>
      <c r="R21" s="6">
        <f t="shared" si="7"/>
        <v>12.875536480686694</v>
      </c>
      <c r="S21" s="7">
        <f>B21/몬스터!C8*R21</f>
        <v>194.56366237482115</v>
      </c>
      <c r="U21">
        <f>ROUNDDOWN(R21*몬스터!H$8, 0)*몬스터!G$8*(1+몬스터!I$8)</f>
        <v>240.24</v>
      </c>
      <c r="V21" s="2">
        <f t="shared" si="10"/>
        <v>0.57370746268656714</v>
      </c>
    </row>
    <row r="22" spans="1:22" x14ac:dyDescent="0.4">
      <c r="A22">
        <v>18</v>
      </c>
      <c r="B22" s="4">
        <f>160*A22</f>
        <v>2880</v>
      </c>
      <c r="C22">
        <f t="shared" si="0"/>
        <v>350</v>
      </c>
      <c r="D22">
        <f t="shared" si="1"/>
        <v>25</v>
      </c>
      <c r="E22" s="2">
        <v>0</v>
      </c>
      <c r="F22">
        <f t="shared" si="2"/>
        <v>43</v>
      </c>
      <c r="G22">
        <f t="shared" si="3"/>
        <v>0.70100000000000007</v>
      </c>
      <c r="H22" s="3">
        <f t="shared" si="8"/>
        <v>0.05</v>
      </c>
      <c r="I22" s="2">
        <v>2</v>
      </c>
      <c r="J22" s="2">
        <v>0</v>
      </c>
      <c r="K22" s="2">
        <v>1</v>
      </c>
      <c r="L22" s="16">
        <f>1</f>
        <v>1</v>
      </c>
      <c r="M22" s="5">
        <f t="shared" si="4"/>
        <v>470</v>
      </c>
      <c r="N22" s="6">
        <f t="shared" si="5"/>
        <v>31.650150000000007</v>
      </c>
      <c r="O22">
        <f t="shared" si="6"/>
        <v>437.5</v>
      </c>
      <c r="P22" s="7">
        <f t="shared" si="9"/>
        <v>13.822999259087236</v>
      </c>
      <c r="Q22">
        <f>ROUNDUP(몬스터!$P$8/F22, 0)</f>
        <v>8</v>
      </c>
      <c r="R22" s="6">
        <f t="shared" si="7"/>
        <v>11.412268188302424</v>
      </c>
      <c r="S22" s="7">
        <f>B22/몬스터!C8*R22</f>
        <v>182.59629101283878</v>
      </c>
      <c r="U22">
        <f>ROUNDDOWN(R22*몬스터!H$8, 0)*몬스터!G$8*(1+몬스터!I$8)</f>
        <v>210.21</v>
      </c>
      <c r="V22" s="2">
        <f t="shared" si="10"/>
        <v>0.48048000000000002</v>
      </c>
    </row>
    <row r="23" spans="1:22" x14ac:dyDescent="0.4">
      <c r="A23">
        <v>19</v>
      </c>
      <c r="B23" s="4">
        <f>160*A23</f>
        <v>3040</v>
      </c>
      <c r="C23">
        <f t="shared" si="0"/>
        <v>360</v>
      </c>
      <c r="D23">
        <f t="shared" si="1"/>
        <v>25</v>
      </c>
      <c r="E23" s="2">
        <v>0</v>
      </c>
      <c r="F23">
        <f t="shared" si="2"/>
        <v>44</v>
      </c>
      <c r="G23">
        <f t="shared" si="3"/>
        <v>0.70300000000000007</v>
      </c>
      <c r="H23" s="3">
        <f t="shared" si="8"/>
        <v>0.05</v>
      </c>
      <c r="I23" s="2">
        <v>2</v>
      </c>
      <c r="J23" s="2">
        <v>0</v>
      </c>
      <c r="K23" s="2">
        <v>1</v>
      </c>
      <c r="L23" s="16">
        <f>1</f>
        <v>1</v>
      </c>
      <c r="M23" s="5">
        <f t="shared" si="4"/>
        <v>480</v>
      </c>
      <c r="N23" s="6">
        <f t="shared" si="5"/>
        <v>32.4786</v>
      </c>
      <c r="O23">
        <f t="shared" si="6"/>
        <v>450</v>
      </c>
      <c r="P23" s="7">
        <f t="shared" si="9"/>
        <v>13.855277013171749</v>
      </c>
      <c r="Q23">
        <f>ROUNDUP(몬스터!$P$8/F23, 0)</f>
        <v>8</v>
      </c>
      <c r="R23" s="6">
        <f t="shared" si="7"/>
        <v>11.379800853485063</v>
      </c>
      <c r="S23" s="7">
        <f>B23/몬스터!C8*R23</f>
        <v>192.19219219219218</v>
      </c>
      <c r="U23">
        <f>ROUNDDOWN(R23*몬스터!H$8, 0)*몬스터!G$8*(1+몬스터!I$8)</f>
        <v>210.21</v>
      </c>
      <c r="V23" s="2">
        <f t="shared" si="10"/>
        <v>0.46713333333333334</v>
      </c>
    </row>
    <row r="24" spans="1:22" x14ac:dyDescent="0.4">
      <c r="A24">
        <v>20</v>
      </c>
      <c r="B24" s="4">
        <f>160*A24+80</f>
        <v>3280</v>
      </c>
      <c r="C24">
        <f t="shared" si="0"/>
        <v>370</v>
      </c>
      <c r="D24">
        <f t="shared" si="1"/>
        <v>26</v>
      </c>
      <c r="E24" s="2">
        <v>0</v>
      </c>
      <c r="F24">
        <f t="shared" si="2"/>
        <v>45</v>
      </c>
      <c r="G24">
        <f t="shared" si="3"/>
        <v>0.70500000000000007</v>
      </c>
      <c r="H24" s="3">
        <f t="shared" si="8"/>
        <v>0.05</v>
      </c>
      <c r="I24" s="2">
        <v>2</v>
      </c>
      <c r="J24" s="2">
        <v>0</v>
      </c>
      <c r="K24" s="2">
        <v>1</v>
      </c>
      <c r="L24" s="16">
        <f>1</f>
        <v>1</v>
      </c>
      <c r="M24" s="5">
        <f t="shared" si="4"/>
        <v>490</v>
      </c>
      <c r="N24" s="6">
        <f t="shared" si="5"/>
        <v>33.311250000000001</v>
      </c>
      <c r="O24">
        <f t="shared" si="6"/>
        <v>466.2</v>
      </c>
      <c r="P24" s="7">
        <f t="shared" si="9"/>
        <v>13.995271867612292</v>
      </c>
      <c r="Q24">
        <f>ROUNDUP(몬스터!$P$8/F24, 0)</f>
        <v>8</v>
      </c>
      <c r="R24" s="6">
        <f t="shared" si="7"/>
        <v>11.347517730496453</v>
      </c>
      <c r="S24" s="7">
        <f>B24/몬스터!C8*R24</f>
        <v>206.77698975571312</v>
      </c>
      <c r="T24" s="7">
        <f t="shared" ref="T24" si="12">SUM(S20:S24)</f>
        <v>959.77332471863554</v>
      </c>
      <c r="U24">
        <f>ROUNDDOWN(R24*몬스터!H$8, 0)*몬스터!G$8*(1+몬스터!I$8)</f>
        <v>210.21</v>
      </c>
      <c r="V24" s="2">
        <f t="shared" si="10"/>
        <v>0.4509009009009009</v>
      </c>
    </row>
    <row r="25" spans="1:22" x14ac:dyDescent="0.4">
      <c r="A25">
        <v>21</v>
      </c>
      <c r="B25" s="4">
        <f>160*A25</f>
        <v>3360</v>
      </c>
      <c r="C25">
        <f t="shared" si="0"/>
        <v>380</v>
      </c>
      <c r="D25">
        <f t="shared" si="1"/>
        <v>26</v>
      </c>
      <c r="E25" s="2">
        <v>0</v>
      </c>
      <c r="F25">
        <f t="shared" si="2"/>
        <v>47</v>
      </c>
      <c r="G25">
        <f t="shared" si="3"/>
        <v>0.70700000000000007</v>
      </c>
      <c r="H25" s="3">
        <f t="shared" si="8"/>
        <v>0.05</v>
      </c>
      <c r="I25" s="2">
        <v>2</v>
      </c>
      <c r="J25" s="2">
        <v>0</v>
      </c>
      <c r="K25" s="2">
        <v>1</v>
      </c>
      <c r="L25" s="16">
        <f>1</f>
        <v>1</v>
      </c>
      <c r="M25" s="5">
        <f t="shared" si="4"/>
        <v>500</v>
      </c>
      <c r="N25" s="6">
        <f t="shared" si="5"/>
        <v>34.890450000000008</v>
      </c>
      <c r="O25">
        <f t="shared" si="6"/>
        <v>478.8</v>
      </c>
      <c r="P25" s="7">
        <f t="shared" si="9"/>
        <v>13.722952842396699</v>
      </c>
      <c r="Q25">
        <f>ROUNDUP(몬스터!$P$11/F25, 0)</f>
        <v>10</v>
      </c>
      <c r="R25" s="6">
        <f t="shared" si="7"/>
        <v>14.144271570014142</v>
      </c>
      <c r="S25" s="7">
        <f>B25/몬스터!C11*R25</f>
        <v>206.62935858803269</v>
      </c>
      <c r="U25">
        <f>ROUNDDOWN(R25*몬스터!H$11, 0)*몬스터!G$11*(1+몬스터!I$11)</f>
        <v>349.92</v>
      </c>
      <c r="V25" s="2">
        <f t="shared" si="10"/>
        <v>0.73082706766917294</v>
      </c>
    </row>
    <row r="26" spans="1:22" x14ac:dyDescent="0.4">
      <c r="A26">
        <v>22</v>
      </c>
      <c r="B26" s="4">
        <f>160*A26</f>
        <v>3520</v>
      </c>
      <c r="C26">
        <f t="shared" si="0"/>
        <v>390</v>
      </c>
      <c r="D26">
        <f t="shared" si="1"/>
        <v>26</v>
      </c>
      <c r="E26" s="2">
        <v>0</v>
      </c>
      <c r="F26">
        <f t="shared" si="2"/>
        <v>48</v>
      </c>
      <c r="G26">
        <f t="shared" si="3"/>
        <v>0.70900000000000007</v>
      </c>
      <c r="H26" s="3">
        <f t="shared" si="8"/>
        <v>0.05</v>
      </c>
      <c r="I26" s="2">
        <v>2</v>
      </c>
      <c r="J26" s="2">
        <v>0</v>
      </c>
      <c r="K26" s="2">
        <v>1</v>
      </c>
      <c r="L26" s="16">
        <f>1</f>
        <v>1</v>
      </c>
      <c r="M26" s="5">
        <f t="shared" si="4"/>
        <v>510</v>
      </c>
      <c r="N26" s="6">
        <f t="shared" si="5"/>
        <v>35.733600000000003</v>
      </c>
      <c r="O26">
        <f t="shared" si="6"/>
        <v>491.4</v>
      </c>
      <c r="P26" s="7">
        <f t="shared" si="9"/>
        <v>13.751763046544427</v>
      </c>
      <c r="Q26">
        <f>ROUNDUP(몬스터!$P$11/F26, 0)</f>
        <v>9</v>
      </c>
      <c r="R26" s="6">
        <f t="shared" si="7"/>
        <v>12.693935119887163</v>
      </c>
      <c r="S26" s="7">
        <f>B26/몬스터!C11*R26</f>
        <v>194.27239835653398</v>
      </c>
      <c r="U26">
        <f>ROUNDDOWN(R26*몬스터!H$11, 0)*몬스터!G$11*(1+몬스터!I$11)</f>
        <v>311.04000000000002</v>
      </c>
      <c r="V26" s="2">
        <f t="shared" si="10"/>
        <v>0.63296703296703305</v>
      </c>
    </row>
    <row r="27" spans="1:22" x14ac:dyDescent="0.4">
      <c r="A27">
        <v>23</v>
      </c>
      <c r="B27" s="4">
        <f>160*A27</f>
        <v>3680</v>
      </c>
      <c r="C27">
        <f t="shared" si="0"/>
        <v>405</v>
      </c>
      <c r="D27">
        <f t="shared" si="1"/>
        <v>26</v>
      </c>
      <c r="E27" s="2">
        <v>0</v>
      </c>
      <c r="F27">
        <f t="shared" si="2"/>
        <v>49</v>
      </c>
      <c r="G27">
        <f t="shared" si="3"/>
        <v>0.71100000000000008</v>
      </c>
      <c r="H27" s="3">
        <f t="shared" si="8"/>
        <v>0.05</v>
      </c>
      <c r="I27" s="2">
        <v>2</v>
      </c>
      <c r="J27" s="2">
        <v>0</v>
      </c>
      <c r="K27" s="2">
        <v>1</v>
      </c>
      <c r="L27" s="16">
        <f>1</f>
        <v>1</v>
      </c>
      <c r="M27" s="5">
        <f t="shared" si="4"/>
        <v>520</v>
      </c>
      <c r="N27" s="6">
        <f t="shared" si="5"/>
        <v>36.580950000000009</v>
      </c>
      <c r="O27">
        <f t="shared" si="6"/>
        <v>510.3</v>
      </c>
      <c r="P27" s="7">
        <f t="shared" si="9"/>
        <v>13.949883750968739</v>
      </c>
      <c r="Q27">
        <f>ROUNDUP(몬스터!$P$11/F27, 0)</f>
        <v>9</v>
      </c>
      <c r="R27" s="6">
        <f t="shared" si="7"/>
        <v>12.658227848101264</v>
      </c>
      <c r="S27" s="7">
        <f>B27/몬스터!C11*R27</f>
        <v>202.53164556962022</v>
      </c>
      <c r="U27">
        <f>ROUNDDOWN(R27*몬스터!H$11, 0)*몬스터!G$11*(1+몬스터!I$11)</f>
        <v>311.04000000000002</v>
      </c>
      <c r="V27" s="2">
        <f t="shared" si="10"/>
        <v>0.60952380952380958</v>
      </c>
    </row>
    <row r="28" spans="1:22" x14ac:dyDescent="0.4">
      <c r="A28">
        <v>24</v>
      </c>
      <c r="B28" s="4">
        <f>160*A28</f>
        <v>3840</v>
      </c>
      <c r="C28">
        <f t="shared" si="0"/>
        <v>415</v>
      </c>
      <c r="D28">
        <f t="shared" si="1"/>
        <v>27</v>
      </c>
      <c r="E28" s="2">
        <v>0</v>
      </c>
      <c r="F28">
        <f t="shared" si="2"/>
        <v>51</v>
      </c>
      <c r="G28">
        <f t="shared" si="3"/>
        <v>0.71300000000000008</v>
      </c>
      <c r="H28" s="3">
        <f t="shared" si="8"/>
        <v>0.05</v>
      </c>
      <c r="I28" s="2">
        <v>2</v>
      </c>
      <c r="J28" s="2">
        <v>0</v>
      </c>
      <c r="K28" s="2">
        <v>1</v>
      </c>
      <c r="L28" s="16">
        <f>1</f>
        <v>1</v>
      </c>
      <c r="M28" s="5">
        <f t="shared" si="4"/>
        <v>530</v>
      </c>
      <c r="N28" s="6">
        <f t="shared" si="5"/>
        <v>38.181150000000009</v>
      </c>
      <c r="O28">
        <f t="shared" si="6"/>
        <v>527.04999999999995</v>
      </c>
      <c r="P28" s="7">
        <f t="shared" si="9"/>
        <v>13.803932045001259</v>
      </c>
      <c r="Q28">
        <f>ROUNDUP(몬스터!$P$11/F28, 0)</f>
        <v>9</v>
      </c>
      <c r="R28" s="6">
        <f t="shared" si="7"/>
        <v>12.622720897615707</v>
      </c>
      <c r="S28" s="7">
        <f>B28/몬스터!C11*R28</f>
        <v>210.74455759497528</v>
      </c>
      <c r="U28">
        <f>ROUNDDOWN(R28*몬스터!H$11, 0)*몬스터!G$11*(1+몬스터!I$11)</f>
        <v>311.04000000000002</v>
      </c>
      <c r="V28" s="2">
        <f t="shared" si="10"/>
        <v>0.59015273693198</v>
      </c>
    </row>
    <row r="29" spans="1:22" x14ac:dyDescent="0.4">
      <c r="A29">
        <v>25</v>
      </c>
      <c r="B29" s="4">
        <f>160*A29</f>
        <v>4000</v>
      </c>
      <c r="C29">
        <f t="shared" si="0"/>
        <v>425</v>
      </c>
      <c r="D29">
        <f t="shared" si="1"/>
        <v>27</v>
      </c>
      <c r="E29" s="2">
        <v>0</v>
      </c>
      <c r="F29">
        <f t="shared" si="2"/>
        <v>52</v>
      </c>
      <c r="G29">
        <f t="shared" si="3"/>
        <v>0.71500000000000008</v>
      </c>
      <c r="H29" s="3">
        <f t="shared" si="8"/>
        <v>0.05</v>
      </c>
      <c r="I29" s="2">
        <v>2</v>
      </c>
      <c r="J29" s="2">
        <v>0</v>
      </c>
      <c r="K29" s="2">
        <v>1</v>
      </c>
      <c r="L29" s="16">
        <f>1</f>
        <v>1</v>
      </c>
      <c r="M29" s="5">
        <f t="shared" si="4"/>
        <v>540</v>
      </c>
      <c r="N29" s="6">
        <f t="shared" si="5"/>
        <v>39.039000000000009</v>
      </c>
      <c r="O29">
        <f t="shared" si="6"/>
        <v>539.75</v>
      </c>
      <c r="P29" s="7">
        <f t="shared" si="9"/>
        <v>13.825917672071515</v>
      </c>
      <c r="Q29">
        <f>ROUNDUP(몬스터!$P$11/F29, 0)</f>
        <v>9</v>
      </c>
      <c r="R29" s="6">
        <f t="shared" si="7"/>
        <v>12.587412587412587</v>
      </c>
      <c r="S29" s="7">
        <f>B29/몬스터!C11*R29</f>
        <v>218.91152325934931</v>
      </c>
      <c r="T29" s="7">
        <f t="shared" ref="T29" si="13">SUM(S25:S29)</f>
        <v>1033.0894833685115</v>
      </c>
      <c r="U29">
        <f>ROUNDDOWN(R29*몬스터!H$11, 0)*몬스터!G$11*(1+몬스터!I$11)</f>
        <v>311.04000000000002</v>
      </c>
      <c r="V29" s="2">
        <f t="shared" si="10"/>
        <v>0.5762667901806392</v>
      </c>
    </row>
    <row r="30" spans="1:22" x14ac:dyDescent="0.4">
      <c r="A30">
        <v>26</v>
      </c>
      <c r="B30" s="4">
        <f>170*A30</f>
        <v>4420</v>
      </c>
      <c r="C30">
        <f t="shared" si="0"/>
        <v>435</v>
      </c>
      <c r="D30">
        <f t="shared" si="1"/>
        <v>27</v>
      </c>
      <c r="E30" s="2">
        <v>0</v>
      </c>
      <c r="F30">
        <f t="shared" si="2"/>
        <v>53</v>
      </c>
      <c r="G30">
        <f t="shared" si="3"/>
        <v>0.71700000000000008</v>
      </c>
      <c r="H30" s="3">
        <f t="shared" si="8"/>
        <v>0.05</v>
      </c>
      <c r="I30" s="2">
        <v>2</v>
      </c>
      <c r="J30" s="2">
        <v>0</v>
      </c>
      <c r="K30" s="2">
        <v>1</v>
      </c>
      <c r="L30" s="16">
        <f>1</f>
        <v>1</v>
      </c>
      <c r="M30" s="5">
        <f t="shared" si="4"/>
        <v>550</v>
      </c>
      <c r="N30" s="6">
        <f t="shared" si="5"/>
        <v>39.901050000000005</v>
      </c>
      <c r="O30">
        <f t="shared" si="6"/>
        <v>552.45000000000005</v>
      </c>
      <c r="P30" s="7">
        <f t="shared" si="9"/>
        <v>13.845500306382915</v>
      </c>
      <c r="Q30">
        <f>ROUNDUP(몬스터!$P$12/F30, 0)</f>
        <v>10</v>
      </c>
      <c r="R30" s="6">
        <f t="shared" si="7"/>
        <v>13.947001394700138</v>
      </c>
      <c r="S30" s="7">
        <f>B30/몬스터!C12*R30</f>
        <v>220.16337915919505</v>
      </c>
      <c r="U30">
        <f>ROUNDDOWN(R30*몬스터!H$12, 0)*몬스터!G$12*(1+몬스터!I$12)</f>
        <v>420.86249999999995</v>
      </c>
      <c r="V30" s="2">
        <f t="shared" si="10"/>
        <v>0.76181102362204711</v>
      </c>
    </row>
    <row r="31" spans="1:22" x14ac:dyDescent="0.4">
      <c r="A31">
        <v>27</v>
      </c>
      <c r="B31" s="4">
        <f>170*A31</f>
        <v>4590</v>
      </c>
      <c r="C31">
        <f t="shared" si="0"/>
        <v>445</v>
      </c>
      <c r="D31">
        <f t="shared" si="1"/>
        <v>28</v>
      </c>
      <c r="E31" s="2">
        <v>0</v>
      </c>
      <c r="F31">
        <f t="shared" si="2"/>
        <v>55</v>
      </c>
      <c r="G31">
        <f t="shared" si="3"/>
        <v>0.71900000000000008</v>
      </c>
      <c r="H31" s="3">
        <f t="shared" si="8"/>
        <v>0.05</v>
      </c>
      <c r="I31" s="2">
        <v>2</v>
      </c>
      <c r="J31" s="2">
        <v>0</v>
      </c>
      <c r="K31" s="2">
        <v>1</v>
      </c>
      <c r="L31" s="16">
        <f>1</f>
        <v>1</v>
      </c>
      <c r="M31" s="5">
        <f t="shared" si="4"/>
        <v>560</v>
      </c>
      <c r="N31" s="6">
        <f t="shared" si="5"/>
        <v>41.522250000000007</v>
      </c>
      <c r="O31">
        <f t="shared" si="6"/>
        <v>569.6</v>
      </c>
      <c r="P31" s="7">
        <f t="shared" si="9"/>
        <v>13.717946402230128</v>
      </c>
      <c r="Q31">
        <f>ROUNDUP(몬스터!$P$12/F31, 0)</f>
        <v>10</v>
      </c>
      <c r="R31" s="6">
        <f t="shared" si="7"/>
        <v>13.908205841446453</v>
      </c>
      <c r="S31" s="7">
        <f>B31/몬스터!C12*R31</f>
        <v>227.99523147228291</v>
      </c>
      <c r="U31">
        <f>ROUNDDOWN(R31*몬스터!H$12, 0)*몬스터!G$12*(1+몬스터!I$12)</f>
        <v>420.86249999999995</v>
      </c>
      <c r="V31" s="2">
        <f t="shared" si="10"/>
        <v>0.73887377106741559</v>
      </c>
    </row>
    <row r="32" spans="1:22" x14ac:dyDescent="0.4">
      <c r="A32">
        <v>28</v>
      </c>
      <c r="B32" s="4">
        <f>170*A32</f>
        <v>4760</v>
      </c>
      <c r="C32">
        <f t="shared" si="0"/>
        <v>460</v>
      </c>
      <c r="D32">
        <f t="shared" si="1"/>
        <v>28</v>
      </c>
      <c r="E32" s="2">
        <v>0</v>
      </c>
      <c r="F32">
        <f t="shared" si="2"/>
        <v>56</v>
      </c>
      <c r="G32">
        <f t="shared" si="3"/>
        <v>0.72100000000000009</v>
      </c>
      <c r="H32" s="3">
        <f t="shared" si="8"/>
        <v>0.05</v>
      </c>
      <c r="I32" s="2">
        <v>2</v>
      </c>
      <c r="J32" s="2">
        <v>0</v>
      </c>
      <c r="K32" s="2">
        <v>1</v>
      </c>
      <c r="L32" s="16">
        <f>1</f>
        <v>1</v>
      </c>
      <c r="M32" s="5">
        <f t="shared" si="4"/>
        <v>570</v>
      </c>
      <c r="N32" s="6">
        <f t="shared" si="5"/>
        <v>42.394800000000004</v>
      </c>
      <c r="O32">
        <f t="shared" si="6"/>
        <v>588.80000000000007</v>
      </c>
      <c r="P32" s="7">
        <f t="shared" si="9"/>
        <v>13.88849575891383</v>
      </c>
      <c r="Q32">
        <f>ROUNDUP(몬스터!$P$12/F32, 0)</f>
        <v>10</v>
      </c>
      <c r="R32" s="6">
        <f t="shared" si="7"/>
        <v>13.869625520110956</v>
      </c>
      <c r="S32" s="7">
        <f>B32/몬스터!C12*R32</f>
        <v>235.78363384188626</v>
      </c>
      <c r="U32">
        <f>ROUNDDOWN(R32*몬스터!H$12, 0)*몬스터!G$12*(1+몬스터!I$12)</f>
        <v>420.86249999999995</v>
      </c>
      <c r="V32" s="2">
        <f t="shared" si="10"/>
        <v>0.71478006114130421</v>
      </c>
    </row>
    <row r="33" spans="1:22" x14ac:dyDescent="0.4">
      <c r="A33">
        <v>29</v>
      </c>
      <c r="B33" s="4">
        <f>170*A33</f>
        <v>4930</v>
      </c>
      <c r="C33">
        <f t="shared" si="0"/>
        <v>470</v>
      </c>
      <c r="D33">
        <f t="shared" si="1"/>
        <v>28</v>
      </c>
      <c r="E33" s="2">
        <v>0</v>
      </c>
      <c r="F33">
        <f t="shared" si="2"/>
        <v>57</v>
      </c>
      <c r="G33">
        <f t="shared" si="3"/>
        <v>0.72300000000000009</v>
      </c>
      <c r="H33" s="3">
        <f t="shared" si="8"/>
        <v>0.05</v>
      </c>
      <c r="I33" s="2">
        <v>2</v>
      </c>
      <c r="J33" s="2">
        <v>0</v>
      </c>
      <c r="K33" s="2">
        <v>1</v>
      </c>
      <c r="L33" s="16">
        <f>1</f>
        <v>1</v>
      </c>
      <c r="M33" s="5">
        <f t="shared" si="4"/>
        <v>580</v>
      </c>
      <c r="N33" s="6">
        <f t="shared" si="5"/>
        <v>43.271550000000005</v>
      </c>
      <c r="O33">
        <f t="shared" si="6"/>
        <v>601.6</v>
      </c>
      <c r="P33" s="7">
        <f t="shared" si="9"/>
        <v>13.902899249044694</v>
      </c>
      <c r="Q33">
        <f>ROUNDUP(몬스터!$P$12/F33, 0)</f>
        <v>10</v>
      </c>
      <c r="R33" s="6">
        <f t="shared" si="7"/>
        <v>13.831258644536652</v>
      </c>
      <c r="S33" s="7">
        <f>B33/몬스터!C12*R33</f>
        <v>243.5289468484489</v>
      </c>
      <c r="U33">
        <f>ROUNDDOWN(R33*몬스터!H$12, 0)*몬스터!G$12*(1+몬스터!I$12)</f>
        <v>420.86249999999995</v>
      </c>
      <c r="V33" s="2">
        <f t="shared" si="10"/>
        <v>0.69957197473404242</v>
      </c>
    </row>
    <row r="34" spans="1:22" x14ac:dyDescent="0.4">
      <c r="A34">
        <v>30</v>
      </c>
      <c r="B34" s="4">
        <f>170*A34</f>
        <v>5100</v>
      </c>
      <c r="C34">
        <f t="shared" si="0"/>
        <v>480</v>
      </c>
      <c r="D34">
        <f t="shared" si="1"/>
        <v>29</v>
      </c>
      <c r="E34" s="2">
        <v>0</v>
      </c>
      <c r="F34">
        <f t="shared" si="2"/>
        <v>59</v>
      </c>
      <c r="G34">
        <f t="shared" si="3"/>
        <v>0.72500000000000009</v>
      </c>
      <c r="H34" s="3">
        <f t="shared" si="8"/>
        <v>0.05</v>
      </c>
      <c r="I34" s="2">
        <v>2</v>
      </c>
      <c r="J34" s="2">
        <v>0</v>
      </c>
      <c r="K34" s="2">
        <v>1</v>
      </c>
      <c r="L34" s="16">
        <f>1</f>
        <v>1</v>
      </c>
      <c r="M34" s="5">
        <f t="shared" si="4"/>
        <v>590</v>
      </c>
      <c r="N34" s="6">
        <f t="shared" si="5"/>
        <v>44.913750000000007</v>
      </c>
      <c r="O34">
        <f t="shared" si="6"/>
        <v>619.20000000000005</v>
      </c>
      <c r="P34" s="7">
        <f t="shared" si="9"/>
        <v>13.786423979293644</v>
      </c>
      <c r="Q34">
        <f>ROUNDUP(몬스터!$P$12/F34, 0)</f>
        <v>9</v>
      </c>
      <c r="R34" s="6">
        <f t="shared" si="7"/>
        <v>12.413793103448274</v>
      </c>
      <c r="S34" s="7">
        <f>B34/몬스터!C12*R34</f>
        <v>226.10837438423644</v>
      </c>
      <c r="T34" s="7">
        <f t="shared" ref="T34" si="14">SUM(S30:S34)</f>
        <v>1153.5795657060496</v>
      </c>
      <c r="U34">
        <f>ROUNDDOWN(R34*몬스터!H$12, 0)*몬스터!G$12*(1+몬스터!I$12)</f>
        <v>374.09999999999997</v>
      </c>
      <c r="V34" s="2">
        <f t="shared" si="10"/>
        <v>0.60416666666666652</v>
      </c>
    </row>
    <row r="35" spans="1:22" x14ac:dyDescent="0.4">
      <c r="A35">
        <v>31</v>
      </c>
      <c r="B35" s="4">
        <f>160*A35</f>
        <v>4960</v>
      </c>
      <c r="C35">
        <f t="shared" si="0"/>
        <v>490</v>
      </c>
      <c r="D35">
        <f t="shared" si="1"/>
        <v>29</v>
      </c>
      <c r="E35" s="2">
        <v>0</v>
      </c>
      <c r="F35">
        <f t="shared" si="2"/>
        <v>60</v>
      </c>
      <c r="G35">
        <f t="shared" si="3"/>
        <v>0.72700000000000009</v>
      </c>
      <c r="H35" s="3">
        <f t="shared" si="8"/>
        <v>0.05</v>
      </c>
      <c r="I35" s="2">
        <v>2</v>
      </c>
      <c r="J35" s="2">
        <v>0</v>
      </c>
      <c r="K35" s="2">
        <v>1</v>
      </c>
      <c r="L35" s="16">
        <f>1</f>
        <v>1</v>
      </c>
      <c r="M35" s="5">
        <f t="shared" si="4"/>
        <v>600</v>
      </c>
      <c r="N35" s="6">
        <f t="shared" si="5"/>
        <v>45.801000000000009</v>
      </c>
      <c r="O35">
        <f t="shared" si="6"/>
        <v>632.1</v>
      </c>
      <c r="P35" s="7">
        <f t="shared" si="9"/>
        <v>13.801008711600181</v>
      </c>
      <c r="Q35">
        <f>ROUNDUP(몬스터!$P$13/F35, 0)</f>
        <v>11</v>
      </c>
      <c r="R35" s="6">
        <f t="shared" si="7"/>
        <v>15.13067400275103</v>
      </c>
      <c r="S35" s="7">
        <f>B35/몬스터!C13*R35</f>
        <v>227.41861531407611</v>
      </c>
      <c r="U35">
        <f>ROUNDDOWN(R35*몬스터!H$13, 0)*몬스터!G$13*(1+몬스터!I$13)</f>
        <v>558.44999999999993</v>
      </c>
      <c r="V35" s="2">
        <f t="shared" si="10"/>
        <v>0.8834836260085428</v>
      </c>
    </row>
    <row r="36" spans="1:22" x14ac:dyDescent="0.4">
      <c r="A36">
        <v>32</v>
      </c>
      <c r="B36" s="4">
        <f>160*A36</f>
        <v>5120</v>
      </c>
      <c r="C36">
        <f t="shared" si="0"/>
        <v>500</v>
      </c>
      <c r="D36">
        <f t="shared" si="1"/>
        <v>29</v>
      </c>
      <c r="E36" s="2">
        <v>0</v>
      </c>
      <c r="F36">
        <f t="shared" si="2"/>
        <v>61</v>
      </c>
      <c r="G36">
        <f t="shared" si="3"/>
        <v>0.72900000000000009</v>
      </c>
      <c r="H36" s="3">
        <f t="shared" si="8"/>
        <v>0.05</v>
      </c>
      <c r="I36" s="2">
        <v>2</v>
      </c>
      <c r="J36" s="2">
        <v>0</v>
      </c>
      <c r="K36" s="2">
        <v>1</v>
      </c>
      <c r="L36" s="16">
        <f>1</f>
        <v>1</v>
      </c>
      <c r="M36" s="5">
        <f t="shared" si="4"/>
        <v>610</v>
      </c>
      <c r="N36" s="6">
        <f t="shared" si="5"/>
        <v>46.692450000000008</v>
      </c>
      <c r="O36">
        <f t="shared" si="6"/>
        <v>645</v>
      </c>
      <c r="P36" s="7">
        <f t="shared" si="9"/>
        <v>13.813796448890557</v>
      </c>
      <c r="Q36">
        <f>ROUNDUP(몬스터!$P$13/F36, 0)</f>
        <v>11</v>
      </c>
      <c r="R36" s="6">
        <f t="shared" si="7"/>
        <v>15.089163237311384</v>
      </c>
      <c r="S36" s="7">
        <f>B36/몬스터!C13*R36</f>
        <v>234.11065386374025</v>
      </c>
      <c r="U36">
        <f>ROUNDDOWN(R36*몬스터!H$13, 0)*몬스터!G$13*(1+몬스터!I$13)</f>
        <v>558.44999999999993</v>
      </c>
      <c r="V36" s="2">
        <f t="shared" si="10"/>
        <v>0.86581395348837198</v>
      </c>
    </row>
    <row r="37" spans="1:22" x14ac:dyDescent="0.4">
      <c r="A37">
        <v>33</v>
      </c>
      <c r="B37" s="4">
        <f>160*A37</f>
        <v>5280</v>
      </c>
      <c r="C37">
        <f t="shared" ref="C37:C68" si="15">MROUND(150+A37*11,5)</f>
        <v>515</v>
      </c>
      <c r="D37">
        <f t="shared" ref="D37:D68" si="16">ROUNDDOWN((20+A37*0.3), 0)</f>
        <v>29</v>
      </c>
      <c r="E37" s="2">
        <v>0</v>
      </c>
      <c r="F37">
        <f t="shared" ref="F37:F68" si="17">ROUND((28+A37*2)*2/3, 0)</f>
        <v>63</v>
      </c>
      <c r="G37">
        <f t="shared" ref="G37:G68" si="18">0.665+0.002*A37</f>
        <v>0.73100000000000009</v>
      </c>
      <c r="H37" s="3">
        <f t="shared" si="8"/>
        <v>0.05</v>
      </c>
      <c r="I37" s="2">
        <v>2</v>
      </c>
      <c r="J37" s="2">
        <v>0</v>
      </c>
      <c r="K37" s="2">
        <v>1</v>
      </c>
      <c r="L37" s="16">
        <f>1</f>
        <v>1</v>
      </c>
      <c r="M37" s="5">
        <f t="shared" ref="M37:M68" si="19">290+10*A37</f>
        <v>620</v>
      </c>
      <c r="N37" s="6">
        <f t="shared" ref="N37:N68" si="20">F37*G37*(1+H37)</f>
        <v>48.355650000000004</v>
      </c>
      <c r="O37">
        <f t="shared" ref="O37:O68" si="21">C37*(1+D37/100)</f>
        <v>664.35</v>
      </c>
      <c r="P37" s="7">
        <f t="shared" si="9"/>
        <v>13.738828864879284</v>
      </c>
      <c r="Q37">
        <f>ROUNDUP(몬스터!$P$13/F37, 0)</f>
        <v>10</v>
      </c>
      <c r="R37" s="6">
        <f t="shared" ref="R37:R68" si="22">Q37/G37</f>
        <v>13.679890560875512</v>
      </c>
      <c r="S37" s="7">
        <f>B37/몬스터!C13*R37</f>
        <v>218.87824897400819</v>
      </c>
      <c r="U37">
        <f>ROUNDDOWN(R37*몬스터!H$13, 0)*몬스터!G$13*(1+몬스터!I$13)</f>
        <v>502.60499999999996</v>
      </c>
      <c r="V37" s="2">
        <f t="shared" si="10"/>
        <v>0.75653646421314058</v>
      </c>
    </row>
    <row r="38" spans="1:22" x14ac:dyDescent="0.4">
      <c r="A38">
        <v>34</v>
      </c>
      <c r="B38" s="4">
        <f>160*A38</f>
        <v>5440</v>
      </c>
      <c r="C38">
        <f t="shared" si="15"/>
        <v>525</v>
      </c>
      <c r="D38">
        <f t="shared" si="16"/>
        <v>30</v>
      </c>
      <c r="E38" s="2">
        <v>0</v>
      </c>
      <c r="F38">
        <f t="shared" si="17"/>
        <v>64</v>
      </c>
      <c r="G38">
        <f t="shared" si="18"/>
        <v>0.7330000000000001</v>
      </c>
      <c r="H38" s="3">
        <f t="shared" si="8"/>
        <v>0.05</v>
      </c>
      <c r="I38" s="2">
        <v>2</v>
      </c>
      <c r="J38" s="2">
        <v>0</v>
      </c>
      <c r="K38" s="2">
        <v>1</v>
      </c>
      <c r="L38" s="16">
        <f>1</f>
        <v>1</v>
      </c>
      <c r="M38" s="5">
        <f t="shared" si="19"/>
        <v>630</v>
      </c>
      <c r="N38" s="6">
        <f t="shared" si="20"/>
        <v>49.257600000000011</v>
      </c>
      <c r="O38">
        <f t="shared" si="21"/>
        <v>682.5</v>
      </c>
      <c r="P38" s="7">
        <f t="shared" si="9"/>
        <v>13.855729877216914</v>
      </c>
      <c r="Q38">
        <f>ROUNDUP(몬스터!$P$13/F38, 0)</f>
        <v>10</v>
      </c>
      <c r="R38" s="6">
        <f t="shared" si="22"/>
        <v>13.642564802182809</v>
      </c>
      <c r="S38" s="7">
        <f>B38/몬스터!C13*R38</f>
        <v>224.89561370871056</v>
      </c>
      <c r="U38">
        <f>ROUNDDOWN(R38*몬스터!H$13, 0)*몬스터!G$13*(1+몬스터!I$13)</f>
        <v>502.60499999999996</v>
      </c>
      <c r="V38" s="2">
        <f t="shared" si="10"/>
        <v>0.73641758241758237</v>
      </c>
    </row>
    <row r="39" spans="1:22" x14ac:dyDescent="0.4">
      <c r="A39">
        <v>35</v>
      </c>
      <c r="B39" s="4">
        <f>160*A39</f>
        <v>5600</v>
      </c>
      <c r="C39">
        <f t="shared" si="15"/>
        <v>535</v>
      </c>
      <c r="D39">
        <f t="shared" si="16"/>
        <v>30</v>
      </c>
      <c r="E39" s="2">
        <v>0</v>
      </c>
      <c r="F39">
        <f t="shared" si="17"/>
        <v>65</v>
      </c>
      <c r="G39">
        <f t="shared" si="18"/>
        <v>0.7350000000000001</v>
      </c>
      <c r="H39" s="3">
        <f t="shared" si="8"/>
        <v>0.05</v>
      </c>
      <c r="I39" s="2">
        <v>2</v>
      </c>
      <c r="J39" s="2">
        <v>0</v>
      </c>
      <c r="K39" s="2">
        <v>1</v>
      </c>
      <c r="L39" s="16">
        <f>1</f>
        <v>1</v>
      </c>
      <c r="M39" s="5">
        <f t="shared" si="19"/>
        <v>640</v>
      </c>
      <c r="N39" s="6">
        <f t="shared" si="20"/>
        <v>50.163750000000007</v>
      </c>
      <c r="O39">
        <f t="shared" si="21"/>
        <v>695.5</v>
      </c>
      <c r="P39" s="7">
        <f t="shared" si="9"/>
        <v>13.864593456430189</v>
      </c>
      <c r="Q39">
        <f>ROUNDUP(몬스터!$P$13/F39, 0)</f>
        <v>10</v>
      </c>
      <c r="R39" s="6">
        <f t="shared" si="22"/>
        <v>13.605442176870746</v>
      </c>
      <c r="S39" s="7">
        <f>B39/몬스터!C13*R39</f>
        <v>230.88023088023081</v>
      </c>
      <c r="T39" s="7">
        <f t="shared" ref="T39" si="23">SUM(S35:S39)</f>
        <v>1136.1833627407659</v>
      </c>
      <c r="U39">
        <f>ROUNDDOWN(R39*몬스터!H$13, 0)*몬스터!G$13*(1+몬스터!I$13)</f>
        <v>502.60499999999996</v>
      </c>
      <c r="V39" s="2">
        <f t="shared" si="10"/>
        <v>0.72265276779295462</v>
      </c>
    </row>
    <row r="40" spans="1:22" x14ac:dyDescent="0.4">
      <c r="A40">
        <v>36</v>
      </c>
      <c r="B40" s="4">
        <f>170*A40</f>
        <v>6120</v>
      </c>
      <c r="C40">
        <f t="shared" si="15"/>
        <v>545</v>
      </c>
      <c r="D40">
        <f t="shared" si="16"/>
        <v>30</v>
      </c>
      <c r="E40" s="2">
        <v>0</v>
      </c>
      <c r="F40">
        <f t="shared" si="17"/>
        <v>67</v>
      </c>
      <c r="G40">
        <f t="shared" si="18"/>
        <v>0.7370000000000001</v>
      </c>
      <c r="H40" s="3">
        <f t="shared" si="8"/>
        <v>0.05</v>
      </c>
      <c r="I40" s="2">
        <v>2</v>
      </c>
      <c r="J40" s="2">
        <v>0</v>
      </c>
      <c r="K40" s="2">
        <v>1</v>
      </c>
      <c r="L40" s="16">
        <f>1</f>
        <v>1</v>
      </c>
      <c r="M40" s="5">
        <f t="shared" si="19"/>
        <v>650</v>
      </c>
      <c r="N40" s="6">
        <f t="shared" si="20"/>
        <v>51.847950000000004</v>
      </c>
      <c r="O40">
        <f t="shared" si="21"/>
        <v>708.5</v>
      </c>
      <c r="P40" s="7">
        <f t="shared" si="9"/>
        <v>13.664956859432243</v>
      </c>
      <c r="Q40">
        <f>ROUNDUP(몬스터!$P$14/F40, 0)</f>
        <v>10</v>
      </c>
      <c r="R40" s="6">
        <f t="shared" si="22"/>
        <v>13.568521031207597</v>
      </c>
      <c r="S40" s="7">
        <f>B40/몬스터!C14*R40</f>
        <v>218.52460187102761</v>
      </c>
      <c r="U40">
        <f>ROUNDDOWN(R40*몬스터!H$14, 0)*몬스터!G$14*(1+몬스터!I$14)</f>
        <v>575.505</v>
      </c>
      <c r="V40" s="2">
        <f t="shared" si="10"/>
        <v>0.81228652081863095</v>
      </c>
    </row>
    <row r="41" spans="1:22" x14ac:dyDescent="0.4">
      <c r="A41">
        <v>37</v>
      </c>
      <c r="B41" s="4">
        <f>170*A41</f>
        <v>6290</v>
      </c>
      <c r="C41">
        <f t="shared" si="15"/>
        <v>555</v>
      </c>
      <c r="D41">
        <f t="shared" si="16"/>
        <v>31</v>
      </c>
      <c r="E41" s="2">
        <v>0</v>
      </c>
      <c r="F41">
        <f t="shared" si="17"/>
        <v>68</v>
      </c>
      <c r="G41">
        <f t="shared" si="18"/>
        <v>0.73899999999999999</v>
      </c>
      <c r="H41" s="3">
        <f t="shared" si="8"/>
        <v>0.05</v>
      </c>
      <c r="I41" s="2">
        <v>2</v>
      </c>
      <c r="J41" s="2">
        <v>0</v>
      </c>
      <c r="K41" s="2">
        <v>1</v>
      </c>
      <c r="L41" s="16">
        <f>1</f>
        <v>1</v>
      </c>
      <c r="M41" s="5">
        <f t="shared" si="19"/>
        <v>660</v>
      </c>
      <c r="N41" s="6">
        <f t="shared" si="20"/>
        <v>52.764600000000002</v>
      </c>
      <c r="O41">
        <f t="shared" si="21"/>
        <v>727.05000000000007</v>
      </c>
      <c r="P41" s="7">
        <f t="shared" si="9"/>
        <v>13.779124640383895</v>
      </c>
      <c r="Q41">
        <f>ROUNDUP(몬스터!$P$14/F41, 0)</f>
        <v>10</v>
      </c>
      <c r="R41" s="6">
        <f t="shared" si="22"/>
        <v>13.531799729364005</v>
      </c>
      <c r="S41" s="7">
        <f>B41/몬스터!C14*R41</f>
        <v>223.9868955202621</v>
      </c>
      <c r="U41">
        <f>ROUNDDOWN(R41*몬스터!H$14, 0)*몬스터!G$14*(1+몬스터!I$14)</f>
        <v>575.505</v>
      </c>
      <c r="V41" s="2">
        <f t="shared" si="10"/>
        <v>0.79156179079843192</v>
      </c>
    </row>
    <row r="42" spans="1:22" x14ac:dyDescent="0.4">
      <c r="A42">
        <v>38</v>
      </c>
      <c r="B42" s="4">
        <f>170*A42</f>
        <v>6460</v>
      </c>
      <c r="C42">
        <f t="shared" si="15"/>
        <v>570</v>
      </c>
      <c r="D42">
        <f t="shared" si="16"/>
        <v>31</v>
      </c>
      <c r="E42" s="2">
        <v>0</v>
      </c>
      <c r="F42">
        <f t="shared" si="17"/>
        <v>69</v>
      </c>
      <c r="G42">
        <f t="shared" si="18"/>
        <v>0.74099999999999999</v>
      </c>
      <c r="H42" s="3">
        <f t="shared" si="8"/>
        <v>0.05</v>
      </c>
      <c r="I42" s="2">
        <v>2</v>
      </c>
      <c r="J42" s="2">
        <v>0</v>
      </c>
      <c r="K42" s="2">
        <v>1</v>
      </c>
      <c r="L42" s="16">
        <f>1</f>
        <v>1</v>
      </c>
      <c r="M42" s="5">
        <f t="shared" si="19"/>
        <v>670</v>
      </c>
      <c r="N42" s="6">
        <f t="shared" si="20"/>
        <v>53.685450000000003</v>
      </c>
      <c r="O42">
        <f t="shared" si="21"/>
        <v>746.7</v>
      </c>
      <c r="P42" s="7">
        <f t="shared" si="9"/>
        <v>13.908796517492171</v>
      </c>
      <c r="Q42">
        <f>ROUNDUP(몬스터!$P$14/F42, 0)</f>
        <v>10</v>
      </c>
      <c r="R42" s="6">
        <f t="shared" si="22"/>
        <v>13.495276653171389</v>
      </c>
      <c r="S42" s="7">
        <f>B42/몬스터!C14*R42</f>
        <v>229.41970310391363</v>
      </c>
      <c r="U42">
        <f>ROUNDDOWN(R42*몬스터!H$14, 0)*몬스터!G$14*(1+몬스터!I$14)</f>
        <v>575.505</v>
      </c>
      <c r="V42" s="2">
        <f t="shared" si="10"/>
        <v>0.77073121735636796</v>
      </c>
    </row>
    <row r="43" spans="1:22" x14ac:dyDescent="0.4">
      <c r="A43">
        <v>39</v>
      </c>
      <c r="B43" s="4">
        <f>170*A43</f>
        <v>6630</v>
      </c>
      <c r="C43">
        <f t="shared" si="15"/>
        <v>580</v>
      </c>
      <c r="D43">
        <f t="shared" si="16"/>
        <v>31</v>
      </c>
      <c r="E43" s="2">
        <v>0</v>
      </c>
      <c r="F43">
        <f t="shared" si="17"/>
        <v>71</v>
      </c>
      <c r="G43">
        <f t="shared" si="18"/>
        <v>0.74299999999999999</v>
      </c>
      <c r="H43" s="3">
        <f t="shared" si="8"/>
        <v>0.05</v>
      </c>
      <c r="I43" s="2">
        <v>2</v>
      </c>
      <c r="J43" s="2">
        <v>0</v>
      </c>
      <c r="K43" s="2">
        <v>1</v>
      </c>
      <c r="L43" s="16">
        <f>1</f>
        <v>1</v>
      </c>
      <c r="M43" s="5">
        <f t="shared" si="19"/>
        <v>680</v>
      </c>
      <c r="N43" s="6">
        <f t="shared" si="20"/>
        <v>55.390650000000001</v>
      </c>
      <c r="O43">
        <f t="shared" si="21"/>
        <v>759.80000000000007</v>
      </c>
      <c r="P43" s="7">
        <f t="shared" si="9"/>
        <v>13.717116516957285</v>
      </c>
      <c r="Q43">
        <f>ROUNDUP(몬스터!$P$14/F43, 0)</f>
        <v>10</v>
      </c>
      <c r="R43" s="6">
        <f t="shared" si="22"/>
        <v>13.458950201884253</v>
      </c>
      <c r="S43" s="7">
        <f>B43/몬스터!C14*R43</f>
        <v>234.82326273287524</v>
      </c>
      <c r="U43">
        <f>ROUNDDOWN(R43*몬스터!H$14, 0)*몬스터!G$14*(1+몬스터!I$14)</f>
        <v>575.505</v>
      </c>
      <c r="V43" s="2">
        <f t="shared" si="10"/>
        <v>0.75744274809160295</v>
      </c>
    </row>
    <row r="44" spans="1:22" x14ac:dyDescent="0.4">
      <c r="A44">
        <v>40</v>
      </c>
      <c r="B44" s="4">
        <f>170*A44</f>
        <v>6800</v>
      </c>
      <c r="C44">
        <f t="shared" si="15"/>
        <v>590</v>
      </c>
      <c r="D44">
        <f t="shared" si="16"/>
        <v>32</v>
      </c>
      <c r="E44" s="2">
        <v>0</v>
      </c>
      <c r="F44">
        <f t="shared" si="17"/>
        <v>72</v>
      </c>
      <c r="G44">
        <f t="shared" si="18"/>
        <v>0.745</v>
      </c>
      <c r="H44" s="3">
        <f t="shared" si="8"/>
        <v>0.05</v>
      </c>
      <c r="I44" s="2">
        <v>2</v>
      </c>
      <c r="J44" s="2">
        <v>0</v>
      </c>
      <c r="K44" s="2">
        <v>1</v>
      </c>
      <c r="L44" s="16">
        <f>1</f>
        <v>1</v>
      </c>
      <c r="M44" s="5">
        <f t="shared" si="19"/>
        <v>690</v>
      </c>
      <c r="N44" s="6">
        <f t="shared" si="20"/>
        <v>56.322000000000003</v>
      </c>
      <c r="O44">
        <f t="shared" si="21"/>
        <v>778.80000000000007</v>
      </c>
      <c r="P44" s="7">
        <f t="shared" si="9"/>
        <v>13.82763396186215</v>
      </c>
      <c r="Q44">
        <f>ROUNDUP(몬스터!$P$14/F44, 0)</f>
        <v>10</v>
      </c>
      <c r="R44" s="6">
        <f t="shared" si="22"/>
        <v>13.422818791946309</v>
      </c>
      <c r="S44" s="7">
        <f>B44/몬스터!C14*R44</f>
        <v>240.19780996114449</v>
      </c>
      <c r="T44" s="7">
        <f t="shared" ref="T44" si="24">SUM(S40:S44)</f>
        <v>1146.9522731892232</v>
      </c>
      <c r="U44">
        <f>ROUNDDOWN(R44*몬스터!H$14, 0)*몬스터!G$14*(1+몬스터!I$14)</f>
        <v>575.505</v>
      </c>
      <c r="V44" s="2">
        <f t="shared" si="10"/>
        <v>0.73896379044684124</v>
      </c>
    </row>
    <row r="45" spans="1:22" x14ac:dyDescent="0.4">
      <c r="A45">
        <v>41</v>
      </c>
      <c r="B45" s="4">
        <f>160*A45</f>
        <v>6560</v>
      </c>
      <c r="C45">
        <f t="shared" si="15"/>
        <v>600</v>
      </c>
      <c r="D45">
        <f t="shared" si="16"/>
        <v>32</v>
      </c>
      <c r="E45" s="2">
        <v>0</v>
      </c>
      <c r="F45">
        <f t="shared" si="17"/>
        <v>73</v>
      </c>
      <c r="G45">
        <f t="shared" si="18"/>
        <v>0.747</v>
      </c>
      <c r="H45" s="3">
        <f t="shared" si="8"/>
        <v>0.05</v>
      </c>
      <c r="I45" s="2">
        <v>2</v>
      </c>
      <c r="J45" s="2">
        <v>0</v>
      </c>
      <c r="K45" s="2">
        <v>1</v>
      </c>
      <c r="L45" s="16">
        <f>1</f>
        <v>1</v>
      </c>
      <c r="M45" s="5">
        <f t="shared" si="19"/>
        <v>700</v>
      </c>
      <c r="N45" s="6">
        <f t="shared" si="20"/>
        <v>57.257550000000002</v>
      </c>
      <c r="O45">
        <f t="shared" si="21"/>
        <v>792</v>
      </c>
      <c r="P45" s="7">
        <f t="shared" si="9"/>
        <v>13.832236971368841</v>
      </c>
      <c r="Q45">
        <f>ROUNDUP(몬스터!$P$17/F45, 0)</f>
        <v>12</v>
      </c>
      <c r="R45" s="6">
        <f t="shared" si="22"/>
        <v>16.064257028112451</v>
      </c>
      <c r="S45" s="7">
        <f>B45/몬스터!C17*R45</f>
        <v>245.07331652190157</v>
      </c>
      <c r="U45">
        <f>ROUNDDOWN(R45*몬스터!H$17, 0)*몬스터!G$17*(1+몬스터!I$17)</f>
        <v>805.86000000000013</v>
      </c>
      <c r="V45" s="2">
        <f t="shared" si="10"/>
        <v>1.0175000000000001</v>
      </c>
    </row>
    <row r="46" spans="1:22" x14ac:dyDescent="0.4">
      <c r="A46">
        <v>42</v>
      </c>
      <c r="B46" s="4">
        <f>160*A46</f>
        <v>6720</v>
      </c>
      <c r="C46">
        <f t="shared" si="15"/>
        <v>610</v>
      </c>
      <c r="D46">
        <f t="shared" si="16"/>
        <v>32</v>
      </c>
      <c r="E46" s="2">
        <v>0</v>
      </c>
      <c r="F46">
        <f t="shared" si="17"/>
        <v>75</v>
      </c>
      <c r="G46">
        <f t="shared" si="18"/>
        <v>0.749</v>
      </c>
      <c r="H46" s="3">
        <f t="shared" si="8"/>
        <v>0.05</v>
      </c>
      <c r="I46" s="2">
        <v>2</v>
      </c>
      <c r="J46" s="2">
        <v>0</v>
      </c>
      <c r="K46" s="2">
        <v>1</v>
      </c>
      <c r="L46" s="16">
        <f>1</f>
        <v>1</v>
      </c>
      <c r="M46" s="5">
        <f t="shared" si="19"/>
        <v>710</v>
      </c>
      <c r="N46" s="6">
        <f t="shared" si="20"/>
        <v>58.983750000000001</v>
      </c>
      <c r="O46">
        <f t="shared" si="21"/>
        <v>805.2</v>
      </c>
      <c r="P46" s="7">
        <f t="shared" si="9"/>
        <v>13.651217496344334</v>
      </c>
      <c r="Q46">
        <f>ROUNDUP(몬스터!$P$17/F46, 0)</f>
        <v>12</v>
      </c>
      <c r="R46" s="6">
        <f t="shared" si="22"/>
        <v>16.021361815754339</v>
      </c>
      <c r="S46" s="7">
        <f>B46/몬스터!C17*R46</f>
        <v>250.38035209737012</v>
      </c>
      <c r="U46">
        <f>ROUNDDOWN(R46*몬스터!H$17, 0)*몬스터!G$17*(1+몬스터!I$17)</f>
        <v>805.86000000000013</v>
      </c>
      <c r="V46" s="2">
        <f t="shared" si="10"/>
        <v>1.0008196721311478</v>
      </c>
    </row>
    <row r="47" spans="1:22" x14ac:dyDescent="0.4">
      <c r="A47">
        <v>43</v>
      </c>
      <c r="B47" s="4">
        <f>160*A47</f>
        <v>6880</v>
      </c>
      <c r="C47">
        <f t="shared" si="15"/>
        <v>625</v>
      </c>
      <c r="D47">
        <f t="shared" si="16"/>
        <v>32</v>
      </c>
      <c r="E47" s="2">
        <v>0</v>
      </c>
      <c r="F47">
        <f t="shared" si="17"/>
        <v>76</v>
      </c>
      <c r="G47">
        <f t="shared" si="18"/>
        <v>0.751</v>
      </c>
      <c r="H47" s="3">
        <f t="shared" si="8"/>
        <v>0.05</v>
      </c>
      <c r="I47" s="2">
        <v>2</v>
      </c>
      <c r="J47" s="2">
        <v>0</v>
      </c>
      <c r="K47" s="2">
        <v>1</v>
      </c>
      <c r="L47" s="16">
        <f>1</f>
        <v>1</v>
      </c>
      <c r="M47" s="5">
        <f t="shared" si="19"/>
        <v>720</v>
      </c>
      <c r="N47" s="6">
        <f t="shared" si="20"/>
        <v>59.9298</v>
      </c>
      <c r="O47">
        <f t="shared" si="21"/>
        <v>825</v>
      </c>
      <c r="P47" s="7">
        <f t="shared" si="9"/>
        <v>13.766106344422974</v>
      </c>
      <c r="Q47">
        <f>ROUNDUP(몬스터!$P$17/F47, 0)</f>
        <v>11</v>
      </c>
      <c r="R47" s="6">
        <f t="shared" si="22"/>
        <v>14.647137150466046</v>
      </c>
      <c r="S47" s="7">
        <f>B47/몬스터!C17*R47</f>
        <v>234.35419440745673</v>
      </c>
      <c r="U47">
        <f>ROUNDDOWN(R47*몬스터!H$17, 0)*몬스터!G$17*(1+몬스터!I$17)</f>
        <v>732.6</v>
      </c>
      <c r="V47" s="2">
        <f t="shared" si="10"/>
        <v>0.88800000000000001</v>
      </c>
    </row>
    <row r="48" spans="1:22" x14ac:dyDescent="0.4">
      <c r="A48">
        <v>44</v>
      </c>
      <c r="B48" s="4">
        <f>160*A48</f>
        <v>7040</v>
      </c>
      <c r="C48">
        <f t="shared" si="15"/>
        <v>635</v>
      </c>
      <c r="D48">
        <f t="shared" si="16"/>
        <v>33</v>
      </c>
      <c r="E48" s="2">
        <v>0</v>
      </c>
      <c r="F48">
        <f t="shared" si="17"/>
        <v>77</v>
      </c>
      <c r="G48">
        <f t="shared" si="18"/>
        <v>0.753</v>
      </c>
      <c r="H48" s="3">
        <f t="shared" si="8"/>
        <v>0.05</v>
      </c>
      <c r="I48" s="2">
        <v>2</v>
      </c>
      <c r="J48" s="2">
        <v>0</v>
      </c>
      <c r="K48" s="2">
        <v>1</v>
      </c>
      <c r="L48" s="16">
        <f>1</f>
        <v>1</v>
      </c>
      <c r="M48" s="5">
        <f t="shared" si="19"/>
        <v>730</v>
      </c>
      <c r="N48" s="6">
        <f t="shared" si="20"/>
        <v>60.880050000000004</v>
      </c>
      <c r="O48">
        <f t="shared" si="21"/>
        <v>844.55000000000007</v>
      </c>
      <c r="P48" s="7">
        <f t="shared" si="9"/>
        <v>13.872360485906302</v>
      </c>
      <c r="Q48">
        <f>ROUNDUP(몬스터!$P$17/F48, 0)</f>
        <v>11</v>
      </c>
      <c r="R48" s="6">
        <f t="shared" si="22"/>
        <v>14.608233731739707</v>
      </c>
      <c r="S48" s="7">
        <f>B48/몬스터!C17*R48</f>
        <v>239.16736156150591</v>
      </c>
      <c r="U48">
        <f>ROUNDDOWN(R48*몬스터!H$17, 0)*몬스터!G$17*(1+몬스터!I$17)</f>
        <v>732.6</v>
      </c>
      <c r="V48" s="2">
        <f t="shared" si="10"/>
        <v>0.86744420105381559</v>
      </c>
    </row>
    <row r="49" spans="1:22" x14ac:dyDescent="0.4">
      <c r="A49">
        <v>45</v>
      </c>
      <c r="B49" s="4">
        <f>160*A49</f>
        <v>7200</v>
      </c>
      <c r="C49">
        <f t="shared" si="15"/>
        <v>645</v>
      </c>
      <c r="D49">
        <f t="shared" si="16"/>
        <v>33</v>
      </c>
      <c r="E49" s="2">
        <v>0</v>
      </c>
      <c r="F49">
        <f t="shared" si="17"/>
        <v>79</v>
      </c>
      <c r="G49">
        <f t="shared" si="18"/>
        <v>0.755</v>
      </c>
      <c r="H49" s="3">
        <f t="shared" si="8"/>
        <v>0.05</v>
      </c>
      <c r="I49" s="2">
        <v>2</v>
      </c>
      <c r="J49" s="2">
        <v>0</v>
      </c>
      <c r="K49" s="2">
        <v>1</v>
      </c>
      <c r="L49" s="16">
        <f>1</f>
        <v>1</v>
      </c>
      <c r="M49" s="5">
        <f t="shared" si="19"/>
        <v>740</v>
      </c>
      <c r="N49" s="6">
        <f t="shared" si="20"/>
        <v>62.627250000000004</v>
      </c>
      <c r="O49">
        <f t="shared" si="21"/>
        <v>857.85</v>
      </c>
      <c r="P49" s="7">
        <f t="shared" si="9"/>
        <v>13.697711459468522</v>
      </c>
      <c r="Q49">
        <f>ROUNDUP(몬스터!$P$17/F49, 0)</f>
        <v>11</v>
      </c>
      <c r="R49" s="6">
        <f t="shared" si="22"/>
        <v>14.569536423841059</v>
      </c>
      <c r="S49" s="7">
        <f>B49/몬스터!C17*R49</f>
        <v>243.9550284922224</v>
      </c>
      <c r="T49" s="7">
        <f t="shared" ref="T49" si="25">SUM(S45:S49)</f>
        <v>1212.9302530804569</v>
      </c>
      <c r="U49">
        <f>ROUNDDOWN(R49*몬스터!H$17, 0)*몬스터!G$17*(1+몬스터!I$17)</f>
        <v>732.6</v>
      </c>
      <c r="V49" s="2">
        <f t="shared" si="10"/>
        <v>0.85399545375065566</v>
      </c>
    </row>
    <row r="50" spans="1:22" x14ac:dyDescent="0.4">
      <c r="A50">
        <v>46</v>
      </c>
      <c r="B50" s="4">
        <f>170*A50-620</f>
        <v>7200</v>
      </c>
      <c r="C50">
        <f t="shared" si="15"/>
        <v>655</v>
      </c>
      <c r="D50">
        <f t="shared" si="16"/>
        <v>33</v>
      </c>
      <c r="E50" s="2">
        <v>0</v>
      </c>
      <c r="F50">
        <f t="shared" si="17"/>
        <v>80</v>
      </c>
      <c r="G50">
        <f t="shared" si="18"/>
        <v>0.75700000000000001</v>
      </c>
      <c r="H50" s="3">
        <f t="shared" si="8"/>
        <v>0.05</v>
      </c>
      <c r="I50" s="2">
        <v>2</v>
      </c>
      <c r="J50" s="2">
        <v>0</v>
      </c>
      <c r="K50" s="2">
        <v>1</v>
      </c>
      <c r="L50" s="16">
        <f>1</f>
        <v>1</v>
      </c>
      <c r="M50" s="5">
        <f t="shared" si="19"/>
        <v>750</v>
      </c>
      <c r="N50" s="6">
        <f t="shared" si="20"/>
        <v>63.588000000000008</v>
      </c>
      <c r="O50">
        <f t="shared" si="21"/>
        <v>871.15000000000009</v>
      </c>
      <c r="P50" s="7">
        <f t="shared" si="9"/>
        <v>13.699911933069131</v>
      </c>
      <c r="Q50">
        <f>ROUNDUP(몬스터!$P$18/F50, 0)</f>
        <v>12</v>
      </c>
      <c r="R50" s="6">
        <f t="shared" si="22"/>
        <v>15.852047556142669</v>
      </c>
      <c r="S50" s="7">
        <f>B50/몬스터!C18*R50</f>
        <v>237.78071334214002</v>
      </c>
      <c r="U50">
        <f>ROUNDDOWN(R50*몬스터!H$18, 0)*몬스터!G$18*(1+몬스터!I$18)</f>
        <v>897.35249999999996</v>
      </c>
      <c r="V50" s="2">
        <f t="shared" si="10"/>
        <v>1.030078057739769</v>
      </c>
    </row>
    <row r="51" spans="1:22" x14ac:dyDescent="0.4">
      <c r="A51">
        <v>47</v>
      </c>
      <c r="B51" s="4">
        <f>170*A51</f>
        <v>7990</v>
      </c>
      <c r="C51">
        <f t="shared" si="15"/>
        <v>665</v>
      </c>
      <c r="D51">
        <f t="shared" si="16"/>
        <v>34</v>
      </c>
      <c r="E51" s="2">
        <v>0</v>
      </c>
      <c r="F51">
        <f t="shared" si="17"/>
        <v>81</v>
      </c>
      <c r="G51">
        <f t="shared" si="18"/>
        <v>0.75900000000000001</v>
      </c>
      <c r="H51" s="3">
        <f t="shared" si="8"/>
        <v>0.05</v>
      </c>
      <c r="I51" s="2">
        <v>2</v>
      </c>
      <c r="J51" s="2">
        <v>0</v>
      </c>
      <c r="K51" s="2">
        <v>1</v>
      </c>
      <c r="L51" s="16">
        <f>1</f>
        <v>1</v>
      </c>
      <c r="M51" s="5">
        <f t="shared" si="19"/>
        <v>760</v>
      </c>
      <c r="N51" s="6">
        <f t="shared" si="20"/>
        <v>64.552949999999996</v>
      </c>
      <c r="O51">
        <f t="shared" si="21"/>
        <v>891.1</v>
      </c>
      <c r="P51" s="7">
        <f t="shared" si="9"/>
        <v>13.804171614155512</v>
      </c>
      <c r="Q51">
        <f>ROUNDUP(몬스터!$P$18/F51, 0)</f>
        <v>12</v>
      </c>
      <c r="R51" s="6">
        <f t="shared" si="22"/>
        <v>15.810276679841897</v>
      </c>
      <c r="S51" s="7">
        <f>B51/몬스터!C18*R51</f>
        <v>263.17523056653488</v>
      </c>
      <c r="U51">
        <f>ROUNDDOWN(R51*몬스터!H$18, 0)*몬스터!G$18*(1+몬스터!I$18)</f>
        <v>897.35249999999996</v>
      </c>
      <c r="V51" s="2">
        <f t="shared" si="10"/>
        <v>1.0070166086858938</v>
      </c>
    </row>
    <row r="52" spans="1:22" x14ac:dyDescent="0.4">
      <c r="A52">
        <v>48</v>
      </c>
      <c r="B52" s="4">
        <f>170*A52</f>
        <v>8160</v>
      </c>
      <c r="C52">
        <f t="shared" si="15"/>
        <v>680</v>
      </c>
      <c r="D52">
        <f t="shared" si="16"/>
        <v>34</v>
      </c>
      <c r="E52" s="2">
        <v>0</v>
      </c>
      <c r="F52">
        <f t="shared" si="17"/>
        <v>83</v>
      </c>
      <c r="G52">
        <f t="shared" si="18"/>
        <v>0.76100000000000001</v>
      </c>
      <c r="H52" s="3">
        <f t="shared" si="8"/>
        <v>0.05</v>
      </c>
      <c r="I52" s="2">
        <v>2</v>
      </c>
      <c r="J52" s="2">
        <v>0</v>
      </c>
      <c r="K52" s="2">
        <v>1</v>
      </c>
      <c r="L52" s="16">
        <f>1</f>
        <v>1</v>
      </c>
      <c r="M52" s="5">
        <f t="shared" si="19"/>
        <v>770</v>
      </c>
      <c r="N52" s="6">
        <f t="shared" si="20"/>
        <v>66.321150000000003</v>
      </c>
      <c r="O52">
        <f t="shared" si="21"/>
        <v>911.2</v>
      </c>
      <c r="P52" s="7">
        <f t="shared" si="9"/>
        <v>13.739206874428444</v>
      </c>
      <c r="Q52">
        <f>ROUNDUP(몬스터!$P$18/F52, 0)</f>
        <v>12</v>
      </c>
      <c r="R52" s="6">
        <f t="shared" si="22"/>
        <v>15.768725361366622</v>
      </c>
      <c r="S52" s="7">
        <f>B52/몬스터!C18*R52</f>
        <v>268.06833114323257</v>
      </c>
      <c r="U52">
        <f>ROUNDDOWN(R52*몬스터!H$18, 0)*몬스터!G$18*(1+몬스터!I$18)</f>
        <v>897.35249999999996</v>
      </c>
      <c r="V52" s="2">
        <f t="shared" si="10"/>
        <v>0.98480300702370493</v>
      </c>
    </row>
    <row r="53" spans="1:22" x14ac:dyDescent="0.4">
      <c r="A53">
        <v>49</v>
      </c>
      <c r="B53" s="4">
        <f>170*A53</f>
        <v>8330</v>
      </c>
      <c r="C53">
        <f t="shared" si="15"/>
        <v>690</v>
      </c>
      <c r="D53">
        <f t="shared" si="16"/>
        <v>34</v>
      </c>
      <c r="E53" s="2">
        <v>0</v>
      </c>
      <c r="F53">
        <f t="shared" si="17"/>
        <v>84</v>
      </c>
      <c r="G53">
        <f t="shared" si="18"/>
        <v>0.76300000000000001</v>
      </c>
      <c r="H53" s="3">
        <f t="shared" si="8"/>
        <v>0.05</v>
      </c>
      <c r="I53" s="2">
        <v>2</v>
      </c>
      <c r="J53" s="2">
        <v>0</v>
      </c>
      <c r="K53" s="2">
        <v>1</v>
      </c>
      <c r="L53" s="16">
        <f>1</f>
        <v>1</v>
      </c>
      <c r="M53" s="5">
        <f t="shared" si="19"/>
        <v>780</v>
      </c>
      <c r="N53" s="6">
        <f t="shared" si="20"/>
        <v>67.296599999999998</v>
      </c>
      <c r="O53">
        <f t="shared" si="21"/>
        <v>924.6</v>
      </c>
      <c r="P53" s="7">
        <f t="shared" si="9"/>
        <v>13.739178502331471</v>
      </c>
      <c r="Q53">
        <f>ROUNDUP(몬스터!$P$18/F53, 0)</f>
        <v>12</v>
      </c>
      <c r="R53" s="6">
        <f t="shared" si="22"/>
        <v>15.727391874180865</v>
      </c>
      <c r="S53" s="7">
        <f>B53/몬스터!C18*R53</f>
        <v>272.93577981651379</v>
      </c>
      <c r="U53">
        <f>ROUNDDOWN(R53*몬스터!H$18, 0)*몬스터!G$18*(1+몬스터!I$18)</f>
        <v>897.35249999999996</v>
      </c>
      <c r="V53" s="2">
        <f t="shared" si="10"/>
        <v>0.97053049967553529</v>
      </c>
    </row>
    <row r="54" spans="1:22" x14ac:dyDescent="0.4">
      <c r="A54">
        <v>50</v>
      </c>
      <c r="B54" s="4">
        <f>170*A54</f>
        <v>8500</v>
      </c>
      <c r="C54">
        <f t="shared" si="15"/>
        <v>700</v>
      </c>
      <c r="D54">
        <f t="shared" si="16"/>
        <v>35</v>
      </c>
      <c r="E54" s="2">
        <v>0</v>
      </c>
      <c r="F54">
        <f t="shared" si="17"/>
        <v>85</v>
      </c>
      <c r="G54">
        <f t="shared" si="18"/>
        <v>0.76500000000000001</v>
      </c>
      <c r="H54" s="3">
        <f t="shared" si="8"/>
        <v>0.05</v>
      </c>
      <c r="I54" s="2">
        <v>2</v>
      </c>
      <c r="J54" s="2">
        <v>0</v>
      </c>
      <c r="K54" s="2">
        <v>1</v>
      </c>
      <c r="L54" s="16">
        <f>1</f>
        <v>1</v>
      </c>
      <c r="M54" s="5">
        <f t="shared" si="19"/>
        <v>790</v>
      </c>
      <c r="N54" s="6">
        <f t="shared" si="20"/>
        <v>68.276250000000005</v>
      </c>
      <c r="O54">
        <f t="shared" si="21"/>
        <v>945.00000000000011</v>
      </c>
      <c r="P54" s="7">
        <f t="shared" si="9"/>
        <v>13.84083044982699</v>
      </c>
      <c r="Q54">
        <f>ROUNDUP(몬스터!$P$18/F54, 0)</f>
        <v>12</v>
      </c>
      <c r="R54" s="6">
        <f t="shared" si="22"/>
        <v>15.686274509803921</v>
      </c>
      <c r="S54" s="7">
        <f>B54/몬스터!C18*R54</f>
        <v>277.77777777777777</v>
      </c>
      <c r="T54" s="7">
        <f t="shared" ref="T54" si="26">SUM(S50:S54)</f>
        <v>1319.737832646199</v>
      </c>
      <c r="U54">
        <f>ROUNDDOWN(R54*몬스터!H$18, 0)*몬스터!G$18*(1+몬스터!I$18)</f>
        <v>897.35249999999996</v>
      </c>
      <c r="V54" s="2">
        <f t="shared" si="10"/>
        <v>0.94957936507936491</v>
      </c>
    </row>
    <row r="55" spans="1:22" x14ac:dyDescent="0.4">
      <c r="A55">
        <v>51</v>
      </c>
      <c r="B55" s="4">
        <f>160*A55</f>
        <v>8160</v>
      </c>
      <c r="C55">
        <f t="shared" si="15"/>
        <v>710</v>
      </c>
      <c r="D55">
        <f t="shared" si="16"/>
        <v>35</v>
      </c>
      <c r="E55" s="2">
        <v>0</v>
      </c>
      <c r="F55">
        <f t="shared" si="17"/>
        <v>87</v>
      </c>
      <c r="G55">
        <f t="shared" si="18"/>
        <v>0.76700000000000002</v>
      </c>
      <c r="H55" s="3">
        <f t="shared" si="8"/>
        <v>0.05</v>
      </c>
      <c r="I55" s="2">
        <v>2</v>
      </c>
      <c r="J55" s="2">
        <v>0</v>
      </c>
      <c r="K55" s="2">
        <v>1</v>
      </c>
      <c r="L55" s="16">
        <f>1</f>
        <v>1</v>
      </c>
      <c r="M55" s="5">
        <f t="shared" si="19"/>
        <v>800</v>
      </c>
      <c r="N55" s="6">
        <f t="shared" si="20"/>
        <v>70.065449999999998</v>
      </c>
      <c r="O55">
        <f t="shared" si="21"/>
        <v>958.50000000000011</v>
      </c>
      <c r="P55" s="7">
        <f t="shared" si="9"/>
        <v>13.680066280884517</v>
      </c>
      <c r="Q55">
        <f>ROUNDUP(몬스터!$P$19/F55, 0)</f>
        <v>13</v>
      </c>
      <c r="R55" s="6">
        <f t="shared" si="22"/>
        <v>16.949152542372882</v>
      </c>
      <c r="S55" s="7">
        <f>B55/몬스터!C19*R55</f>
        <v>260.95299008634476</v>
      </c>
      <c r="U55">
        <f>ROUNDDOWN(R55*몬스터!H$19, 0)*몬스터!G$19*(1+몬스터!I$19)</f>
        <v>1093.5</v>
      </c>
      <c r="V55" s="2">
        <f t="shared" si="10"/>
        <v>1.140845070422535</v>
      </c>
    </row>
    <row r="56" spans="1:22" x14ac:dyDescent="0.4">
      <c r="A56">
        <v>52</v>
      </c>
      <c r="B56" s="4">
        <f>160*A56</f>
        <v>8320</v>
      </c>
      <c r="C56">
        <f t="shared" si="15"/>
        <v>720</v>
      </c>
      <c r="D56">
        <f t="shared" si="16"/>
        <v>35</v>
      </c>
      <c r="E56" s="2">
        <v>0</v>
      </c>
      <c r="F56">
        <f t="shared" si="17"/>
        <v>88</v>
      </c>
      <c r="G56">
        <f t="shared" si="18"/>
        <v>0.76900000000000002</v>
      </c>
      <c r="H56" s="3">
        <f t="shared" si="8"/>
        <v>0.05</v>
      </c>
      <c r="I56" s="2">
        <v>2</v>
      </c>
      <c r="J56" s="2">
        <v>0</v>
      </c>
      <c r="K56" s="2">
        <v>1</v>
      </c>
      <c r="L56" s="16">
        <f>1</f>
        <v>1</v>
      </c>
      <c r="M56" s="5">
        <f t="shared" si="19"/>
        <v>810</v>
      </c>
      <c r="N56" s="6">
        <f t="shared" si="20"/>
        <v>71.055599999999998</v>
      </c>
      <c r="O56">
        <f t="shared" si="21"/>
        <v>972.00000000000011</v>
      </c>
      <c r="P56" s="7">
        <f t="shared" si="9"/>
        <v>13.67942850387584</v>
      </c>
      <c r="Q56">
        <f>ROUNDUP(몬스터!$P$19/F56, 0)</f>
        <v>13</v>
      </c>
      <c r="R56" s="6">
        <f t="shared" si="22"/>
        <v>16.905071521456435</v>
      </c>
      <c r="S56" s="7">
        <f>B56/몬스터!C19*R56</f>
        <v>265.37772652550478</v>
      </c>
      <c r="U56">
        <f>ROUNDDOWN(R56*몬스터!H$19, 0)*몬스터!G$19*(1+몬스터!I$19)</f>
        <v>1093.5</v>
      </c>
      <c r="V56" s="2">
        <f t="shared" si="10"/>
        <v>1.1249999999999998</v>
      </c>
    </row>
    <row r="57" spans="1:22" x14ac:dyDescent="0.4">
      <c r="A57">
        <v>53</v>
      </c>
      <c r="B57" s="4">
        <f>160*A57</f>
        <v>8480</v>
      </c>
      <c r="C57">
        <f t="shared" si="15"/>
        <v>735</v>
      </c>
      <c r="D57">
        <f t="shared" si="16"/>
        <v>35</v>
      </c>
      <c r="E57" s="2">
        <v>0</v>
      </c>
      <c r="F57">
        <f t="shared" si="17"/>
        <v>89</v>
      </c>
      <c r="G57">
        <f t="shared" si="18"/>
        <v>0.77100000000000002</v>
      </c>
      <c r="H57" s="3">
        <f t="shared" si="8"/>
        <v>0.05</v>
      </c>
      <c r="I57" s="2">
        <v>2</v>
      </c>
      <c r="J57" s="2">
        <v>0</v>
      </c>
      <c r="K57" s="2">
        <v>1</v>
      </c>
      <c r="L57" s="16">
        <f>1</f>
        <v>1</v>
      </c>
      <c r="M57" s="5">
        <f t="shared" si="19"/>
        <v>820</v>
      </c>
      <c r="N57" s="6">
        <f t="shared" si="20"/>
        <v>72.04995000000001</v>
      </c>
      <c r="O57">
        <f t="shared" si="21"/>
        <v>992.25000000000011</v>
      </c>
      <c r="P57" s="7">
        <f t="shared" si="9"/>
        <v>13.771695885979101</v>
      </c>
      <c r="Q57">
        <f>ROUNDUP(몬스터!$P$19/F57, 0)</f>
        <v>13</v>
      </c>
      <c r="R57" s="6">
        <f t="shared" si="22"/>
        <v>16.861219195849547</v>
      </c>
      <c r="S57" s="7">
        <f>B57/몬스터!C19*R57</f>
        <v>269.77950713359274</v>
      </c>
      <c r="U57">
        <f>ROUNDDOWN(R57*몬스터!H$19, 0)*몬스터!G$19*(1+몬스터!I$19)</f>
        <v>1093.5</v>
      </c>
      <c r="V57" s="2">
        <f t="shared" si="10"/>
        <v>1.1020408163265305</v>
      </c>
    </row>
    <row r="58" spans="1:22" x14ac:dyDescent="0.4">
      <c r="A58">
        <v>54</v>
      </c>
      <c r="B58" s="4">
        <f>160*A58</f>
        <v>8640</v>
      </c>
      <c r="C58">
        <f t="shared" si="15"/>
        <v>745</v>
      </c>
      <c r="D58">
        <f t="shared" si="16"/>
        <v>36</v>
      </c>
      <c r="E58" s="2">
        <v>0</v>
      </c>
      <c r="F58">
        <f t="shared" si="17"/>
        <v>91</v>
      </c>
      <c r="G58">
        <f t="shared" si="18"/>
        <v>0.77300000000000002</v>
      </c>
      <c r="H58" s="3">
        <f t="shared" si="8"/>
        <v>0.05</v>
      </c>
      <c r="I58" s="2">
        <v>2</v>
      </c>
      <c r="J58" s="2">
        <v>0</v>
      </c>
      <c r="K58" s="2">
        <v>1</v>
      </c>
      <c r="L58" s="16">
        <f>1</f>
        <v>1</v>
      </c>
      <c r="M58" s="5">
        <f t="shared" si="19"/>
        <v>830</v>
      </c>
      <c r="N58" s="6">
        <f t="shared" si="20"/>
        <v>73.860150000000004</v>
      </c>
      <c r="O58">
        <f t="shared" si="21"/>
        <v>1013.1999999999999</v>
      </c>
      <c r="P58" s="7">
        <f t="shared" si="9"/>
        <v>13.717816711718022</v>
      </c>
      <c r="Q58">
        <f>ROUNDUP(몬스터!$P$19/F58, 0)</f>
        <v>12</v>
      </c>
      <c r="R58" s="6">
        <f t="shared" si="22"/>
        <v>15.523932729624837</v>
      </c>
      <c r="S58" s="7">
        <f>B58/몬스터!C19*R58</f>
        <v>253.06939393199735</v>
      </c>
      <c r="U58">
        <f>ROUNDDOWN(R58*몬스터!H$19, 0)*몬스터!G$19*(1+몬스터!I$19)</f>
        <v>1002.375</v>
      </c>
      <c r="V58" s="2">
        <f t="shared" si="10"/>
        <v>0.98931602842479283</v>
      </c>
    </row>
    <row r="59" spans="1:22" x14ac:dyDescent="0.4">
      <c r="A59">
        <v>55</v>
      </c>
      <c r="B59" s="4">
        <f>160*A59</f>
        <v>8800</v>
      </c>
      <c r="C59">
        <f t="shared" si="15"/>
        <v>755</v>
      </c>
      <c r="D59">
        <f t="shared" si="16"/>
        <v>36</v>
      </c>
      <c r="E59" s="2">
        <v>0</v>
      </c>
      <c r="F59">
        <f t="shared" si="17"/>
        <v>92</v>
      </c>
      <c r="G59">
        <f t="shared" si="18"/>
        <v>0.77500000000000002</v>
      </c>
      <c r="H59" s="3">
        <f t="shared" si="8"/>
        <v>0.05</v>
      </c>
      <c r="I59" s="2">
        <v>2</v>
      </c>
      <c r="J59" s="2">
        <v>0</v>
      </c>
      <c r="K59" s="2">
        <v>1</v>
      </c>
      <c r="L59" s="16">
        <f>1</f>
        <v>1</v>
      </c>
      <c r="M59" s="5">
        <f t="shared" si="19"/>
        <v>840</v>
      </c>
      <c r="N59" s="6">
        <f t="shared" si="20"/>
        <v>74.864999999999995</v>
      </c>
      <c r="O59">
        <f t="shared" si="21"/>
        <v>1026.8</v>
      </c>
      <c r="P59" s="7">
        <f t="shared" si="9"/>
        <v>13.715354304414614</v>
      </c>
      <c r="Q59">
        <f>ROUNDUP(몬스터!$P$19/F59, 0)</f>
        <v>12</v>
      </c>
      <c r="R59" s="6">
        <f t="shared" si="22"/>
        <v>15.483870967741934</v>
      </c>
      <c r="S59" s="7">
        <f>B59/몬스터!C19*R59</f>
        <v>257.09068776628118</v>
      </c>
      <c r="T59" s="7">
        <f t="shared" ref="T59" si="27">SUM(S55:S59)</f>
        <v>1306.2703054437209</v>
      </c>
      <c r="U59">
        <f>ROUNDDOWN(R59*몬스터!H$19, 0)*몬스터!G$19*(1+몬스터!I$19)</f>
        <v>1002.375</v>
      </c>
      <c r="V59" s="2">
        <f t="shared" si="10"/>
        <v>0.97621250486949751</v>
      </c>
    </row>
    <row r="60" spans="1:22" x14ac:dyDescent="0.4">
      <c r="A60">
        <v>56</v>
      </c>
      <c r="B60" s="4">
        <f>170*A60</f>
        <v>9520</v>
      </c>
      <c r="C60">
        <f t="shared" si="15"/>
        <v>765</v>
      </c>
      <c r="D60">
        <f t="shared" si="16"/>
        <v>36</v>
      </c>
      <c r="E60" s="2">
        <v>0</v>
      </c>
      <c r="F60">
        <f t="shared" si="17"/>
        <v>93</v>
      </c>
      <c r="G60">
        <f t="shared" si="18"/>
        <v>0.77700000000000002</v>
      </c>
      <c r="H60" s="3">
        <f t="shared" si="8"/>
        <v>0.05</v>
      </c>
      <c r="I60" s="2">
        <v>2</v>
      </c>
      <c r="J60" s="2">
        <v>0</v>
      </c>
      <c r="K60" s="2">
        <v>1</v>
      </c>
      <c r="L60" s="16">
        <f>1</f>
        <v>1</v>
      </c>
      <c r="M60" s="5">
        <f t="shared" si="19"/>
        <v>850</v>
      </c>
      <c r="N60" s="6">
        <f t="shared" si="20"/>
        <v>75.874049999999997</v>
      </c>
      <c r="O60">
        <f t="shared" si="21"/>
        <v>1040.3999999999999</v>
      </c>
      <c r="P60" s="7">
        <f t="shared" si="9"/>
        <v>13.712198043995278</v>
      </c>
      <c r="Q60">
        <f>ROUNDUP(몬스터!$P$20/F60, 0)</f>
        <v>13</v>
      </c>
      <c r="R60" s="6">
        <f t="shared" si="22"/>
        <v>16.73101673101673</v>
      </c>
      <c r="S60" s="7">
        <f>B60/몬스터!C19*R60</f>
        <v>300.526942036376</v>
      </c>
      <c r="U60">
        <f>ROUNDDOWN(R60*몬스터!H$20, 0)*몬스터!G$20*(1+몬스터!I$20)</f>
        <v>1195.92</v>
      </c>
      <c r="V60" s="2">
        <f t="shared" si="10"/>
        <v>1.1494809688581318</v>
      </c>
    </row>
    <row r="61" spans="1:22" x14ac:dyDescent="0.4">
      <c r="A61">
        <v>57</v>
      </c>
      <c r="B61" s="4">
        <f>170*A61</f>
        <v>9690</v>
      </c>
      <c r="C61">
        <f t="shared" si="15"/>
        <v>775</v>
      </c>
      <c r="D61">
        <f t="shared" si="16"/>
        <v>37</v>
      </c>
      <c r="E61" s="2">
        <v>0</v>
      </c>
      <c r="F61">
        <f t="shared" si="17"/>
        <v>95</v>
      </c>
      <c r="G61">
        <f t="shared" si="18"/>
        <v>0.77900000000000003</v>
      </c>
      <c r="H61" s="3">
        <f t="shared" si="8"/>
        <v>0.05</v>
      </c>
      <c r="I61" s="2">
        <v>2</v>
      </c>
      <c r="J61" s="2">
        <v>0</v>
      </c>
      <c r="K61" s="2">
        <v>1</v>
      </c>
      <c r="L61" s="16">
        <f>1</f>
        <v>1</v>
      </c>
      <c r="M61" s="5">
        <f t="shared" si="19"/>
        <v>860</v>
      </c>
      <c r="N61" s="6">
        <f t="shared" si="20"/>
        <v>77.705249999999992</v>
      </c>
      <c r="O61">
        <f t="shared" si="21"/>
        <v>1061.75</v>
      </c>
      <c r="P61" s="7">
        <f t="shared" si="9"/>
        <v>13.663812934132508</v>
      </c>
      <c r="Q61">
        <f>ROUNDUP(몬스터!$P$20/F61, 0)</f>
        <v>13</v>
      </c>
      <c r="R61" s="6">
        <f t="shared" si="22"/>
        <v>16.688061617458278</v>
      </c>
      <c r="S61" s="7">
        <f>B61/몬스터!C19*R61</f>
        <v>305.10814542107681</v>
      </c>
      <c r="U61">
        <f>ROUNDDOWN(R61*몬스터!H$20, 0)*몬스터!G$20*(1+몬스터!I$20)</f>
        <v>1195.92</v>
      </c>
      <c r="V61" s="2">
        <f t="shared" si="10"/>
        <v>1.1263668471862491</v>
      </c>
    </row>
    <row r="62" spans="1:22" x14ac:dyDescent="0.4">
      <c r="A62">
        <v>58</v>
      </c>
      <c r="B62" s="4">
        <f>170*A62</f>
        <v>9860</v>
      </c>
      <c r="C62">
        <f t="shared" si="15"/>
        <v>790</v>
      </c>
      <c r="D62">
        <f t="shared" si="16"/>
        <v>37</v>
      </c>
      <c r="E62" s="2">
        <v>0</v>
      </c>
      <c r="F62">
        <f t="shared" si="17"/>
        <v>96</v>
      </c>
      <c r="G62">
        <f t="shared" si="18"/>
        <v>0.78100000000000003</v>
      </c>
      <c r="H62" s="3">
        <f t="shared" si="8"/>
        <v>0.05</v>
      </c>
      <c r="I62" s="2">
        <v>2</v>
      </c>
      <c r="J62" s="2">
        <v>0</v>
      </c>
      <c r="K62" s="2">
        <v>1</v>
      </c>
      <c r="L62" s="16">
        <f>1</f>
        <v>1</v>
      </c>
      <c r="M62" s="5">
        <f t="shared" si="19"/>
        <v>870</v>
      </c>
      <c r="N62" s="6">
        <f t="shared" si="20"/>
        <v>78.724800000000002</v>
      </c>
      <c r="O62">
        <f t="shared" si="21"/>
        <v>1082.3000000000002</v>
      </c>
      <c r="P62" s="7">
        <f t="shared" si="9"/>
        <v>13.747891388736461</v>
      </c>
      <c r="Q62">
        <f>ROUNDUP(몬스터!$P$20/F62, 0)</f>
        <v>13</v>
      </c>
      <c r="R62" s="6">
        <f t="shared" si="22"/>
        <v>16.645326504481435</v>
      </c>
      <c r="S62" s="7">
        <f>B62/몬스터!C19*R62</f>
        <v>309.66588553620181</v>
      </c>
      <c r="U62">
        <f>ROUNDDOWN(R62*몬스터!H$20, 0)*몬스터!G$20*(1+몬스터!I$20)</f>
        <v>1195.92</v>
      </c>
      <c r="V62" s="2">
        <f t="shared" si="10"/>
        <v>1.1049801348979025</v>
      </c>
    </row>
    <row r="63" spans="1:22" x14ac:dyDescent="0.4">
      <c r="A63">
        <v>59</v>
      </c>
      <c r="B63" s="4">
        <f>170*A63</f>
        <v>10030</v>
      </c>
      <c r="C63">
        <f t="shared" si="15"/>
        <v>800</v>
      </c>
      <c r="D63">
        <f t="shared" si="16"/>
        <v>37</v>
      </c>
      <c r="E63" s="2">
        <v>0</v>
      </c>
      <c r="F63">
        <f t="shared" si="17"/>
        <v>97</v>
      </c>
      <c r="G63">
        <f t="shared" si="18"/>
        <v>0.78300000000000003</v>
      </c>
      <c r="H63" s="3">
        <f t="shared" si="8"/>
        <v>0.05</v>
      </c>
      <c r="I63" s="2">
        <v>2</v>
      </c>
      <c r="J63" s="2">
        <v>0</v>
      </c>
      <c r="K63" s="2">
        <v>1</v>
      </c>
      <c r="L63" s="16">
        <f>1</f>
        <v>1</v>
      </c>
      <c r="M63" s="5">
        <f t="shared" si="19"/>
        <v>880</v>
      </c>
      <c r="N63" s="6">
        <f t="shared" si="20"/>
        <v>79.748550000000009</v>
      </c>
      <c r="O63">
        <f t="shared" si="21"/>
        <v>1096</v>
      </c>
      <c r="P63" s="7">
        <f t="shared" si="9"/>
        <v>13.743196584765489</v>
      </c>
      <c r="Q63">
        <f>ROUNDUP(몬스터!$P$20/F63, 0)</f>
        <v>13</v>
      </c>
      <c r="R63" s="6">
        <f t="shared" si="22"/>
        <v>16.602809706257982</v>
      </c>
      <c r="S63" s="7">
        <f>B63/몬스터!C19*R63</f>
        <v>314.20034217691995</v>
      </c>
      <c r="U63">
        <f>ROUNDDOWN(R63*몬스터!H$20, 0)*몬스터!G$20*(1+몬스터!I$20)</f>
        <v>1195.92</v>
      </c>
      <c r="V63" s="2">
        <f t="shared" si="10"/>
        <v>1.0911678832116789</v>
      </c>
    </row>
    <row r="64" spans="1:22" x14ac:dyDescent="0.4">
      <c r="A64">
        <v>60</v>
      </c>
      <c r="B64" s="4">
        <f>170*A64</f>
        <v>10200</v>
      </c>
      <c r="C64">
        <f t="shared" si="15"/>
        <v>810</v>
      </c>
      <c r="D64">
        <f t="shared" si="16"/>
        <v>38</v>
      </c>
      <c r="E64" s="2">
        <v>0</v>
      </c>
      <c r="F64">
        <f t="shared" si="17"/>
        <v>99</v>
      </c>
      <c r="G64">
        <f t="shared" si="18"/>
        <v>0.78500000000000003</v>
      </c>
      <c r="H64" s="3">
        <f t="shared" si="8"/>
        <v>0.05</v>
      </c>
      <c r="I64" s="2">
        <v>2</v>
      </c>
      <c r="J64" s="2">
        <v>0</v>
      </c>
      <c r="K64" s="2">
        <v>1</v>
      </c>
      <c r="L64" s="16">
        <f>1</f>
        <v>1</v>
      </c>
      <c r="M64" s="5">
        <f t="shared" si="19"/>
        <v>890</v>
      </c>
      <c r="N64" s="6">
        <f t="shared" si="20"/>
        <v>81.600750000000005</v>
      </c>
      <c r="O64">
        <f t="shared" si="21"/>
        <v>1117.8</v>
      </c>
      <c r="P64" s="7">
        <f t="shared" si="9"/>
        <v>13.698403507320704</v>
      </c>
      <c r="Q64">
        <f>ROUNDUP(몬스터!$P$20/F64, 0)</f>
        <v>13</v>
      </c>
      <c r="R64" s="6">
        <f t="shared" si="22"/>
        <v>16.560509554140125</v>
      </c>
      <c r="S64" s="7">
        <f>B64/몬스터!C19*R64</f>
        <v>318.71169330609297</v>
      </c>
      <c r="T64" s="7">
        <f t="shared" ref="T64" si="28">SUM(S60:S64)</f>
        <v>1548.2130084766675</v>
      </c>
      <c r="U64">
        <f>ROUNDDOWN(R64*몬스터!H$20, 0)*몬스터!G$20*(1+몬스터!I$20)</f>
        <v>1195.92</v>
      </c>
      <c r="V64" s="2">
        <f t="shared" si="10"/>
        <v>1.0698872785829308</v>
      </c>
    </row>
    <row r="65" spans="1:22" x14ac:dyDescent="0.4">
      <c r="A65">
        <v>61</v>
      </c>
      <c r="B65" s="4">
        <f>160*A65-320</f>
        <v>9440</v>
      </c>
      <c r="C65">
        <f t="shared" si="15"/>
        <v>820</v>
      </c>
      <c r="D65">
        <f t="shared" si="16"/>
        <v>38</v>
      </c>
      <c r="E65" s="2">
        <v>0</v>
      </c>
      <c r="F65">
        <f t="shared" si="17"/>
        <v>100</v>
      </c>
      <c r="G65">
        <f t="shared" si="18"/>
        <v>0.78700000000000003</v>
      </c>
      <c r="H65" s="3">
        <f t="shared" si="8"/>
        <v>0.05</v>
      </c>
      <c r="I65" s="2">
        <v>2</v>
      </c>
      <c r="J65" s="2">
        <v>0</v>
      </c>
      <c r="K65" s="2">
        <v>1</v>
      </c>
      <c r="L65" s="16">
        <f>1</f>
        <v>1</v>
      </c>
      <c r="M65" s="5">
        <f t="shared" si="19"/>
        <v>900</v>
      </c>
      <c r="N65" s="6">
        <f t="shared" si="20"/>
        <v>82.635000000000005</v>
      </c>
      <c r="O65">
        <f t="shared" si="21"/>
        <v>1131.5999999999999</v>
      </c>
      <c r="P65" s="7">
        <f t="shared" si="9"/>
        <v>13.693955345797784</v>
      </c>
      <c r="Q65">
        <f>ROUNDUP(몬스터!$P$23/F65, 0)</f>
        <v>14</v>
      </c>
      <c r="R65" s="6">
        <f t="shared" si="22"/>
        <v>17.789072426937736</v>
      </c>
      <c r="S65" s="7">
        <f>B65/몬스터!C20*R65</f>
        <v>289.53248915567622</v>
      </c>
      <c r="U65">
        <f>ROUNDDOWN(R65*몬스터!H$23, 0)*몬스터!G$23*(1+몬스터!I$23)</f>
        <v>1532.16</v>
      </c>
      <c r="V65" s="2">
        <f t="shared" si="10"/>
        <v>1.3539766702014848</v>
      </c>
    </row>
    <row r="66" spans="1:22" x14ac:dyDescent="0.4">
      <c r="A66">
        <v>62</v>
      </c>
      <c r="B66" s="4">
        <f>160*A66</f>
        <v>9920</v>
      </c>
      <c r="C66">
        <f t="shared" si="15"/>
        <v>830</v>
      </c>
      <c r="D66">
        <f t="shared" si="16"/>
        <v>38</v>
      </c>
      <c r="E66" s="2">
        <v>0</v>
      </c>
      <c r="F66">
        <f t="shared" si="17"/>
        <v>101</v>
      </c>
      <c r="G66">
        <f t="shared" si="18"/>
        <v>0.78900000000000003</v>
      </c>
      <c r="H66" s="3">
        <f t="shared" si="8"/>
        <v>0.05</v>
      </c>
      <c r="I66" s="2">
        <v>2</v>
      </c>
      <c r="J66" s="2">
        <v>0</v>
      </c>
      <c r="K66" s="2">
        <v>1</v>
      </c>
      <c r="L66" s="16">
        <f>1</f>
        <v>1</v>
      </c>
      <c r="M66" s="5">
        <f t="shared" si="19"/>
        <v>910</v>
      </c>
      <c r="N66" s="6">
        <f t="shared" si="20"/>
        <v>83.673450000000017</v>
      </c>
      <c r="O66">
        <f t="shared" si="21"/>
        <v>1145.3999999999999</v>
      </c>
      <c r="P66" s="7">
        <f t="shared" si="9"/>
        <v>13.688930001093533</v>
      </c>
      <c r="Q66">
        <f>ROUNDUP(몬스터!$P$23/F66, 0)</f>
        <v>14</v>
      </c>
      <c r="R66" s="6">
        <f t="shared" si="22"/>
        <v>17.743979721166031</v>
      </c>
      <c r="S66" s="7">
        <f>B66/몬스터!C20*R66</f>
        <v>303.48323936890864</v>
      </c>
      <c r="U66">
        <f>ROUNDDOWN(R66*몬스터!H$23, 0)*몬스터!G$23*(1+몬스터!I$23)</f>
        <v>1532.16</v>
      </c>
      <c r="V66" s="2">
        <f t="shared" si="10"/>
        <v>1.3376636982713466</v>
      </c>
    </row>
    <row r="67" spans="1:22" x14ac:dyDescent="0.4">
      <c r="A67">
        <v>63</v>
      </c>
      <c r="B67" s="4">
        <f>160*A67</f>
        <v>10080</v>
      </c>
      <c r="C67">
        <f t="shared" si="15"/>
        <v>845</v>
      </c>
      <c r="D67">
        <f t="shared" si="16"/>
        <v>38</v>
      </c>
      <c r="E67" s="2">
        <v>0</v>
      </c>
      <c r="F67">
        <f t="shared" si="17"/>
        <v>103</v>
      </c>
      <c r="G67">
        <f t="shared" si="18"/>
        <v>0.79100000000000004</v>
      </c>
      <c r="H67" s="3">
        <f t="shared" si="8"/>
        <v>0.05</v>
      </c>
      <c r="I67" s="2">
        <v>2</v>
      </c>
      <c r="J67" s="2">
        <v>0</v>
      </c>
      <c r="K67" s="2">
        <v>1</v>
      </c>
      <c r="L67" s="16">
        <f>1</f>
        <v>1</v>
      </c>
      <c r="M67" s="5">
        <f t="shared" si="19"/>
        <v>920</v>
      </c>
      <c r="N67" s="6">
        <f t="shared" si="20"/>
        <v>85.54665</v>
      </c>
      <c r="O67">
        <f t="shared" si="21"/>
        <v>1166.0999999999999</v>
      </c>
      <c r="P67" s="7">
        <f t="shared" si="9"/>
        <v>13.631159139487051</v>
      </c>
      <c r="Q67">
        <f>ROUNDUP(몬스터!$P$23/F67, 0)</f>
        <v>14</v>
      </c>
      <c r="R67" s="6">
        <f t="shared" si="22"/>
        <v>17.699115044247787</v>
      </c>
      <c r="S67" s="7">
        <f>B67/몬스터!C20*R67</f>
        <v>307.59841318278916</v>
      </c>
      <c r="U67">
        <f>ROUNDDOWN(R67*몬스터!H$23, 0)*몬스터!G$23*(1+몬스터!I$23)</f>
        <v>1532.16</v>
      </c>
      <c r="V67" s="2">
        <f t="shared" si="10"/>
        <v>1.313918188834577</v>
      </c>
    </row>
    <row r="68" spans="1:22" x14ac:dyDescent="0.4">
      <c r="A68">
        <v>64</v>
      </c>
      <c r="B68" s="4">
        <f>160*A68</f>
        <v>10240</v>
      </c>
      <c r="C68">
        <f t="shared" si="15"/>
        <v>855</v>
      </c>
      <c r="D68">
        <f t="shared" si="16"/>
        <v>39</v>
      </c>
      <c r="E68" s="2">
        <v>0</v>
      </c>
      <c r="F68">
        <f t="shared" si="17"/>
        <v>104</v>
      </c>
      <c r="G68">
        <f t="shared" si="18"/>
        <v>0.79300000000000004</v>
      </c>
      <c r="H68" s="3">
        <f t="shared" si="8"/>
        <v>0.05</v>
      </c>
      <c r="I68" s="2">
        <v>2</v>
      </c>
      <c r="J68" s="2">
        <v>0</v>
      </c>
      <c r="K68" s="2">
        <v>1</v>
      </c>
      <c r="L68" s="16">
        <f>1</f>
        <v>1</v>
      </c>
      <c r="M68" s="5">
        <f t="shared" si="19"/>
        <v>930</v>
      </c>
      <c r="N68" s="6">
        <f t="shared" si="20"/>
        <v>86.595600000000019</v>
      </c>
      <c r="O68">
        <f t="shared" si="21"/>
        <v>1188.45</v>
      </c>
      <c r="P68" s="7">
        <f t="shared" si="9"/>
        <v>13.724138408879895</v>
      </c>
      <c r="Q68">
        <f>ROUNDUP(몬스터!$P$23/F68, 0)</f>
        <v>13</v>
      </c>
      <c r="R68" s="6">
        <f t="shared" si="22"/>
        <v>16.393442622950818</v>
      </c>
      <c r="S68" s="7">
        <f>B68/몬스터!C20*R68</f>
        <v>289.42905596382133</v>
      </c>
      <c r="U68">
        <f>ROUNDDOWN(R68*몬스터!H$23, 0)*몬스터!G$23*(1+몬스터!I$23)</f>
        <v>1313.2800000000002</v>
      </c>
      <c r="V68" s="2">
        <f t="shared" si="10"/>
        <v>1.1050359712230218</v>
      </c>
    </row>
    <row r="69" spans="1:22" x14ac:dyDescent="0.4">
      <c r="A69">
        <v>65</v>
      </c>
      <c r="B69" s="4">
        <f>160*A69</f>
        <v>10400</v>
      </c>
      <c r="C69">
        <f t="shared" ref="C69:C104" si="29">MROUND(150+A69*11,5)</f>
        <v>865</v>
      </c>
      <c r="D69">
        <f t="shared" ref="D69:D104" si="30">ROUNDDOWN((20+A69*0.3), 0)</f>
        <v>39</v>
      </c>
      <c r="E69" s="2">
        <v>0</v>
      </c>
      <c r="F69">
        <f t="shared" ref="F69:F104" si="31">ROUND((28+A69*2)*2/3, 0)</f>
        <v>105</v>
      </c>
      <c r="G69">
        <f t="shared" ref="G69:G104" si="32">0.665+0.002*A69</f>
        <v>0.79500000000000004</v>
      </c>
      <c r="H69" s="3">
        <f t="shared" si="8"/>
        <v>0.05</v>
      </c>
      <c r="I69" s="2">
        <v>2</v>
      </c>
      <c r="J69" s="2">
        <v>0</v>
      </c>
      <c r="K69" s="2">
        <v>1</v>
      </c>
      <c r="L69" s="16">
        <f>1</f>
        <v>1</v>
      </c>
      <c r="M69" s="5">
        <f t="shared" ref="M69:M104" si="33">290+10*A69</f>
        <v>940</v>
      </c>
      <c r="N69" s="6">
        <f t="shared" ref="N69:N104" si="34">F69*G69*(1+H69)</f>
        <v>87.648750000000007</v>
      </c>
      <c r="O69">
        <f t="shared" ref="O69:O104" si="35">C69*(1+D69/100)</f>
        <v>1202.3500000000001</v>
      </c>
      <c r="P69" s="7">
        <f t="shared" si="9"/>
        <v>13.717822558792911</v>
      </c>
      <c r="Q69">
        <f>ROUNDUP(몬스터!$P$23/F69, 0)</f>
        <v>13</v>
      </c>
      <c r="R69" s="6">
        <f t="shared" ref="R69:R100" si="36">Q69/G69</f>
        <v>16.352201257861633</v>
      </c>
      <c r="S69" s="7">
        <f>B69/몬스터!C20*R69</f>
        <v>293.21188462372584</v>
      </c>
      <c r="T69" s="7">
        <f t="shared" ref="T69" si="37">SUM(S65:S69)</f>
        <v>1483.2550822949211</v>
      </c>
      <c r="U69">
        <f>ROUNDDOWN(R69*몬스터!H$23, 0)*몬스터!G$23*(1+몬스터!I$23)</f>
        <v>1313.2800000000002</v>
      </c>
      <c r="V69" s="2">
        <f t="shared" si="10"/>
        <v>1.0922609888967438</v>
      </c>
    </row>
    <row r="70" spans="1:22" x14ac:dyDescent="0.4">
      <c r="A70">
        <v>66</v>
      </c>
      <c r="B70" s="4">
        <f>170*A70-680</f>
        <v>10540</v>
      </c>
      <c r="C70">
        <f t="shared" si="29"/>
        <v>875</v>
      </c>
      <c r="D70">
        <f t="shared" si="30"/>
        <v>39</v>
      </c>
      <c r="E70" s="2">
        <v>0</v>
      </c>
      <c r="F70">
        <f t="shared" si="31"/>
        <v>107</v>
      </c>
      <c r="G70">
        <f t="shared" si="32"/>
        <v>0.79700000000000004</v>
      </c>
      <c r="H70" s="3">
        <f t="shared" ref="H70:H114" si="38">0.05</f>
        <v>0.05</v>
      </c>
      <c r="I70" s="2">
        <v>2</v>
      </c>
      <c r="J70" s="2">
        <v>0</v>
      </c>
      <c r="K70" s="2">
        <v>1</v>
      </c>
      <c r="L70" s="16">
        <f>1</f>
        <v>1</v>
      </c>
      <c r="M70" s="5">
        <f t="shared" si="33"/>
        <v>950</v>
      </c>
      <c r="N70" s="6">
        <f t="shared" si="34"/>
        <v>89.542950000000019</v>
      </c>
      <c r="O70">
        <f t="shared" si="35"/>
        <v>1216.25</v>
      </c>
      <c r="P70" s="7">
        <f t="shared" ref="P70:P104" si="39">O70/N70</f>
        <v>13.582867216235334</v>
      </c>
      <c r="Q70">
        <f>ROUNDUP(몬스터!$P$24/F70, 0)</f>
        <v>14</v>
      </c>
      <c r="R70" s="6">
        <f t="shared" si="36"/>
        <v>17.565872020075282</v>
      </c>
      <c r="S70" s="7">
        <f>B70/몬스터!C23*R70</f>
        <v>293.8798271295135</v>
      </c>
      <c r="U70">
        <f>ROUNDDOWN(R70*몬스터!H$24, 0)*몬스터!G$24*(1+몬스터!I$24)</f>
        <v>1654.6949999999999</v>
      </c>
      <c r="V70" s="2">
        <f t="shared" ref="V70:V104" si="40">U70/O70</f>
        <v>1.3604892086330935</v>
      </c>
    </row>
    <row r="71" spans="1:22" x14ac:dyDescent="0.4">
      <c r="A71">
        <v>67</v>
      </c>
      <c r="B71" s="4">
        <f>170*A71</f>
        <v>11390</v>
      </c>
      <c r="C71">
        <f t="shared" si="29"/>
        <v>885</v>
      </c>
      <c r="D71">
        <f t="shared" si="30"/>
        <v>40</v>
      </c>
      <c r="E71" s="2">
        <v>0</v>
      </c>
      <c r="F71">
        <f t="shared" si="31"/>
        <v>108</v>
      </c>
      <c r="G71">
        <f t="shared" si="32"/>
        <v>0.79900000000000004</v>
      </c>
      <c r="H71" s="3">
        <f t="shared" si="38"/>
        <v>0.05</v>
      </c>
      <c r="I71" s="2">
        <v>2</v>
      </c>
      <c r="J71" s="2">
        <v>0</v>
      </c>
      <c r="K71" s="2">
        <v>1</v>
      </c>
      <c r="L71" s="16">
        <f>1</f>
        <v>1</v>
      </c>
      <c r="M71" s="5">
        <f t="shared" si="33"/>
        <v>960</v>
      </c>
      <c r="N71" s="6">
        <f t="shared" si="34"/>
        <v>90.6066</v>
      </c>
      <c r="O71">
        <f t="shared" si="35"/>
        <v>1239</v>
      </c>
      <c r="P71" s="7">
        <f t="shared" si="39"/>
        <v>13.674500533073749</v>
      </c>
      <c r="Q71">
        <f>ROUNDUP(몬스터!$P$24/F71, 0)</f>
        <v>14</v>
      </c>
      <c r="R71" s="6">
        <f t="shared" si="36"/>
        <v>17.521902377972463</v>
      </c>
      <c r="S71" s="7">
        <f>B71/몬스터!C23*R71</f>
        <v>316.78486997635929</v>
      </c>
      <c r="U71">
        <f>ROUNDDOWN(R71*몬스터!H$24, 0)*몬스터!G$24*(1+몬스터!I$24)</f>
        <v>1654.6949999999999</v>
      </c>
      <c r="V71" s="2">
        <f t="shared" si="40"/>
        <v>1.3355084745762711</v>
      </c>
    </row>
    <row r="72" spans="1:22" x14ac:dyDescent="0.4">
      <c r="A72">
        <v>68</v>
      </c>
      <c r="B72" s="4">
        <f>170*A72</f>
        <v>11560</v>
      </c>
      <c r="C72">
        <f t="shared" si="29"/>
        <v>900</v>
      </c>
      <c r="D72">
        <f t="shared" si="30"/>
        <v>40</v>
      </c>
      <c r="E72" s="2">
        <v>0</v>
      </c>
      <c r="F72">
        <f t="shared" si="31"/>
        <v>109</v>
      </c>
      <c r="G72">
        <f t="shared" si="32"/>
        <v>0.80100000000000005</v>
      </c>
      <c r="H72" s="3">
        <f t="shared" si="38"/>
        <v>0.05</v>
      </c>
      <c r="I72" s="2">
        <v>2</v>
      </c>
      <c r="J72" s="2">
        <v>0</v>
      </c>
      <c r="K72" s="2">
        <v>1</v>
      </c>
      <c r="L72" s="16">
        <f>1</f>
        <v>1</v>
      </c>
      <c r="M72" s="5">
        <f t="shared" si="33"/>
        <v>970</v>
      </c>
      <c r="N72" s="6">
        <f t="shared" si="34"/>
        <v>91.674450000000022</v>
      </c>
      <c r="O72">
        <f t="shared" si="35"/>
        <v>1260</v>
      </c>
      <c r="P72" s="7">
        <f t="shared" si="39"/>
        <v>13.744287530495134</v>
      </c>
      <c r="Q72">
        <f>ROUNDUP(몬스터!$P$24/F72, 0)</f>
        <v>14</v>
      </c>
      <c r="R72" s="6">
        <f t="shared" si="36"/>
        <v>17.478152309612984</v>
      </c>
      <c r="S72" s="7">
        <f>B72/몬스터!C23*R72</f>
        <v>320.71022333194617</v>
      </c>
      <c r="U72">
        <f>ROUNDDOWN(R72*몬스터!H$24, 0)*몬스터!G$24*(1+몬스터!I$24)</f>
        <v>1654.6949999999999</v>
      </c>
      <c r="V72" s="2">
        <f t="shared" si="40"/>
        <v>1.31325</v>
      </c>
    </row>
    <row r="73" spans="1:22" x14ac:dyDescent="0.4">
      <c r="A73">
        <v>69</v>
      </c>
      <c r="B73" s="4">
        <f>170*A73</f>
        <v>11730</v>
      </c>
      <c r="C73">
        <f t="shared" si="29"/>
        <v>910</v>
      </c>
      <c r="D73">
        <f t="shared" si="30"/>
        <v>40</v>
      </c>
      <c r="E73" s="2">
        <v>0</v>
      </c>
      <c r="F73">
        <f t="shared" si="31"/>
        <v>111</v>
      </c>
      <c r="G73">
        <f t="shared" si="32"/>
        <v>0.80300000000000005</v>
      </c>
      <c r="H73" s="3">
        <f t="shared" si="38"/>
        <v>0.05</v>
      </c>
      <c r="I73" s="2">
        <v>2</v>
      </c>
      <c r="J73" s="2">
        <v>0</v>
      </c>
      <c r="K73" s="2">
        <v>1</v>
      </c>
      <c r="L73" s="16">
        <f>1</f>
        <v>1</v>
      </c>
      <c r="M73" s="5">
        <f t="shared" si="33"/>
        <v>980</v>
      </c>
      <c r="N73" s="6">
        <f t="shared" si="34"/>
        <v>93.58965000000002</v>
      </c>
      <c r="O73">
        <f t="shared" si="35"/>
        <v>1274</v>
      </c>
      <c r="P73" s="7">
        <f t="shared" si="39"/>
        <v>13.612616352342377</v>
      </c>
      <c r="Q73">
        <f>ROUNDUP(몬스터!$P$24/F73, 0)</f>
        <v>14</v>
      </c>
      <c r="R73" s="6">
        <f t="shared" si="36"/>
        <v>17.4346201743462</v>
      </c>
      <c r="S73" s="7">
        <f>B73/몬스터!C23*R73</f>
        <v>324.61602324616024</v>
      </c>
      <c r="U73">
        <f>ROUNDDOWN(R73*몬스터!H$24, 0)*몬스터!G$24*(1+몬스터!I$24)</f>
        <v>1654.6949999999999</v>
      </c>
      <c r="V73" s="2">
        <f t="shared" si="40"/>
        <v>1.2988186813186813</v>
      </c>
    </row>
    <row r="74" spans="1:22" x14ac:dyDescent="0.4">
      <c r="A74">
        <v>70</v>
      </c>
      <c r="B74" s="4">
        <f>170*A74</f>
        <v>11900</v>
      </c>
      <c r="C74">
        <f t="shared" si="29"/>
        <v>920</v>
      </c>
      <c r="D74">
        <f t="shared" si="30"/>
        <v>41</v>
      </c>
      <c r="E74" s="2">
        <v>0</v>
      </c>
      <c r="F74">
        <f t="shared" si="31"/>
        <v>112</v>
      </c>
      <c r="G74">
        <f t="shared" si="32"/>
        <v>0.80500000000000005</v>
      </c>
      <c r="H74" s="3">
        <f t="shared" si="38"/>
        <v>0.05</v>
      </c>
      <c r="I74" s="2">
        <v>2</v>
      </c>
      <c r="J74" s="2">
        <v>0</v>
      </c>
      <c r="K74" s="2">
        <v>1</v>
      </c>
      <c r="L74" s="16">
        <f>1</f>
        <v>1</v>
      </c>
      <c r="M74" s="5">
        <f t="shared" si="33"/>
        <v>990</v>
      </c>
      <c r="N74" s="6">
        <f t="shared" si="34"/>
        <v>94.668000000000021</v>
      </c>
      <c r="O74">
        <f t="shared" si="35"/>
        <v>1297.1999999999998</v>
      </c>
      <c r="P74" s="7">
        <f t="shared" si="39"/>
        <v>13.702623906705535</v>
      </c>
      <c r="Q74">
        <f>ROUNDUP(몬스터!$P$24/F74, 0)</f>
        <v>14</v>
      </c>
      <c r="R74" s="6">
        <f t="shared" si="36"/>
        <v>17.391304347826086</v>
      </c>
      <c r="S74" s="7">
        <f>B74/몬스터!C23*R74</f>
        <v>328.50241545893721</v>
      </c>
      <c r="T74" s="7">
        <f t="shared" ref="T74" si="41">SUM(S70:S74)</f>
        <v>1584.4933591429167</v>
      </c>
      <c r="U74">
        <f>ROUNDDOWN(R74*몬스터!H$24, 0)*몬스터!G$24*(1+몬스터!I$24)</f>
        <v>1654.6949999999999</v>
      </c>
      <c r="V74" s="2">
        <f t="shared" si="40"/>
        <v>1.2755897317298799</v>
      </c>
    </row>
    <row r="75" spans="1:22" x14ac:dyDescent="0.4">
      <c r="A75">
        <v>71</v>
      </c>
      <c r="B75" s="4">
        <f>160*A75</f>
        <v>11360</v>
      </c>
      <c r="C75">
        <f t="shared" si="29"/>
        <v>930</v>
      </c>
      <c r="D75">
        <f t="shared" si="30"/>
        <v>41</v>
      </c>
      <c r="E75" s="2">
        <v>0</v>
      </c>
      <c r="F75">
        <f t="shared" si="31"/>
        <v>113</v>
      </c>
      <c r="G75">
        <f t="shared" si="32"/>
        <v>0.80700000000000005</v>
      </c>
      <c r="H75" s="3">
        <f t="shared" si="38"/>
        <v>0.05</v>
      </c>
      <c r="I75" s="2">
        <v>2</v>
      </c>
      <c r="J75" s="2">
        <v>0</v>
      </c>
      <c r="K75" s="2">
        <v>1</v>
      </c>
      <c r="L75" s="16">
        <f>1</f>
        <v>1</v>
      </c>
      <c r="M75" s="5">
        <f t="shared" si="33"/>
        <v>1000</v>
      </c>
      <c r="N75" s="6">
        <f t="shared" si="34"/>
        <v>95.750550000000004</v>
      </c>
      <c r="O75">
        <f t="shared" si="35"/>
        <v>1311.3</v>
      </c>
      <c r="P75" s="7">
        <f t="shared" si="39"/>
        <v>13.694960498921414</v>
      </c>
      <c r="Q75">
        <f>ROUNDUP(몬스터!$P$25/F75, 0)</f>
        <v>15</v>
      </c>
      <c r="R75" s="6">
        <f t="shared" si="36"/>
        <v>18.587360594795538</v>
      </c>
      <c r="S75" s="7">
        <f>B75/몬스터!C24*R75</f>
        <v>310.51825934834898</v>
      </c>
      <c r="U75">
        <f>ROUNDDOWN(R75*몬스터!H$25, 0)*몬스터!G$25*(1+몬스터!I$25)</f>
        <v>1923.075</v>
      </c>
      <c r="V75" s="2">
        <f t="shared" si="40"/>
        <v>1.4665408373369939</v>
      </c>
    </row>
    <row r="76" spans="1:22" x14ac:dyDescent="0.4">
      <c r="A76">
        <v>72</v>
      </c>
      <c r="B76" s="4">
        <f>160*A76</f>
        <v>11520</v>
      </c>
      <c r="C76">
        <f t="shared" si="29"/>
        <v>940</v>
      </c>
      <c r="D76">
        <f t="shared" si="30"/>
        <v>41</v>
      </c>
      <c r="E76" s="2">
        <v>0</v>
      </c>
      <c r="F76">
        <f t="shared" si="31"/>
        <v>115</v>
      </c>
      <c r="G76">
        <f t="shared" si="32"/>
        <v>0.80900000000000005</v>
      </c>
      <c r="H76" s="3">
        <f t="shared" si="38"/>
        <v>0.05</v>
      </c>
      <c r="I76" s="2">
        <v>2</v>
      </c>
      <c r="J76" s="2">
        <v>0</v>
      </c>
      <c r="K76" s="2">
        <v>1</v>
      </c>
      <c r="L76" s="16">
        <f>1</f>
        <v>1</v>
      </c>
      <c r="M76" s="5">
        <f t="shared" si="33"/>
        <v>1010</v>
      </c>
      <c r="N76" s="6">
        <f t="shared" si="34"/>
        <v>97.686750000000018</v>
      </c>
      <c r="O76">
        <f t="shared" si="35"/>
        <v>1325.3999999999999</v>
      </c>
      <c r="P76" s="7">
        <f t="shared" si="39"/>
        <v>13.567858486437512</v>
      </c>
      <c r="Q76">
        <f>ROUNDUP(몬스터!$P$25/F76, 0)</f>
        <v>15</v>
      </c>
      <c r="R76" s="6">
        <f t="shared" si="36"/>
        <v>18.541409147095177</v>
      </c>
      <c r="S76" s="7">
        <f>B76/몬스터!C24*R76</f>
        <v>314.11328437431831</v>
      </c>
      <c r="U76">
        <f>ROUNDDOWN(R76*몬스터!H$25, 0)*몬스터!G$25*(1+몬스터!I$25)</f>
        <v>1923.075</v>
      </c>
      <c r="V76" s="2">
        <f t="shared" si="40"/>
        <v>1.4509393390674514</v>
      </c>
    </row>
    <row r="77" spans="1:22" x14ac:dyDescent="0.4">
      <c r="A77">
        <v>73</v>
      </c>
      <c r="B77" s="4">
        <f>160*A77</f>
        <v>11680</v>
      </c>
      <c r="C77">
        <f t="shared" si="29"/>
        <v>955</v>
      </c>
      <c r="D77">
        <f t="shared" si="30"/>
        <v>41</v>
      </c>
      <c r="E77" s="2">
        <v>0</v>
      </c>
      <c r="F77">
        <f t="shared" si="31"/>
        <v>116</v>
      </c>
      <c r="G77">
        <f t="shared" si="32"/>
        <v>0.81100000000000005</v>
      </c>
      <c r="H77" s="3">
        <f t="shared" si="38"/>
        <v>0.05</v>
      </c>
      <c r="I77" s="2">
        <v>2</v>
      </c>
      <c r="J77" s="2">
        <v>0</v>
      </c>
      <c r="K77" s="2">
        <v>1</v>
      </c>
      <c r="L77" s="16">
        <f>1</f>
        <v>1</v>
      </c>
      <c r="M77" s="5">
        <f t="shared" si="33"/>
        <v>1020</v>
      </c>
      <c r="N77" s="6">
        <f t="shared" si="34"/>
        <v>98.779800000000009</v>
      </c>
      <c r="O77">
        <f t="shared" si="35"/>
        <v>1346.55</v>
      </c>
      <c r="P77" s="7">
        <f t="shared" si="39"/>
        <v>13.631835658707548</v>
      </c>
      <c r="Q77">
        <f>ROUNDUP(몬스터!$P$25/F77, 0)</f>
        <v>15</v>
      </c>
      <c r="R77" s="6">
        <f t="shared" si="36"/>
        <v>18.49568434032059</v>
      </c>
      <c r="S77" s="7">
        <f>B77/몬스터!C24*R77</f>
        <v>317.69057808080072</v>
      </c>
      <c r="U77">
        <f>ROUNDDOWN(R77*몬스터!H$25, 0)*몬스터!G$25*(1+몬스터!I$25)</f>
        <v>1923.075</v>
      </c>
      <c r="V77" s="2">
        <f t="shared" si="40"/>
        <v>1.4281497159407375</v>
      </c>
    </row>
    <row r="78" spans="1:22" x14ac:dyDescent="0.4">
      <c r="A78">
        <v>74</v>
      </c>
      <c r="B78" s="4">
        <f>160*A78</f>
        <v>11840</v>
      </c>
      <c r="C78">
        <f t="shared" si="29"/>
        <v>965</v>
      </c>
      <c r="D78">
        <f t="shared" si="30"/>
        <v>42</v>
      </c>
      <c r="E78" s="2">
        <v>0</v>
      </c>
      <c r="F78">
        <f t="shared" si="31"/>
        <v>117</v>
      </c>
      <c r="G78">
        <f t="shared" si="32"/>
        <v>0.81300000000000006</v>
      </c>
      <c r="H78" s="3">
        <f t="shared" si="38"/>
        <v>0.05</v>
      </c>
      <c r="I78" s="2">
        <v>2</v>
      </c>
      <c r="J78" s="2">
        <v>0</v>
      </c>
      <c r="K78" s="2">
        <v>1</v>
      </c>
      <c r="L78" s="16">
        <f>1</f>
        <v>1</v>
      </c>
      <c r="M78" s="5">
        <f t="shared" si="33"/>
        <v>1030</v>
      </c>
      <c r="N78" s="6">
        <f t="shared" si="34"/>
        <v>99.877050000000011</v>
      </c>
      <c r="O78">
        <f t="shared" si="35"/>
        <v>1370.3</v>
      </c>
      <c r="P78" s="7">
        <f t="shared" si="39"/>
        <v>13.719868578417161</v>
      </c>
      <c r="Q78">
        <f>ROUNDUP(몬스터!$P$25/F78, 0)</f>
        <v>15</v>
      </c>
      <c r="R78" s="6">
        <f t="shared" si="36"/>
        <v>18.450184501845015</v>
      </c>
      <c r="S78" s="7">
        <f>B78/몬스터!C24*R78</f>
        <v>321.25027132624257</v>
      </c>
      <c r="U78">
        <f>ROUNDDOWN(R78*몬스터!H$25, 0)*몬스터!G$25*(1+몬스터!I$25)</f>
        <v>1923.075</v>
      </c>
      <c r="V78" s="2">
        <f t="shared" si="40"/>
        <v>1.403397066335839</v>
      </c>
    </row>
    <row r="79" spans="1:22" x14ac:dyDescent="0.4">
      <c r="A79">
        <v>75</v>
      </c>
      <c r="B79" s="4">
        <f>160*A79</f>
        <v>12000</v>
      </c>
      <c r="C79">
        <f t="shared" si="29"/>
        <v>975</v>
      </c>
      <c r="D79">
        <f t="shared" si="30"/>
        <v>42</v>
      </c>
      <c r="E79" s="2">
        <v>0</v>
      </c>
      <c r="F79">
        <f t="shared" si="31"/>
        <v>119</v>
      </c>
      <c r="G79">
        <f t="shared" si="32"/>
        <v>0.81500000000000006</v>
      </c>
      <c r="H79" s="3">
        <f t="shared" si="38"/>
        <v>0.05</v>
      </c>
      <c r="I79" s="2">
        <v>2</v>
      </c>
      <c r="J79" s="2">
        <v>0</v>
      </c>
      <c r="K79" s="2">
        <v>1</v>
      </c>
      <c r="L79" s="16">
        <f>1</f>
        <v>1</v>
      </c>
      <c r="M79" s="5">
        <f t="shared" si="33"/>
        <v>1040</v>
      </c>
      <c r="N79" s="6">
        <f t="shared" si="34"/>
        <v>101.83425000000003</v>
      </c>
      <c r="O79">
        <f t="shared" si="35"/>
        <v>1384.5</v>
      </c>
      <c r="P79" s="7">
        <f t="shared" si="39"/>
        <v>13.595622297998951</v>
      </c>
      <c r="Q79">
        <f>ROUNDUP(몬스터!$P$25/F79, 0)</f>
        <v>14</v>
      </c>
      <c r="R79" s="6">
        <f t="shared" si="36"/>
        <v>17.177914110429448</v>
      </c>
      <c r="S79" s="7">
        <f>B79/몬스터!C24*R79</f>
        <v>303.1396607722844</v>
      </c>
      <c r="T79" s="7">
        <f t="shared" ref="T79" si="42">SUM(S75:S79)</f>
        <v>1566.7120539019952</v>
      </c>
      <c r="U79">
        <f>ROUNDDOWN(R79*몬스터!H$25, 0)*몬스터!G$25*(1+몬스터!I$25)</f>
        <v>1794.8700000000001</v>
      </c>
      <c r="V79" s="2">
        <f t="shared" si="40"/>
        <v>1.2964030335861323</v>
      </c>
    </row>
    <row r="80" spans="1:22" x14ac:dyDescent="0.4">
      <c r="A80">
        <v>76</v>
      </c>
      <c r="B80" s="4">
        <f>170*A80</f>
        <v>12920</v>
      </c>
      <c r="C80">
        <f t="shared" si="29"/>
        <v>985</v>
      </c>
      <c r="D80">
        <f t="shared" si="30"/>
        <v>42</v>
      </c>
      <c r="E80" s="2">
        <v>0</v>
      </c>
      <c r="F80">
        <f t="shared" si="31"/>
        <v>120</v>
      </c>
      <c r="G80">
        <f t="shared" si="32"/>
        <v>0.81700000000000006</v>
      </c>
      <c r="H80" s="3">
        <f t="shared" si="38"/>
        <v>0.05</v>
      </c>
      <c r="I80" s="2">
        <v>2</v>
      </c>
      <c r="J80" s="2">
        <v>0</v>
      </c>
      <c r="K80" s="2">
        <v>1</v>
      </c>
      <c r="L80" s="16">
        <f>1</f>
        <v>1</v>
      </c>
      <c r="M80" s="5">
        <f t="shared" si="33"/>
        <v>1050</v>
      </c>
      <c r="N80" s="6">
        <f t="shared" si="34"/>
        <v>102.94200000000001</v>
      </c>
      <c r="O80">
        <f t="shared" si="35"/>
        <v>1398.6999999999998</v>
      </c>
      <c r="P80" s="7">
        <f t="shared" si="39"/>
        <v>13.587262730469583</v>
      </c>
      <c r="Q80">
        <f>ROUNDUP(몬스터!$P$26/F80, 0)</f>
        <v>16</v>
      </c>
      <c r="R80" s="6">
        <f t="shared" si="36"/>
        <v>19.583843329253366</v>
      </c>
      <c r="S80" s="7">
        <f>B80/몬스터!C25*R80</f>
        <v>346.60719974514177</v>
      </c>
      <c r="U80">
        <f>ROUNDDOWN(R80*몬스터!H$26, 0)*몬스터!G$26*(1+몬스터!I$26)</f>
        <v>2194.8000000000002</v>
      </c>
      <c r="V80" s="2">
        <f t="shared" si="40"/>
        <v>1.5691713734181743</v>
      </c>
    </row>
    <row r="81" spans="1:22" x14ac:dyDescent="0.4">
      <c r="A81">
        <v>77</v>
      </c>
      <c r="B81" s="4">
        <f>170*A81</f>
        <v>13090</v>
      </c>
      <c r="C81">
        <f t="shared" si="29"/>
        <v>995</v>
      </c>
      <c r="D81">
        <f t="shared" si="30"/>
        <v>43</v>
      </c>
      <c r="E81" s="2">
        <v>0</v>
      </c>
      <c r="F81">
        <f t="shared" si="31"/>
        <v>121</v>
      </c>
      <c r="G81">
        <f t="shared" si="32"/>
        <v>0.81900000000000006</v>
      </c>
      <c r="H81" s="3">
        <f t="shared" si="38"/>
        <v>0.05</v>
      </c>
      <c r="I81" s="2">
        <v>2</v>
      </c>
      <c r="J81" s="2">
        <v>0</v>
      </c>
      <c r="K81" s="2">
        <v>1</v>
      </c>
      <c r="L81" s="16">
        <f>1</f>
        <v>1</v>
      </c>
      <c r="M81" s="5">
        <f t="shared" si="33"/>
        <v>1060</v>
      </c>
      <c r="N81" s="6">
        <f t="shared" si="34"/>
        <v>104.05395000000001</v>
      </c>
      <c r="O81">
        <f t="shared" si="35"/>
        <v>1422.85</v>
      </c>
      <c r="P81" s="7">
        <f t="shared" si="39"/>
        <v>13.674156531299385</v>
      </c>
      <c r="Q81">
        <f>ROUNDUP(몬스터!$P$26/F81, 0)</f>
        <v>15</v>
      </c>
      <c r="R81" s="6">
        <f t="shared" si="36"/>
        <v>18.315018315018314</v>
      </c>
      <c r="S81" s="7">
        <f>B81/몬스터!C25*R81</f>
        <v>328.41587636108181</v>
      </c>
      <c r="U81">
        <f>ROUNDDOWN(R81*몬스터!H$26, 0)*몬스터!G$26*(1+몬스터!I$26)</f>
        <v>2057.625</v>
      </c>
      <c r="V81" s="2">
        <f t="shared" si="40"/>
        <v>1.4461292476367855</v>
      </c>
    </row>
    <row r="82" spans="1:22" x14ac:dyDescent="0.4">
      <c r="A82">
        <v>78</v>
      </c>
      <c r="B82" s="4">
        <f>170*A82</f>
        <v>13260</v>
      </c>
      <c r="C82">
        <f t="shared" si="29"/>
        <v>1010</v>
      </c>
      <c r="D82">
        <f t="shared" si="30"/>
        <v>43</v>
      </c>
      <c r="E82" s="2">
        <v>0</v>
      </c>
      <c r="F82">
        <f t="shared" si="31"/>
        <v>123</v>
      </c>
      <c r="G82">
        <f t="shared" si="32"/>
        <v>0.82100000000000006</v>
      </c>
      <c r="H82" s="3">
        <f t="shared" si="38"/>
        <v>0.05</v>
      </c>
      <c r="I82" s="2">
        <v>2</v>
      </c>
      <c r="J82" s="2">
        <v>0</v>
      </c>
      <c r="K82" s="2">
        <v>1</v>
      </c>
      <c r="L82" s="16">
        <f>1</f>
        <v>1</v>
      </c>
      <c r="M82" s="5">
        <f t="shared" si="33"/>
        <v>1070</v>
      </c>
      <c r="N82" s="6">
        <f t="shared" si="34"/>
        <v>106.03215000000002</v>
      </c>
      <c r="O82">
        <f t="shared" si="35"/>
        <v>1444.3</v>
      </c>
      <c r="P82" s="7">
        <f t="shared" si="39"/>
        <v>13.621340319893539</v>
      </c>
      <c r="Q82">
        <f>ROUNDUP(몬스터!$P$26/F82, 0)</f>
        <v>15</v>
      </c>
      <c r="R82" s="6">
        <f t="shared" si="36"/>
        <v>18.270401948842874</v>
      </c>
      <c r="S82" s="7">
        <f>B82/몬스터!C25*R82</f>
        <v>331.870588824187</v>
      </c>
      <c r="U82">
        <f>ROUNDDOWN(R82*몬스터!H$26, 0)*몬스터!G$26*(1+몬스터!I$26)</f>
        <v>2057.625</v>
      </c>
      <c r="V82" s="2">
        <f t="shared" si="40"/>
        <v>1.4246520805926748</v>
      </c>
    </row>
    <row r="83" spans="1:22" x14ac:dyDescent="0.4">
      <c r="A83">
        <v>79</v>
      </c>
      <c r="B83" s="4">
        <f>170*A83</f>
        <v>13430</v>
      </c>
      <c r="C83">
        <f t="shared" si="29"/>
        <v>1020</v>
      </c>
      <c r="D83">
        <f t="shared" si="30"/>
        <v>43</v>
      </c>
      <c r="E83" s="2">
        <v>0</v>
      </c>
      <c r="F83">
        <f t="shared" si="31"/>
        <v>124</v>
      </c>
      <c r="G83">
        <f t="shared" si="32"/>
        <v>0.82300000000000006</v>
      </c>
      <c r="H83" s="3">
        <f t="shared" si="38"/>
        <v>0.05</v>
      </c>
      <c r="I83" s="2">
        <v>2</v>
      </c>
      <c r="J83" s="2">
        <v>0</v>
      </c>
      <c r="K83" s="2">
        <v>1</v>
      </c>
      <c r="L83" s="16">
        <f>1</f>
        <v>1</v>
      </c>
      <c r="M83" s="5">
        <f t="shared" si="33"/>
        <v>1080</v>
      </c>
      <c r="N83" s="6">
        <f t="shared" si="34"/>
        <v>107.15460000000002</v>
      </c>
      <c r="O83">
        <f t="shared" si="35"/>
        <v>1458.6</v>
      </c>
      <c r="P83" s="7">
        <f t="shared" si="39"/>
        <v>13.612108112950818</v>
      </c>
      <c r="Q83">
        <f>ROUNDUP(몬스터!$P$26/F83, 0)</f>
        <v>15</v>
      </c>
      <c r="R83" s="6">
        <f t="shared" si="36"/>
        <v>18.226002430133654</v>
      </c>
      <c r="S83" s="7">
        <f>B83/몬스터!C25*R83</f>
        <v>335.30851046122598</v>
      </c>
      <c r="U83">
        <f>ROUNDDOWN(R83*몬스터!H$26, 0)*몬스터!G$26*(1+몬스터!I$26)</f>
        <v>2057.625</v>
      </c>
      <c r="V83" s="2">
        <f t="shared" si="40"/>
        <v>1.4106849033319622</v>
      </c>
    </row>
    <row r="84" spans="1:22" x14ac:dyDescent="0.4">
      <c r="A84">
        <v>80</v>
      </c>
      <c r="B84" s="4">
        <f>170*A84</f>
        <v>13600</v>
      </c>
      <c r="C84">
        <f t="shared" si="29"/>
        <v>1030</v>
      </c>
      <c r="D84">
        <f t="shared" si="30"/>
        <v>44</v>
      </c>
      <c r="E84" s="2">
        <v>0</v>
      </c>
      <c r="F84">
        <f t="shared" si="31"/>
        <v>125</v>
      </c>
      <c r="G84">
        <f t="shared" si="32"/>
        <v>0.82500000000000007</v>
      </c>
      <c r="H84" s="3">
        <f t="shared" si="38"/>
        <v>0.05</v>
      </c>
      <c r="I84" s="2">
        <v>2</v>
      </c>
      <c r="J84" s="2">
        <v>0</v>
      </c>
      <c r="K84" s="2">
        <v>1</v>
      </c>
      <c r="L84" s="16">
        <f>1</f>
        <v>1</v>
      </c>
      <c r="M84" s="5">
        <f t="shared" si="33"/>
        <v>1090</v>
      </c>
      <c r="N84" s="6">
        <f t="shared" si="34"/>
        <v>108.28125000000001</v>
      </c>
      <c r="O84">
        <f t="shared" si="35"/>
        <v>1483.2</v>
      </c>
      <c r="P84" s="7">
        <f t="shared" si="39"/>
        <v>13.697662337662337</v>
      </c>
      <c r="Q84">
        <f>ROUNDUP(몬스터!$P$26/F84, 0)</f>
        <v>15</v>
      </c>
      <c r="R84" s="6">
        <f t="shared" si="36"/>
        <v>18.18181818181818</v>
      </c>
      <c r="S84" s="7">
        <f>B84/몬스터!C25*R84</f>
        <v>338.72976338729762</v>
      </c>
      <c r="T84" s="7">
        <f t="shared" ref="T84" si="43">SUM(S80:S84)</f>
        <v>1680.9319387789342</v>
      </c>
      <c r="U84">
        <f>ROUNDDOWN(R84*몬스터!H$26, 0)*몬스터!G$26*(1+몬스터!I$26)</f>
        <v>2057.625</v>
      </c>
      <c r="V84" s="2">
        <f t="shared" si="40"/>
        <v>1.3872876213592233</v>
      </c>
    </row>
    <row r="85" spans="1:22" x14ac:dyDescent="0.4">
      <c r="A85">
        <v>81</v>
      </c>
      <c r="B85" s="4">
        <f>160*A85</f>
        <v>12960</v>
      </c>
      <c r="C85">
        <f t="shared" si="29"/>
        <v>1040</v>
      </c>
      <c r="D85">
        <f t="shared" si="30"/>
        <v>44</v>
      </c>
      <c r="E85" s="2">
        <v>0</v>
      </c>
      <c r="F85">
        <f t="shared" si="31"/>
        <v>127</v>
      </c>
      <c r="G85">
        <f t="shared" si="32"/>
        <v>0.82700000000000007</v>
      </c>
      <c r="H85" s="3">
        <f t="shared" si="38"/>
        <v>0.05</v>
      </c>
      <c r="I85" s="2">
        <v>2</v>
      </c>
      <c r="J85" s="2">
        <v>0</v>
      </c>
      <c r="K85" s="2">
        <v>1</v>
      </c>
      <c r="L85" s="16">
        <f>1</f>
        <v>1</v>
      </c>
      <c r="M85" s="5">
        <f t="shared" si="33"/>
        <v>1100</v>
      </c>
      <c r="N85" s="6">
        <f t="shared" si="34"/>
        <v>110.28045000000002</v>
      </c>
      <c r="O85">
        <f t="shared" si="35"/>
        <v>1497.6</v>
      </c>
      <c r="P85" s="7">
        <f t="shared" si="39"/>
        <v>13.579922824036352</v>
      </c>
      <c r="Q85">
        <f>ROUNDUP(몬스터!$P$29/F85, 0)</f>
        <v>16</v>
      </c>
      <c r="R85" s="6">
        <f t="shared" si="36"/>
        <v>19.347037484885124</v>
      </c>
      <c r="S85" s="7">
        <f>B85/몬스터!C26*R85</f>
        <v>321.4584689796298</v>
      </c>
      <c r="U85">
        <f>ROUNDDOWN(R85*몬스터!H$29, 0)*몬스터!G$29*(1+몬스터!I$29)</f>
        <v>2358.7199999999998</v>
      </c>
      <c r="V85" s="2">
        <f t="shared" si="40"/>
        <v>1.575</v>
      </c>
    </row>
    <row r="86" spans="1:22" x14ac:dyDescent="0.4">
      <c r="A86">
        <v>82</v>
      </c>
      <c r="B86" s="4">
        <f>160*A86</f>
        <v>13120</v>
      </c>
      <c r="C86">
        <f t="shared" si="29"/>
        <v>1050</v>
      </c>
      <c r="D86">
        <f t="shared" si="30"/>
        <v>44</v>
      </c>
      <c r="E86" s="2">
        <v>0</v>
      </c>
      <c r="F86">
        <f t="shared" si="31"/>
        <v>128</v>
      </c>
      <c r="G86">
        <f t="shared" si="32"/>
        <v>0.82900000000000007</v>
      </c>
      <c r="H86" s="3">
        <f t="shared" si="38"/>
        <v>0.05</v>
      </c>
      <c r="I86" s="2">
        <v>2</v>
      </c>
      <c r="J86" s="2">
        <v>0</v>
      </c>
      <c r="K86" s="2">
        <v>1</v>
      </c>
      <c r="L86" s="16">
        <f>1</f>
        <v>1</v>
      </c>
      <c r="M86" s="5">
        <f t="shared" si="33"/>
        <v>1110</v>
      </c>
      <c r="N86" s="6">
        <f t="shared" si="34"/>
        <v>111.41760000000001</v>
      </c>
      <c r="O86">
        <f t="shared" si="35"/>
        <v>1512</v>
      </c>
      <c r="P86" s="7">
        <f t="shared" si="39"/>
        <v>13.570566948130276</v>
      </c>
      <c r="Q86">
        <f>ROUNDUP(몬스터!$P$29/F86, 0)</f>
        <v>16</v>
      </c>
      <c r="R86" s="6">
        <f t="shared" si="36"/>
        <v>19.300361881785282</v>
      </c>
      <c r="S86" s="7">
        <f>B86/몬스터!C26*R86</f>
        <v>324.64198447310628</v>
      </c>
      <c r="U86">
        <f>ROUNDDOWN(R86*몬스터!H$29, 0)*몬스터!G$29*(1+몬스터!I$29)</f>
        <v>2358.7199999999998</v>
      </c>
      <c r="V86" s="2">
        <f t="shared" si="40"/>
        <v>1.5599999999999998</v>
      </c>
    </row>
    <row r="87" spans="1:22" x14ac:dyDescent="0.4">
      <c r="A87">
        <v>83</v>
      </c>
      <c r="B87" s="4">
        <f>160*A87</f>
        <v>13280</v>
      </c>
      <c r="C87">
        <f t="shared" si="29"/>
        <v>1065</v>
      </c>
      <c r="D87">
        <f t="shared" si="30"/>
        <v>44</v>
      </c>
      <c r="E87" s="2">
        <v>0</v>
      </c>
      <c r="F87">
        <f t="shared" si="31"/>
        <v>129</v>
      </c>
      <c r="G87">
        <f t="shared" si="32"/>
        <v>0.83100000000000007</v>
      </c>
      <c r="H87" s="3">
        <f t="shared" si="38"/>
        <v>0.05</v>
      </c>
      <c r="I87" s="2">
        <v>2</v>
      </c>
      <c r="J87" s="2">
        <v>0</v>
      </c>
      <c r="K87" s="2">
        <v>1</v>
      </c>
      <c r="L87" s="16">
        <f>1</f>
        <v>1</v>
      </c>
      <c r="M87" s="5">
        <f t="shared" si="33"/>
        <v>1120</v>
      </c>
      <c r="N87" s="6">
        <f t="shared" si="34"/>
        <v>112.55895000000002</v>
      </c>
      <c r="O87">
        <f t="shared" si="35"/>
        <v>1533.6</v>
      </c>
      <c r="P87" s="7">
        <f t="shared" si="39"/>
        <v>13.624860573059713</v>
      </c>
      <c r="Q87">
        <f>ROUNDUP(몬스터!$P$29/F87, 0)</f>
        <v>16</v>
      </c>
      <c r="R87" s="6">
        <f t="shared" si="36"/>
        <v>19.253910950661851</v>
      </c>
      <c r="S87" s="7">
        <f>B87/몬스터!C26*R87</f>
        <v>327.81017618562743</v>
      </c>
      <c r="U87">
        <f>ROUNDDOWN(R87*몬스터!H$29, 0)*몬스터!G$29*(1+몬스터!I$29)</f>
        <v>2358.7199999999998</v>
      </c>
      <c r="V87" s="2">
        <f t="shared" si="40"/>
        <v>1.5380281690140845</v>
      </c>
    </row>
    <row r="88" spans="1:22" x14ac:dyDescent="0.4">
      <c r="A88">
        <v>84</v>
      </c>
      <c r="B88" s="4">
        <f>160*A88</f>
        <v>13440</v>
      </c>
      <c r="C88">
        <f t="shared" si="29"/>
        <v>1075</v>
      </c>
      <c r="D88">
        <f t="shared" si="30"/>
        <v>45</v>
      </c>
      <c r="E88" s="2">
        <v>0</v>
      </c>
      <c r="F88">
        <f t="shared" si="31"/>
        <v>131</v>
      </c>
      <c r="G88">
        <f t="shared" si="32"/>
        <v>0.83300000000000007</v>
      </c>
      <c r="H88" s="3">
        <f t="shared" si="38"/>
        <v>0.05</v>
      </c>
      <c r="I88" s="2">
        <v>2</v>
      </c>
      <c r="J88" s="2">
        <v>0</v>
      </c>
      <c r="K88" s="2">
        <v>1</v>
      </c>
      <c r="L88" s="16">
        <f>1</f>
        <v>1</v>
      </c>
      <c r="M88" s="5">
        <f t="shared" si="33"/>
        <v>1130</v>
      </c>
      <c r="N88" s="6">
        <f t="shared" si="34"/>
        <v>114.57915000000001</v>
      </c>
      <c r="O88">
        <f t="shared" si="35"/>
        <v>1558.75</v>
      </c>
      <c r="P88" s="7">
        <f t="shared" si="39"/>
        <v>13.604133038166191</v>
      </c>
      <c r="Q88">
        <f>ROUNDUP(몬스터!$P$29/F88, 0)</f>
        <v>16</v>
      </c>
      <c r="R88" s="6">
        <f t="shared" si="36"/>
        <v>19.20768307322929</v>
      </c>
      <c r="S88" s="7">
        <f>B88/몬스터!C26*R88</f>
        <v>330.96315449256622</v>
      </c>
      <c r="U88">
        <f>ROUNDDOWN(R88*몬스터!H$29, 0)*몬스터!G$29*(1+몬스터!I$29)</f>
        <v>2358.7199999999998</v>
      </c>
      <c r="V88" s="2">
        <f t="shared" si="40"/>
        <v>1.5132125100240577</v>
      </c>
    </row>
    <row r="89" spans="1:22" x14ac:dyDescent="0.4">
      <c r="A89">
        <v>85</v>
      </c>
      <c r="B89" s="4">
        <f>160*A89</f>
        <v>13600</v>
      </c>
      <c r="C89">
        <f t="shared" si="29"/>
        <v>1085</v>
      </c>
      <c r="D89">
        <f t="shared" si="30"/>
        <v>45</v>
      </c>
      <c r="E89" s="2">
        <v>0</v>
      </c>
      <c r="F89">
        <f t="shared" si="31"/>
        <v>132</v>
      </c>
      <c r="G89">
        <f t="shared" si="32"/>
        <v>0.83500000000000008</v>
      </c>
      <c r="H89" s="3">
        <f t="shared" si="38"/>
        <v>0.05</v>
      </c>
      <c r="I89" s="2">
        <v>2</v>
      </c>
      <c r="J89" s="2">
        <v>0</v>
      </c>
      <c r="K89" s="2">
        <v>1</v>
      </c>
      <c r="L89" s="16">
        <f>1</f>
        <v>1</v>
      </c>
      <c r="M89" s="5">
        <f t="shared" si="33"/>
        <v>1140</v>
      </c>
      <c r="N89" s="6">
        <f t="shared" si="34"/>
        <v>115.73100000000002</v>
      </c>
      <c r="O89">
        <f t="shared" si="35"/>
        <v>1573.25</v>
      </c>
      <c r="P89" s="7">
        <f t="shared" si="39"/>
        <v>13.594024073065986</v>
      </c>
      <c r="Q89">
        <f>ROUNDUP(몬스터!$P$29/F89, 0)</f>
        <v>15</v>
      </c>
      <c r="R89" s="6">
        <f t="shared" si="36"/>
        <v>17.964071856287422</v>
      </c>
      <c r="S89" s="7">
        <f>B89/몬스터!C26*R89</f>
        <v>313.2197144173191</v>
      </c>
      <c r="T89" s="7">
        <f t="shared" ref="T89" si="44">SUM(S85:S89)</f>
        <v>1618.0934985482486</v>
      </c>
      <c r="U89">
        <f>ROUNDDOWN(R89*몬스터!H$29, 0)*몬스터!G$29*(1+몬스터!I$29)</f>
        <v>2211.2999999999997</v>
      </c>
      <c r="V89" s="2">
        <f t="shared" si="40"/>
        <v>1.4055617352614014</v>
      </c>
    </row>
    <row r="90" spans="1:22" x14ac:dyDescent="0.4">
      <c r="A90">
        <v>86</v>
      </c>
      <c r="B90" s="4">
        <f>170*A90</f>
        <v>14620</v>
      </c>
      <c r="C90">
        <f t="shared" si="29"/>
        <v>1095</v>
      </c>
      <c r="D90">
        <f t="shared" si="30"/>
        <v>45</v>
      </c>
      <c r="E90" s="2">
        <v>0</v>
      </c>
      <c r="F90">
        <f t="shared" si="31"/>
        <v>133</v>
      </c>
      <c r="G90">
        <f t="shared" si="32"/>
        <v>0.83700000000000008</v>
      </c>
      <c r="H90" s="3">
        <f t="shared" si="38"/>
        <v>0.05</v>
      </c>
      <c r="I90" s="2">
        <v>2</v>
      </c>
      <c r="J90" s="2">
        <v>0</v>
      </c>
      <c r="K90" s="2">
        <v>1</v>
      </c>
      <c r="L90" s="16">
        <f>1</f>
        <v>1</v>
      </c>
      <c r="M90" s="5">
        <f t="shared" si="33"/>
        <v>1150</v>
      </c>
      <c r="N90" s="6">
        <f t="shared" si="34"/>
        <v>116.88705000000002</v>
      </c>
      <c r="O90">
        <f t="shared" si="35"/>
        <v>1587.75</v>
      </c>
      <c r="P90" s="7">
        <f t="shared" si="39"/>
        <v>13.58362624431021</v>
      </c>
      <c r="Q90">
        <f>ROUNDUP(몬스터!$P$30/F90, 0)</f>
        <v>17</v>
      </c>
      <c r="R90" s="6">
        <f t="shared" si="36"/>
        <v>20.310633213859017</v>
      </c>
      <c r="S90" s="7">
        <f>B90/몬스터!C29*R90</f>
        <v>357.76079227303472</v>
      </c>
      <c r="U90">
        <f>ROUNDDOWN(R90*몬스터!H$30, 0)*몬스터!G$30*(1+몬스터!I$30)</f>
        <v>2662.3274999999999</v>
      </c>
      <c r="V90" s="2">
        <f t="shared" si="40"/>
        <v>1.6767926310817194</v>
      </c>
    </row>
    <row r="91" spans="1:22" x14ac:dyDescent="0.4">
      <c r="A91">
        <v>87</v>
      </c>
      <c r="B91" s="4">
        <f>170*A91</f>
        <v>14790</v>
      </c>
      <c r="C91">
        <f t="shared" si="29"/>
        <v>1105</v>
      </c>
      <c r="D91">
        <f t="shared" si="30"/>
        <v>46</v>
      </c>
      <c r="E91" s="2">
        <v>0</v>
      </c>
      <c r="F91">
        <f t="shared" si="31"/>
        <v>135</v>
      </c>
      <c r="G91">
        <f t="shared" si="32"/>
        <v>0.83900000000000008</v>
      </c>
      <c r="H91" s="3">
        <f t="shared" si="38"/>
        <v>0.05</v>
      </c>
      <c r="I91" s="2">
        <v>2</v>
      </c>
      <c r="J91" s="2">
        <v>0</v>
      </c>
      <c r="K91" s="2">
        <v>1</v>
      </c>
      <c r="L91" s="16">
        <f>1</f>
        <v>1</v>
      </c>
      <c r="M91" s="5">
        <f t="shared" si="33"/>
        <v>1160</v>
      </c>
      <c r="N91" s="6">
        <f t="shared" si="34"/>
        <v>118.92825000000002</v>
      </c>
      <c r="O91">
        <f t="shared" si="35"/>
        <v>1613.3</v>
      </c>
      <c r="P91" s="7">
        <f t="shared" si="39"/>
        <v>13.565321948317575</v>
      </c>
      <c r="Q91">
        <f>ROUNDUP(몬스터!$P$30/F91, 0)</f>
        <v>16</v>
      </c>
      <c r="R91" s="6">
        <f t="shared" si="36"/>
        <v>19.070321811680571</v>
      </c>
      <c r="S91" s="7">
        <f>B91/몬스터!C29*R91</f>
        <v>339.81934890934417</v>
      </c>
      <c r="U91">
        <f>ROUNDDOWN(R91*몬스터!H$30, 0)*몬스터!G$30*(1+몬스터!I$30)</f>
        <v>2505.7199999999998</v>
      </c>
      <c r="V91" s="2">
        <f t="shared" si="40"/>
        <v>1.553164321576892</v>
      </c>
    </row>
    <row r="92" spans="1:22" x14ac:dyDescent="0.4">
      <c r="A92">
        <v>88</v>
      </c>
      <c r="B92" s="4">
        <f>170*A92</f>
        <v>14960</v>
      </c>
      <c r="C92">
        <f t="shared" si="29"/>
        <v>1120</v>
      </c>
      <c r="D92">
        <f t="shared" si="30"/>
        <v>46</v>
      </c>
      <c r="E92" s="2">
        <v>0</v>
      </c>
      <c r="F92">
        <f t="shared" si="31"/>
        <v>136</v>
      </c>
      <c r="G92">
        <f t="shared" si="32"/>
        <v>0.84099999999999997</v>
      </c>
      <c r="H92" s="3">
        <f t="shared" si="38"/>
        <v>0.05</v>
      </c>
      <c r="I92" s="2">
        <v>2</v>
      </c>
      <c r="J92" s="2">
        <v>0</v>
      </c>
      <c r="K92" s="2">
        <v>1</v>
      </c>
      <c r="L92" s="16">
        <f>1</f>
        <v>1</v>
      </c>
      <c r="M92" s="5">
        <f t="shared" si="33"/>
        <v>1170</v>
      </c>
      <c r="N92" s="6">
        <f t="shared" si="34"/>
        <v>120.09479999999999</v>
      </c>
      <c r="O92">
        <f t="shared" si="35"/>
        <v>1635.2</v>
      </c>
      <c r="P92" s="7">
        <f t="shared" si="39"/>
        <v>13.615910097689493</v>
      </c>
      <c r="Q92">
        <f>ROUNDUP(몬스터!$P$30/F92, 0)</f>
        <v>16</v>
      </c>
      <c r="R92" s="6">
        <f t="shared" si="36"/>
        <v>19.024970273483948</v>
      </c>
      <c r="S92" s="7">
        <f>B92/몬스터!C29*R92</f>
        <v>342.90789794134923</v>
      </c>
      <c r="U92">
        <f>ROUNDDOWN(R92*몬스터!H$30, 0)*몬스터!G$30*(1+몬스터!I$30)</f>
        <v>2505.7199999999998</v>
      </c>
      <c r="V92" s="2">
        <f t="shared" si="40"/>
        <v>1.5323630136986299</v>
      </c>
    </row>
    <row r="93" spans="1:22" x14ac:dyDescent="0.4">
      <c r="A93">
        <v>89</v>
      </c>
      <c r="B93" s="4">
        <f>170*A93</f>
        <v>15130</v>
      </c>
      <c r="C93">
        <f t="shared" si="29"/>
        <v>1130</v>
      </c>
      <c r="D93">
        <f t="shared" si="30"/>
        <v>46</v>
      </c>
      <c r="E93" s="2">
        <v>0</v>
      </c>
      <c r="F93">
        <f t="shared" si="31"/>
        <v>137</v>
      </c>
      <c r="G93">
        <f t="shared" si="32"/>
        <v>0.84299999999999997</v>
      </c>
      <c r="H93" s="3">
        <f t="shared" si="38"/>
        <v>0.05</v>
      </c>
      <c r="I93" s="2">
        <v>2</v>
      </c>
      <c r="J93" s="2">
        <v>0</v>
      </c>
      <c r="K93" s="2">
        <v>1</v>
      </c>
      <c r="L93" s="16">
        <f>1</f>
        <v>1</v>
      </c>
      <c r="M93" s="5">
        <f t="shared" si="33"/>
        <v>1180</v>
      </c>
      <c r="N93" s="6">
        <f t="shared" si="34"/>
        <v>121.26555</v>
      </c>
      <c r="O93">
        <f t="shared" si="35"/>
        <v>1649.8</v>
      </c>
      <c r="P93" s="7">
        <f t="shared" si="39"/>
        <v>13.604853150791794</v>
      </c>
      <c r="Q93">
        <f>ROUNDUP(몬스터!$P$30/F93, 0)</f>
        <v>16</v>
      </c>
      <c r="R93" s="6">
        <f t="shared" si="36"/>
        <v>18.979833926453143</v>
      </c>
      <c r="S93" s="7">
        <f>B93/몬스터!C29*R93</f>
        <v>345.98179193642898</v>
      </c>
      <c r="U93">
        <f>ROUNDDOWN(R93*몬스터!H$30, 0)*몬스터!G$30*(1+몬스터!I$30)</f>
        <v>2505.7199999999998</v>
      </c>
      <c r="V93" s="2">
        <f t="shared" si="40"/>
        <v>1.5188022790641289</v>
      </c>
    </row>
    <row r="94" spans="1:22" x14ac:dyDescent="0.4">
      <c r="A94">
        <v>90</v>
      </c>
      <c r="B94" s="4">
        <f>170*A94</f>
        <v>15300</v>
      </c>
      <c r="C94">
        <f t="shared" si="29"/>
        <v>1140</v>
      </c>
      <c r="D94">
        <f t="shared" si="30"/>
        <v>47</v>
      </c>
      <c r="E94" s="2">
        <v>0</v>
      </c>
      <c r="F94">
        <f t="shared" si="31"/>
        <v>139</v>
      </c>
      <c r="G94">
        <f t="shared" si="32"/>
        <v>0.84499999999999997</v>
      </c>
      <c r="H94" s="3">
        <f t="shared" si="38"/>
        <v>0.05</v>
      </c>
      <c r="I94" s="2">
        <v>2</v>
      </c>
      <c r="J94" s="2">
        <v>0</v>
      </c>
      <c r="K94" s="2">
        <v>1</v>
      </c>
      <c r="L94" s="16">
        <f>1</f>
        <v>1</v>
      </c>
      <c r="M94" s="5">
        <f t="shared" si="33"/>
        <v>1190</v>
      </c>
      <c r="N94" s="6">
        <f t="shared" si="34"/>
        <v>123.32775000000001</v>
      </c>
      <c r="O94">
        <f t="shared" si="35"/>
        <v>1675.8</v>
      </c>
      <c r="P94" s="7">
        <f t="shared" si="39"/>
        <v>13.588182708271251</v>
      </c>
      <c r="Q94">
        <f>ROUNDUP(몬스터!$P$30/F94, 0)</f>
        <v>16</v>
      </c>
      <c r="R94" s="6">
        <f t="shared" si="36"/>
        <v>18.934911242603551</v>
      </c>
      <c r="S94" s="7">
        <f>B94/몬스터!C29*R94</f>
        <v>349.04113495401725</v>
      </c>
      <c r="T94" s="7">
        <f t="shared" ref="T94" si="45">SUM(S90:S94)</f>
        <v>1735.5109660141743</v>
      </c>
      <c r="U94">
        <f>ROUNDDOWN(R94*몬스터!H$30, 0)*몬스터!G$30*(1+몬스터!I$30)</f>
        <v>2505.7199999999998</v>
      </c>
      <c r="V94" s="2">
        <f t="shared" si="40"/>
        <v>1.4952380952380953</v>
      </c>
    </row>
    <row r="95" spans="1:22" x14ac:dyDescent="0.4">
      <c r="A95">
        <v>91</v>
      </c>
      <c r="B95" s="4">
        <f>160*A95</f>
        <v>14560</v>
      </c>
      <c r="C95">
        <f t="shared" si="29"/>
        <v>1150</v>
      </c>
      <c r="D95">
        <f t="shared" si="30"/>
        <v>47</v>
      </c>
      <c r="E95" s="2">
        <v>0</v>
      </c>
      <c r="F95">
        <f t="shared" si="31"/>
        <v>140</v>
      </c>
      <c r="G95">
        <f t="shared" si="32"/>
        <v>0.84699999999999998</v>
      </c>
      <c r="H95" s="3">
        <f t="shared" si="38"/>
        <v>0.05</v>
      </c>
      <c r="I95" s="2">
        <v>2</v>
      </c>
      <c r="J95" s="2">
        <v>0</v>
      </c>
      <c r="K95" s="2">
        <v>1</v>
      </c>
      <c r="L95" s="16">
        <f>1</f>
        <v>1</v>
      </c>
      <c r="M95" s="5">
        <f t="shared" si="33"/>
        <v>1200</v>
      </c>
      <c r="N95" s="6">
        <f t="shared" si="34"/>
        <v>124.509</v>
      </c>
      <c r="O95">
        <f t="shared" si="35"/>
        <v>1690.5</v>
      </c>
      <c r="P95" s="7">
        <f t="shared" si="39"/>
        <v>13.57733175914994</v>
      </c>
      <c r="Q95">
        <f>ROUNDUP(몬스터!$P$31/F95, 0)</f>
        <v>17</v>
      </c>
      <c r="R95" s="6">
        <f t="shared" si="36"/>
        <v>20.070838252656436</v>
      </c>
      <c r="S95" s="7">
        <f>B95/몬스터!C30*R95</f>
        <v>332.0811419984974</v>
      </c>
      <c r="U95">
        <f>ROUNDDOWN(R95*몬스터!H$31, 0)*몬스터!G$31*(1+몬스터!I$31)</f>
        <v>2840.4450000000002</v>
      </c>
      <c r="V95" s="2">
        <f t="shared" si="40"/>
        <v>1.6802395740905058</v>
      </c>
    </row>
    <row r="96" spans="1:22" x14ac:dyDescent="0.4">
      <c r="A96">
        <v>92</v>
      </c>
      <c r="B96" s="4">
        <f>160*A96</f>
        <v>14720</v>
      </c>
      <c r="C96">
        <f t="shared" si="29"/>
        <v>1160</v>
      </c>
      <c r="D96">
        <f t="shared" si="30"/>
        <v>47</v>
      </c>
      <c r="E96" s="2">
        <v>0</v>
      </c>
      <c r="F96">
        <f t="shared" si="31"/>
        <v>141</v>
      </c>
      <c r="G96">
        <f t="shared" si="32"/>
        <v>0.84899999999999998</v>
      </c>
      <c r="H96" s="3">
        <f t="shared" si="38"/>
        <v>0.05</v>
      </c>
      <c r="I96" s="2">
        <v>2</v>
      </c>
      <c r="J96" s="2">
        <v>0</v>
      </c>
      <c r="K96" s="2">
        <v>1</v>
      </c>
      <c r="L96" s="16">
        <f>1</f>
        <v>1</v>
      </c>
      <c r="M96" s="5">
        <f t="shared" si="33"/>
        <v>1210</v>
      </c>
      <c r="N96" s="6">
        <f t="shared" si="34"/>
        <v>125.69445</v>
      </c>
      <c r="O96">
        <f t="shared" si="35"/>
        <v>1705.2</v>
      </c>
      <c r="P96" s="7">
        <f t="shared" si="39"/>
        <v>13.566231444586455</v>
      </c>
      <c r="Q96">
        <f>ROUNDUP(몬스터!$P$31/F96, 0)</f>
        <v>17</v>
      </c>
      <c r="R96" s="6">
        <f t="shared" si="36"/>
        <v>20.023557126030624</v>
      </c>
      <c r="S96" s="7">
        <f>B96/몬스터!C30*R96</f>
        <v>334.93950101723954</v>
      </c>
      <c r="U96">
        <f>ROUNDDOWN(R96*몬스터!H$31, 0)*몬스터!G$31*(1+몬스터!I$31)</f>
        <v>2840.4450000000002</v>
      </c>
      <c r="V96" s="2">
        <f t="shared" si="40"/>
        <v>1.6657547501759324</v>
      </c>
    </row>
    <row r="97" spans="1:22" x14ac:dyDescent="0.4">
      <c r="A97">
        <v>93</v>
      </c>
      <c r="B97" s="4">
        <f>160*A97</f>
        <v>14880</v>
      </c>
      <c r="C97">
        <f t="shared" si="29"/>
        <v>1175</v>
      </c>
      <c r="D97">
        <f t="shared" si="30"/>
        <v>47</v>
      </c>
      <c r="E97" s="2">
        <v>0</v>
      </c>
      <c r="F97">
        <f t="shared" si="31"/>
        <v>143</v>
      </c>
      <c r="G97">
        <f t="shared" si="32"/>
        <v>0.85099999999999998</v>
      </c>
      <c r="H97" s="3">
        <f t="shared" si="38"/>
        <v>0.05</v>
      </c>
      <c r="I97" s="2">
        <v>2</v>
      </c>
      <c r="J97" s="2">
        <v>0</v>
      </c>
      <c r="K97" s="2">
        <v>1</v>
      </c>
      <c r="L97" s="16">
        <f>1</f>
        <v>1</v>
      </c>
      <c r="M97" s="5">
        <f t="shared" si="33"/>
        <v>1220</v>
      </c>
      <c r="N97" s="6">
        <f t="shared" si="34"/>
        <v>127.77765000000001</v>
      </c>
      <c r="O97">
        <f t="shared" si="35"/>
        <v>1727.25</v>
      </c>
      <c r="P97" s="7">
        <f t="shared" si="39"/>
        <v>13.517622213274386</v>
      </c>
      <c r="Q97">
        <f>ROUNDUP(몬스터!$P$31/F97, 0)</f>
        <v>17</v>
      </c>
      <c r="R97" s="6">
        <f t="shared" si="36"/>
        <v>19.976498237367803</v>
      </c>
      <c r="S97" s="7">
        <f>B97/몬스터!C30*R97</f>
        <v>337.78442474094652</v>
      </c>
      <c r="U97">
        <f>ROUNDDOWN(R97*몬스터!H$31, 0)*몬스터!G$31*(1+몬스터!I$31)</f>
        <v>2840.4450000000002</v>
      </c>
      <c r="V97" s="2">
        <f t="shared" si="40"/>
        <v>1.6444897959183675</v>
      </c>
    </row>
    <row r="98" spans="1:22" x14ac:dyDescent="0.4">
      <c r="A98">
        <v>94</v>
      </c>
      <c r="B98" s="4">
        <f>160*A98</f>
        <v>15040</v>
      </c>
      <c r="C98">
        <f t="shared" si="29"/>
        <v>1185</v>
      </c>
      <c r="D98">
        <f t="shared" si="30"/>
        <v>48</v>
      </c>
      <c r="E98" s="2">
        <v>0</v>
      </c>
      <c r="F98">
        <f t="shared" si="31"/>
        <v>144</v>
      </c>
      <c r="G98">
        <f t="shared" si="32"/>
        <v>0.85299999999999998</v>
      </c>
      <c r="H98" s="3">
        <f t="shared" si="38"/>
        <v>0.05</v>
      </c>
      <c r="I98" s="2">
        <v>2</v>
      </c>
      <c r="J98" s="2">
        <v>0</v>
      </c>
      <c r="K98" s="2">
        <v>1</v>
      </c>
      <c r="L98" s="16">
        <f>1</f>
        <v>1</v>
      </c>
      <c r="M98" s="5">
        <f t="shared" si="33"/>
        <v>1230</v>
      </c>
      <c r="N98" s="6">
        <f t="shared" si="34"/>
        <v>128.9736</v>
      </c>
      <c r="O98">
        <f t="shared" si="35"/>
        <v>1753.8</v>
      </c>
      <c r="P98" s="7">
        <f t="shared" si="39"/>
        <v>13.598131710675672</v>
      </c>
      <c r="Q98">
        <f>ROUNDUP(몬스터!$P$31/F98, 0)</f>
        <v>17</v>
      </c>
      <c r="R98" s="6">
        <f t="shared" si="36"/>
        <v>19.929660023446658</v>
      </c>
      <c r="S98" s="7">
        <f>B98/몬스터!C30*R98</f>
        <v>340.61600767345197</v>
      </c>
      <c r="U98">
        <f>ROUNDDOWN(R98*몬스터!H$31, 0)*몬스터!G$31*(1+몬스터!I$31)</f>
        <v>2840.4450000000002</v>
      </c>
      <c r="V98" s="2">
        <f t="shared" si="40"/>
        <v>1.6195945945945946</v>
      </c>
    </row>
    <row r="99" spans="1:22" x14ac:dyDescent="0.4">
      <c r="A99">
        <v>95</v>
      </c>
      <c r="B99" s="4">
        <f>160*A99</f>
        <v>15200</v>
      </c>
      <c r="C99">
        <f t="shared" si="29"/>
        <v>1195</v>
      </c>
      <c r="D99">
        <f t="shared" si="30"/>
        <v>48</v>
      </c>
      <c r="E99" s="2">
        <v>0</v>
      </c>
      <c r="F99">
        <f t="shared" si="31"/>
        <v>145</v>
      </c>
      <c r="G99">
        <f t="shared" si="32"/>
        <v>0.85499999999999998</v>
      </c>
      <c r="H99" s="3">
        <f t="shared" si="38"/>
        <v>0.05</v>
      </c>
      <c r="I99" s="2">
        <v>2</v>
      </c>
      <c r="J99" s="2">
        <v>0</v>
      </c>
      <c r="K99" s="2">
        <v>1</v>
      </c>
      <c r="L99" s="16">
        <f>1</f>
        <v>1</v>
      </c>
      <c r="M99" s="5">
        <f t="shared" si="33"/>
        <v>1240</v>
      </c>
      <c r="N99" s="6">
        <f t="shared" si="34"/>
        <v>130.17375000000001</v>
      </c>
      <c r="O99">
        <f t="shared" si="35"/>
        <v>1768.6</v>
      </c>
      <c r="P99" s="7">
        <f t="shared" si="39"/>
        <v>13.586456562863095</v>
      </c>
      <c r="Q99">
        <f>ROUNDUP(몬스터!$P$31/F99, 0)</f>
        <v>17</v>
      </c>
      <c r="R99" s="6">
        <f t="shared" si="36"/>
        <v>19.883040935672515</v>
      </c>
      <c r="S99" s="7">
        <f>B99/몬스터!C30*R99</f>
        <v>343.43434343434348</v>
      </c>
      <c r="T99" s="7">
        <f t="shared" ref="T99" si="46">SUM(S95:S99)</f>
        <v>1688.8554188644789</v>
      </c>
      <c r="U99">
        <f>ROUNDDOWN(R99*몬스터!H$31, 0)*몬스터!G$31*(1+몬스터!I$31)</f>
        <v>2840.4450000000002</v>
      </c>
      <c r="V99" s="2">
        <f t="shared" si="40"/>
        <v>1.6060415017527989</v>
      </c>
    </row>
    <row r="100" spans="1:22" x14ac:dyDescent="0.4">
      <c r="A100">
        <v>96</v>
      </c>
      <c r="B100" s="4">
        <f>170*A100</f>
        <v>16320</v>
      </c>
      <c r="C100">
        <f t="shared" si="29"/>
        <v>1205</v>
      </c>
      <c r="D100">
        <f t="shared" si="30"/>
        <v>48</v>
      </c>
      <c r="E100" s="2">
        <v>0</v>
      </c>
      <c r="F100">
        <f t="shared" si="31"/>
        <v>147</v>
      </c>
      <c r="G100">
        <f t="shared" si="32"/>
        <v>0.85699999999999998</v>
      </c>
      <c r="H100" s="3">
        <f t="shared" si="38"/>
        <v>0.05</v>
      </c>
      <c r="I100" s="2">
        <v>2</v>
      </c>
      <c r="J100" s="2">
        <v>0</v>
      </c>
      <c r="K100" s="2">
        <v>1</v>
      </c>
      <c r="L100" s="16">
        <f>1</f>
        <v>1</v>
      </c>
      <c r="M100" s="5">
        <f t="shared" si="33"/>
        <v>1250</v>
      </c>
      <c r="N100" s="6">
        <f t="shared" si="34"/>
        <v>132.27795</v>
      </c>
      <c r="O100">
        <f t="shared" si="35"/>
        <v>1783.4</v>
      </c>
      <c r="P100" s="7">
        <f t="shared" si="39"/>
        <v>13.482216801817687</v>
      </c>
      <c r="Q100">
        <f>ROUNDUP(몬스터!$P$32/F100, 0)</f>
        <v>18</v>
      </c>
      <c r="R100" s="6">
        <f t="shared" si="36"/>
        <v>21.003500583430572</v>
      </c>
      <c r="S100" s="7">
        <f>B100/몬스터!C31*R100</f>
        <v>368.57755862536226</v>
      </c>
      <c r="U100">
        <f>ROUNDDOWN(R100*몬스터!H$32, 0)*몬스터!G$32*(1+몬스터!I$32)</f>
        <v>3176.8199999999997</v>
      </c>
      <c r="V100" s="2">
        <f t="shared" si="40"/>
        <v>1.7813278008298752</v>
      </c>
    </row>
    <row r="101" spans="1:22" x14ac:dyDescent="0.4">
      <c r="A101">
        <v>97</v>
      </c>
      <c r="B101" s="4">
        <f>170*A101</f>
        <v>16490</v>
      </c>
      <c r="C101">
        <f t="shared" si="29"/>
        <v>1215</v>
      </c>
      <c r="D101">
        <f t="shared" si="30"/>
        <v>49</v>
      </c>
      <c r="E101" s="2">
        <v>0</v>
      </c>
      <c r="F101">
        <f t="shared" si="31"/>
        <v>148</v>
      </c>
      <c r="G101">
        <f t="shared" si="32"/>
        <v>0.85899999999999999</v>
      </c>
      <c r="H101" s="3">
        <f t="shared" si="38"/>
        <v>0.05</v>
      </c>
      <c r="I101" s="2">
        <v>2</v>
      </c>
      <c r="J101" s="2">
        <v>0</v>
      </c>
      <c r="K101" s="2">
        <v>1</v>
      </c>
      <c r="L101" s="16">
        <f>1</f>
        <v>1</v>
      </c>
      <c r="M101" s="5">
        <f t="shared" si="33"/>
        <v>1260</v>
      </c>
      <c r="N101" s="6">
        <f t="shared" si="34"/>
        <v>133.48860000000002</v>
      </c>
      <c r="O101">
        <f t="shared" si="35"/>
        <v>1810.35</v>
      </c>
      <c r="P101" s="7">
        <f t="shared" si="39"/>
        <v>13.561832246349123</v>
      </c>
      <c r="Q101">
        <f>ROUNDUP(몬스터!$P$32/F101, 0)</f>
        <v>17</v>
      </c>
      <c r="R101" s="6">
        <f t="shared" ref="R101:R104" si="47">Q101/G101</f>
        <v>19.790454016298021</v>
      </c>
      <c r="S101" s="7">
        <f>B101/몬스터!C31*R101</f>
        <v>350.90815777285417</v>
      </c>
      <c r="U101">
        <f>ROUNDDOWN(R101*몬스터!H$32, 0)*몬스터!G$32*(1+몬스터!I$32)</f>
        <v>3000.33</v>
      </c>
      <c r="V101" s="2">
        <f t="shared" si="40"/>
        <v>1.6573204076559782</v>
      </c>
    </row>
    <row r="102" spans="1:22" x14ac:dyDescent="0.4">
      <c r="A102">
        <v>98</v>
      </c>
      <c r="B102" s="4">
        <f>170*A102</f>
        <v>16660</v>
      </c>
      <c r="C102">
        <f t="shared" si="29"/>
        <v>1230</v>
      </c>
      <c r="D102">
        <f t="shared" si="30"/>
        <v>49</v>
      </c>
      <c r="E102" s="2">
        <v>0</v>
      </c>
      <c r="F102">
        <f t="shared" si="31"/>
        <v>149</v>
      </c>
      <c r="G102">
        <f t="shared" si="32"/>
        <v>0.86099999999999999</v>
      </c>
      <c r="H102" s="3">
        <f t="shared" si="38"/>
        <v>0.05</v>
      </c>
      <c r="I102" s="2">
        <v>2</v>
      </c>
      <c r="J102" s="2">
        <v>0</v>
      </c>
      <c r="K102" s="2">
        <v>1</v>
      </c>
      <c r="L102" s="16">
        <f>1</f>
        <v>1</v>
      </c>
      <c r="M102" s="5">
        <f t="shared" si="33"/>
        <v>1270</v>
      </c>
      <c r="N102" s="6">
        <f t="shared" si="34"/>
        <v>134.70345</v>
      </c>
      <c r="O102">
        <f t="shared" si="35"/>
        <v>1832.7</v>
      </c>
      <c r="P102" s="7">
        <f t="shared" si="39"/>
        <v>13.605442176870747</v>
      </c>
      <c r="Q102">
        <f>ROUNDUP(몬스터!$P$32/F102, 0)</f>
        <v>17</v>
      </c>
      <c r="R102" s="6">
        <f t="shared" si="47"/>
        <v>19.744483159117305</v>
      </c>
      <c r="S102" s="7">
        <f>B102/몬스터!C31*R102</f>
        <v>353.70224669988636</v>
      </c>
      <c r="U102">
        <f>ROUNDDOWN(R102*몬스터!H$32, 0)*몬스터!G$32*(1+몬스터!I$32)</f>
        <v>3000.33</v>
      </c>
      <c r="V102" s="2">
        <f t="shared" si="40"/>
        <v>1.6371091831723685</v>
      </c>
    </row>
    <row r="103" spans="1:22" x14ac:dyDescent="0.4">
      <c r="A103">
        <v>99</v>
      </c>
      <c r="B103" s="4">
        <f>170*A103</f>
        <v>16830</v>
      </c>
      <c r="C103">
        <f t="shared" si="29"/>
        <v>1240</v>
      </c>
      <c r="D103">
        <f t="shared" si="30"/>
        <v>49</v>
      </c>
      <c r="E103" s="2">
        <v>0</v>
      </c>
      <c r="F103">
        <f t="shared" si="31"/>
        <v>151</v>
      </c>
      <c r="G103">
        <f t="shared" si="32"/>
        <v>0.86299999999999999</v>
      </c>
      <c r="H103" s="3">
        <f t="shared" si="38"/>
        <v>0.05</v>
      </c>
      <c r="I103" s="2">
        <v>2</v>
      </c>
      <c r="J103" s="2">
        <v>0</v>
      </c>
      <c r="K103" s="2">
        <v>1</v>
      </c>
      <c r="L103" s="16">
        <f>1</f>
        <v>1</v>
      </c>
      <c r="M103" s="5">
        <f t="shared" si="33"/>
        <v>1280</v>
      </c>
      <c r="N103" s="6">
        <f t="shared" si="34"/>
        <v>136.82864999999998</v>
      </c>
      <c r="O103">
        <f t="shared" si="35"/>
        <v>1847.6</v>
      </c>
      <c r="P103" s="7">
        <f t="shared" si="39"/>
        <v>13.503020018102935</v>
      </c>
      <c r="Q103">
        <f>ROUNDUP(몬스터!$P$32/F103, 0)</f>
        <v>17</v>
      </c>
      <c r="R103" s="6">
        <f t="shared" si="47"/>
        <v>19.698725376593281</v>
      </c>
      <c r="S103" s="7">
        <f>B103/몬스터!C31*R103</f>
        <v>356.48338504093005</v>
      </c>
      <c r="U103">
        <f>ROUNDDOWN(R103*몬스터!H$32, 0)*몬스터!G$32*(1+몬스터!I$32)</f>
        <v>3000.33</v>
      </c>
      <c r="V103" s="2">
        <f t="shared" si="40"/>
        <v>1.6239066897596883</v>
      </c>
    </row>
    <row r="104" spans="1:22" x14ac:dyDescent="0.4">
      <c r="A104">
        <v>100</v>
      </c>
      <c r="B104" s="4">
        <f>170*A104</f>
        <v>17000</v>
      </c>
      <c r="C104">
        <f t="shared" si="29"/>
        <v>1250</v>
      </c>
      <c r="D104">
        <f t="shared" si="30"/>
        <v>50</v>
      </c>
      <c r="E104" s="2">
        <v>0</v>
      </c>
      <c r="F104">
        <f t="shared" si="31"/>
        <v>152</v>
      </c>
      <c r="G104">
        <f t="shared" si="32"/>
        <v>0.86499999999999999</v>
      </c>
      <c r="H104" s="3">
        <f t="shared" si="38"/>
        <v>0.05</v>
      </c>
      <c r="I104" s="2">
        <v>2</v>
      </c>
      <c r="J104" s="2">
        <v>0</v>
      </c>
      <c r="K104" s="2">
        <v>1</v>
      </c>
      <c r="L104" s="16">
        <f>1</f>
        <v>1</v>
      </c>
      <c r="M104" s="5">
        <f t="shared" si="33"/>
        <v>1290</v>
      </c>
      <c r="N104" s="6">
        <f t="shared" si="34"/>
        <v>138.054</v>
      </c>
      <c r="O104">
        <f t="shared" si="35"/>
        <v>1875</v>
      </c>
      <c r="P104" s="7">
        <f t="shared" si="39"/>
        <v>13.581641966187144</v>
      </c>
      <c r="Q104">
        <f>ROUNDUP(몬스터!$P$32/F104, 0)</f>
        <v>17</v>
      </c>
      <c r="R104" s="6">
        <f t="shared" si="47"/>
        <v>19.653179190751445</v>
      </c>
      <c r="S104" s="7">
        <f>B104/몬스터!C$31*R104</f>
        <v>359.25166262663936</v>
      </c>
      <c r="T104" s="7">
        <f t="shared" ref="T104" si="48">SUM(S100:S104)</f>
        <v>1788.9230107656722</v>
      </c>
      <c r="U104">
        <f>ROUNDDOWN(R104*몬스터!H$32, 0)*몬스터!G$32*(1+몬스터!I$32)</f>
        <v>3000.33</v>
      </c>
      <c r="V104" s="2">
        <f t="shared" si="40"/>
        <v>1.600176</v>
      </c>
    </row>
    <row r="105" spans="1:22" x14ac:dyDescent="0.4">
      <c r="A105">
        <v>101</v>
      </c>
      <c r="B105" s="4">
        <f>170*A105+1000*POWER(A105-A$104,2)</f>
        <v>18170</v>
      </c>
      <c r="C105">
        <f t="shared" ref="C105:C113" si="49">MROUND(150+A105*11,5)</f>
        <v>1260</v>
      </c>
      <c r="D105">
        <f t="shared" ref="D105:D113" si="50">ROUNDDOWN((20+A105*0.3), 0)</f>
        <v>50</v>
      </c>
      <c r="E105" s="2">
        <v>1</v>
      </c>
      <c r="F105">
        <f t="shared" ref="F105:F113" si="51">ROUND((28+A105*2)*2/3, 0)</f>
        <v>153</v>
      </c>
      <c r="G105">
        <f t="shared" ref="G105:G113" si="52">0.665+0.002*A105</f>
        <v>0.86699999999999999</v>
      </c>
      <c r="H105" s="3">
        <f t="shared" si="38"/>
        <v>0.05</v>
      </c>
      <c r="I105" s="2">
        <v>2</v>
      </c>
      <c r="J105" s="2">
        <v>0</v>
      </c>
      <c r="K105" s="2">
        <v>1</v>
      </c>
      <c r="L105" s="16">
        <f>1</f>
        <v>1</v>
      </c>
      <c r="M105" s="5">
        <f t="shared" ref="M105:M113" si="53">290+10*A105</f>
        <v>1300</v>
      </c>
      <c r="N105" s="6">
        <f t="shared" ref="N105:N113" si="54">F105*G105*(1+H105)</f>
        <v>139.28355000000002</v>
      </c>
      <c r="O105">
        <f t="shared" ref="O105:O113" si="55">C105*(1+D105/100)</f>
        <v>1890</v>
      </c>
      <c r="P105" s="7">
        <f t="shared" ref="P105:P113" si="56">O105/N105</f>
        <v>13.569441617477439</v>
      </c>
      <c r="Q105">
        <f>ROUNDUP(몬스터!$P$32/F105, 0)</f>
        <v>17</v>
      </c>
      <c r="R105" s="6">
        <f t="shared" ref="R105:R113" si="57">Q105/G105</f>
        <v>19.607843137254903</v>
      </c>
      <c r="S105" s="7">
        <f>B105/몬스터!C$32*R105</f>
        <v>363.54541816726697</v>
      </c>
      <c r="T105" s="7"/>
      <c r="U105">
        <f>ROUNDDOWN(R105*몬스터!H$32, 0)*몬스터!G$32*(1+몬스터!I$32)</f>
        <v>3000.33</v>
      </c>
      <c r="V105" s="2">
        <f t="shared" ref="V105:V113" si="58">U105/O105</f>
        <v>1.5874761904761905</v>
      </c>
    </row>
    <row r="106" spans="1:22" x14ac:dyDescent="0.4">
      <c r="A106">
        <v>102</v>
      </c>
      <c r="B106" s="4">
        <f t="shared" ref="B106:B114" si="59">170*A106+1000*POWER(A106-A$104,2)</f>
        <v>21340</v>
      </c>
      <c r="C106">
        <f t="shared" si="49"/>
        <v>1270</v>
      </c>
      <c r="D106">
        <f t="shared" si="50"/>
        <v>50</v>
      </c>
      <c r="E106" s="2">
        <v>2</v>
      </c>
      <c r="F106">
        <f t="shared" si="51"/>
        <v>155</v>
      </c>
      <c r="G106">
        <f t="shared" si="52"/>
        <v>0.86899999999999999</v>
      </c>
      <c r="H106" s="3">
        <f t="shared" si="38"/>
        <v>0.05</v>
      </c>
      <c r="I106" s="2">
        <v>2</v>
      </c>
      <c r="J106" s="2">
        <v>0</v>
      </c>
      <c r="K106" s="2">
        <v>1</v>
      </c>
      <c r="L106" s="16">
        <f>1</f>
        <v>1</v>
      </c>
      <c r="M106" s="5">
        <f t="shared" si="53"/>
        <v>1310</v>
      </c>
      <c r="N106" s="6">
        <f t="shared" si="54"/>
        <v>141.42975000000001</v>
      </c>
      <c r="O106">
        <f t="shared" si="55"/>
        <v>1905</v>
      </c>
      <c r="P106" s="7">
        <f t="shared" si="56"/>
        <v>13.46958472315761</v>
      </c>
      <c r="Q106">
        <f>ROUNDUP(몬스터!$P$32/F106, 0)</f>
        <v>17</v>
      </c>
      <c r="R106" s="6">
        <f t="shared" si="57"/>
        <v>19.562715765247411</v>
      </c>
      <c r="S106" s="7">
        <f>B106/몬스터!C$32*R106</f>
        <v>425.98811676569363</v>
      </c>
      <c r="T106" s="7"/>
      <c r="U106">
        <f>ROUNDDOWN(R106*몬스터!H$32, 0)*몬스터!G$32*(1+몬스터!I$32)</f>
        <v>3000.33</v>
      </c>
      <c r="V106" s="2">
        <f t="shared" si="58"/>
        <v>1.5749763779527559</v>
      </c>
    </row>
    <row r="107" spans="1:22" x14ac:dyDescent="0.4">
      <c r="A107">
        <v>103</v>
      </c>
      <c r="B107" s="4">
        <f t="shared" si="59"/>
        <v>26510</v>
      </c>
      <c r="C107">
        <f t="shared" si="49"/>
        <v>1285</v>
      </c>
      <c r="D107">
        <f t="shared" si="50"/>
        <v>50</v>
      </c>
      <c r="E107" s="2">
        <v>3</v>
      </c>
      <c r="F107">
        <f t="shared" si="51"/>
        <v>156</v>
      </c>
      <c r="G107">
        <f t="shared" si="52"/>
        <v>0.871</v>
      </c>
      <c r="H107" s="3">
        <f t="shared" si="38"/>
        <v>0.05</v>
      </c>
      <c r="I107" s="2">
        <v>2</v>
      </c>
      <c r="J107" s="2">
        <v>0</v>
      </c>
      <c r="K107" s="2">
        <v>1</v>
      </c>
      <c r="L107" s="16">
        <f>1</f>
        <v>1</v>
      </c>
      <c r="M107" s="5">
        <f t="shared" si="53"/>
        <v>1320</v>
      </c>
      <c r="N107" s="6">
        <f t="shared" si="54"/>
        <v>142.66980000000001</v>
      </c>
      <c r="O107">
        <f t="shared" si="55"/>
        <v>1927.5</v>
      </c>
      <c r="P107" s="7">
        <f t="shared" si="56"/>
        <v>13.510217298965863</v>
      </c>
      <c r="Q107">
        <f>ROUNDUP(몬스터!$P$32/F107, 0)</f>
        <v>17</v>
      </c>
      <c r="R107" s="6">
        <f t="shared" si="57"/>
        <v>19.517795637198624</v>
      </c>
      <c r="S107" s="7">
        <f>B107/몬스터!C$32*R107</f>
        <v>527.97628810421986</v>
      </c>
      <c r="T107" s="7"/>
      <c r="U107">
        <f>ROUNDDOWN(R107*몬스터!H$32, 0)*몬스터!G$32*(1+몬스터!I$32)</f>
        <v>3000.33</v>
      </c>
      <c r="V107" s="2">
        <f t="shared" si="58"/>
        <v>1.5565914396887159</v>
      </c>
    </row>
    <row r="108" spans="1:22" x14ac:dyDescent="0.4">
      <c r="A108">
        <v>104</v>
      </c>
      <c r="B108" s="4">
        <f t="shared" si="59"/>
        <v>33680</v>
      </c>
      <c r="C108">
        <f t="shared" si="49"/>
        <v>1295</v>
      </c>
      <c r="D108">
        <f t="shared" si="50"/>
        <v>51</v>
      </c>
      <c r="E108" s="2">
        <v>4</v>
      </c>
      <c r="F108">
        <f t="shared" si="51"/>
        <v>157</v>
      </c>
      <c r="G108">
        <f t="shared" si="52"/>
        <v>0.873</v>
      </c>
      <c r="H108" s="3">
        <f t="shared" si="38"/>
        <v>0.05</v>
      </c>
      <c r="I108" s="2">
        <v>2</v>
      </c>
      <c r="J108" s="2">
        <v>0</v>
      </c>
      <c r="K108" s="2">
        <v>1</v>
      </c>
      <c r="L108" s="16">
        <f>1</f>
        <v>1</v>
      </c>
      <c r="M108" s="5">
        <f t="shared" si="53"/>
        <v>1330</v>
      </c>
      <c r="N108" s="6">
        <f t="shared" si="54"/>
        <v>143.91405</v>
      </c>
      <c r="O108">
        <f t="shared" si="55"/>
        <v>1955.45</v>
      </c>
      <c r="P108" s="7">
        <f t="shared" si="56"/>
        <v>13.587624001965061</v>
      </c>
      <c r="Q108">
        <f>ROUNDUP(몬스터!$P$32/F108, 0)</f>
        <v>17</v>
      </c>
      <c r="R108" s="6">
        <f t="shared" si="57"/>
        <v>19.47308132875143</v>
      </c>
      <c r="S108" s="7">
        <f>B108/몬스터!C$32*R108</f>
        <v>669.23814199219203</v>
      </c>
      <c r="T108" s="7"/>
      <c r="U108">
        <f>ROUNDDOWN(R108*몬스터!H$32, 0)*몬스터!G$32*(1+몬스터!I$32)</f>
        <v>3000.33</v>
      </c>
      <c r="V108" s="2">
        <f t="shared" si="58"/>
        <v>1.5343424787133395</v>
      </c>
    </row>
    <row r="109" spans="1:22" x14ac:dyDescent="0.4">
      <c r="A109">
        <v>105</v>
      </c>
      <c r="B109" s="4">
        <f t="shared" si="59"/>
        <v>42850</v>
      </c>
      <c r="C109">
        <f t="shared" si="49"/>
        <v>1305</v>
      </c>
      <c r="D109">
        <f t="shared" si="50"/>
        <v>51</v>
      </c>
      <c r="E109" s="2">
        <v>5</v>
      </c>
      <c r="F109">
        <f t="shared" si="51"/>
        <v>159</v>
      </c>
      <c r="G109">
        <f t="shared" si="52"/>
        <v>0.875</v>
      </c>
      <c r="H109" s="3">
        <f t="shared" si="38"/>
        <v>0.05</v>
      </c>
      <c r="I109" s="2">
        <v>2</v>
      </c>
      <c r="J109" s="2">
        <v>0</v>
      </c>
      <c r="K109" s="2">
        <v>1</v>
      </c>
      <c r="L109" s="16">
        <f>1</f>
        <v>1</v>
      </c>
      <c r="M109" s="5">
        <f t="shared" si="53"/>
        <v>1340</v>
      </c>
      <c r="N109" s="6">
        <f t="shared" si="54"/>
        <v>146.08125000000001</v>
      </c>
      <c r="O109">
        <f t="shared" si="55"/>
        <v>1970.55</v>
      </c>
      <c r="P109" s="7">
        <f t="shared" si="56"/>
        <v>13.489410858683094</v>
      </c>
      <c r="Q109">
        <f>ROUNDUP(몬스터!$P$32/F109, 0)</f>
        <v>16</v>
      </c>
      <c r="R109" s="6">
        <f t="shared" si="57"/>
        <v>18.285714285714285</v>
      </c>
      <c r="S109" s="7">
        <f>B109/몬스터!C$32*R109</f>
        <v>799.53352769679293</v>
      </c>
      <c r="T109" s="7">
        <f t="shared" ref="T109" si="60">SUM(S105:S109)</f>
        <v>2786.2814927261657</v>
      </c>
      <c r="U109">
        <f>ROUNDDOWN(R109*몬스터!H$32, 0)*몬스터!G$32*(1+몬스터!I$32)</f>
        <v>2823.8399999999997</v>
      </c>
      <c r="V109" s="2">
        <f t="shared" si="58"/>
        <v>1.433021237725508</v>
      </c>
    </row>
    <row r="110" spans="1:22" x14ac:dyDescent="0.4">
      <c r="A110">
        <v>106</v>
      </c>
      <c r="B110" s="4">
        <f t="shared" si="59"/>
        <v>54020</v>
      </c>
      <c r="C110">
        <f t="shared" si="49"/>
        <v>1315</v>
      </c>
      <c r="D110">
        <f t="shared" si="50"/>
        <v>51</v>
      </c>
      <c r="E110" s="2">
        <v>6</v>
      </c>
      <c r="F110">
        <f t="shared" si="51"/>
        <v>160</v>
      </c>
      <c r="G110">
        <f t="shared" si="52"/>
        <v>0.877</v>
      </c>
      <c r="H110" s="3">
        <f t="shared" si="38"/>
        <v>0.05</v>
      </c>
      <c r="I110" s="2">
        <v>2</v>
      </c>
      <c r="J110" s="2">
        <v>0</v>
      </c>
      <c r="K110" s="2">
        <v>1</v>
      </c>
      <c r="L110" s="16">
        <f>1</f>
        <v>1</v>
      </c>
      <c r="M110" s="5">
        <f t="shared" si="53"/>
        <v>1350</v>
      </c>
      <c r="N110" s="6">
        <f t="shared" si="54"/>
        <v>147.33600000000001</v>
      </c>
      <c r="O110">
        <f t="shared" si="55"/>
        <v>1985.65</v>
      </c>
      <c r="P110" s="7">
        <f t="shared" si="56"/>
        <v>13.477018515501982</v>
      </c>
      <c r="Q110">
        <f>ROUNDUP(몬스터!$P$32/F110, 0)</f>
        <v>16</v>
      </c>
      <c r="R110" s="6">
        <f t="shared" si="57"/>
        <v>18.244013683010262</v>
      </c>
      <c r="S110" s="7">
        <f>B110/몬스터!C$32*R110</f>
        <v>1005.6547134247086</v>
      </c>
      <c r="T110" s="7"/>
      <c r="U110">
        <f>ROUNDDOWN(R110*몬스터!H$32, 0)*몬스터!G$32*(1+몬스터!I$32)</f>
        <v>2823.8399999999997</v>
      </c>
      <c r="V110" s="2">
        <f t="shared" si="58"/>
        <v>1.42212373781885</v>
      </c>
    </row>
    <row r="111" spans="1:22" x14ac:dyDescent="0.4">
      <c r="A111">
        <v>107</v>
      </c>
      <c r="B111" s="4">
        <f t="shared" si="59"/>
        <v>67190</v>
      </c>
      <c r="C111">
        <f t="shared" si="49"/>
        <v>1325</v>
      </c>
      <c r="D111">
        <f t="shared" si="50"/>
        <v>52</v>
      </c>
      <c r="E111" s="2">
        <v>7</v>
      </c>
      <c r="F111">
        <f t="shared" si="51"/>
        <v>161</v>
      </c>
      <c r="G111">
        <f t="shared" si="52"/>
        <v>0.879</v>
      </c>
      <c r="H111" s="3">
        <f t="shared" si="38"/>
        <v>0.05</v>
      </c>
      <c r="I111" s="2">
        <v>2</v>
      </c>
      <c r="J111" s="2">
        <v>0</v>
      </c>
      <c r="K111" s="2">
        <v>1</v>
      </c>
      <c r="L111" s="16">
        <f>1</f>
        <v>1</v>
      </c>
      <c r="M111" s="5">
        <f t="shared" si="53"/>
        <v>1360</v>
      </c>
      <c r="N111" s="6">
        <f t="shared" si="54"/>
        <v>148.59495000000001</v>
      </c>
      <c r="O111">
        <f t="shared" si="55"/>
        <v>2014</v>
      </c>
      <c r="P111" s="7">
        <f t="shared" si="56"/>
        <v>13.553623457593948</v>
      </c>
      <c r="Q111">
        <f>ROUNDUP(몬스터!$P$32/F111, 0)</f>
        <v>16</v>
      </c>
      <c r="R111" s="6">
        <f t="shared" si="57"/>
        <v>18.202502844141069</v>
      </c>
      <c r="S111" s="7">
        <f>B111/몬스터!C$32*R111</f>
        <v>1247.9858837733045</v>
      </c>
      <c r="T111" s="7"/>
      <c r="U111">
        <f>ROUNDDOWN(R111*몬스터!H$32, 0)*몬스터!G$32*(1+몬스터!I$32)</f>
        <v>2823.8399999999997</v>
      </c>
      <c r="V111" s="2">
        <f t="shared" si="58"/>
        <v>1.4021052631578945</v>
      </c>
    </row>
    <row r="112" spans="1:22" x14ac:dyDescent="0.4">
      <c r="A112">
        <v>108</v>
      </c>
      <c r="B112" s="4">
        <f t="shared" si="59"/>
        <v>82360</v>
      </c>
      <c r="C112">
        <f t="shared" si="49"/>
        <v>1340</v>
      </c>
      <c r="D112">
        <f t="shared" si="50"/>
        <v>52</v>
      </c>
      <c r="E112" s="2">
        <v>8</v>
      </c>
      <c r="F112">
        <f t="shared" si="51"/>
        <v>163</v>
      </c>
      <c r="G112">
        <f t="shared" si="52"/>
        <v>0.88100000000000001</v>
      </c>
      <c r="H112" s="3">
        <f t="shared" si="38"/>
        <v>0.05</v>
      </c>
      <c r="I112" s="2">
        <v>2</v>
      </c>
      <c r="J112" s="2">
        <v>0</v>
      </c>
      <c r="K112" s="2">
        <v>1</v>
      </c>
      <c r="L112" s="16">
        <f>1</f>
        <v>1</v>
      </c>
      <c r="M112" s="5">
        <f t="shared" si="53"/>
        <v>1370</v>
      </c>
      <c r="N112" s="6">
        <f t="shared" si="54"/>
        <v>150.78315000000001</v>
      </c>
      <c r="O112">
        <f t="shared" si="55"/>
        <v>2036.8</v>
      </c>
      <c r="P112" s="7">
        <f t="shared" si="56"/>
        <v>13.508140664258573</v>
      </c>
      <c r="Q112">
        <f>ROUNDUP(몬스터!$P$32/F112, 0)</f>
        <v>16</v>
      </c>
      <c r="R112" s="6">
        <f t="shared" si="57"/>
        <v>18.161180476730987</v>
      </c>
      <c r="S112" s="7">
        <f>B112/몬스터!C$32*R112</f>
        <v>1526.2804327179226</v>
      </c>
      <c r="T112" s="7"/>
      <c r="U112">
        <f>ROUNDDOWN(R112*몬스터!H$32, 0)*몬스터!G$32*(1+몬스터!I$32)</f>
        <v>2823.8399999999997</v>
      </c>
      <c r="V112" s="2">
        <f t="shared" si="58"/>
        <v>1.3864100549882168</v>
      </c>
    </row>
    <row r="113" spans="1:22" x14ac:dyDescent="0.4">
      <c r="A113">
        <v>109</v>
      </c>
      <c r="B113" s="4">
        <f t="shared" si="59"/>
        <v>99530</v>
      </c>
      <c r="C113">
        <f t="shared" si="49"/>
        <v>1350</v>
      </c>
      <c r="D113">
        <f t="shared" si="50"/>
        <v>52</v>
      </c>
      <c r="E113" s="2">
        <v>9</v>
      </c>
      <c r="F113">
        <f t="shared" si="51"/>
        <v>164</v>
      </c>
      <c r="G113">
        <f t="shared" si="52"/>
        <v>0.88300000000000001</v>
      </c>
      <c r="H113" s="3">
        <f t="shared" si="38"/>
        <v>0.05</v>
      </c>
      <c r="I113" s="2">
        <v>2</v>
      </c>
      <c r="J113" s="2">
        <v>0</v>
      </c>
      <c r="K113" s="2">
        <v>1</v>
      </c>
      <c r="L113" s="16">
        <f>1</f>
        <v>1</v>
      </c>
      <c r="M113" s="5">
        <f t="shared" si="53"/>
        <v>1380</v>
      </c>
      <c r="N113" s="6">
        <f t="shared" si="54"/>
        <v>152.05260000000001</v>
      </c>
      <c r="O113">
        <f t="shared" si="55"/>
        <v>2052</v>
      </c>
      <c r="P113" s="7">
        <f t="shared" si="56"/>
        <v>13.495329905572149</v>
      </c>
      <c r="Q113">
        <f>ROUNDUP(몬스터!$P$32/F113, 0)</f>
        <v>16</v>
      </c>
      <c r="R113" s="6">
        <f t="shared" si="57"/>
        <v>18.120045300113251</v>
      </c>
      <c r="S113" s="7">
        <f>B113/몬스터!C$32*R113</f>
        <v>1840.2939884900734</v>
      </c>
      <c r="T113" s="7"/>
      <c r="U113">
        <f>ROUNDDOWN(R113*몬스터!H$32, 0)*몬스터!G$32*(1+몬스터!I$32)</f>
        <v>2823.8399999999997</v>
      </c>
      <c r="V113" s="2">
        <f t="shared" si="58"/>
        <v>1.3761403508771928</v>
      </c>
    </row>
    <row r="114" spans="1:22" x14ac:dyDescent="0.4">
      <c r="A114">
        <v>110</v>
      </c>
      <c r="B114" s="4">
        <f t="shared" si="59"/>
        <v>118700</v>
      </c>
      <c r="C114">
        <f t="shared" ref="C114" si="61">MROUND(150+A114*11,5)</f>
        <v>1360</v>
      </c>
      <c r="D114">
        <f t="shared" ref="D114" si="62">ROUNDDOWN((20+A114*0.3), 0)</f>
        <v>53</v>
      </c>
      <c r="E114" s="2">
        <v>10</v>
      </c>
      <c r="F114">
        <f t="shared" ref="F114" si="63">ROUND((28+A114*2)*2/3, 0)</f>
        <v>165</v>
      </c>
      <c r="G114">
        <f t="shared" ref="G114" si="64">0.665+0.002*A114</f>
        <v>0.88500000000000001</v>
      </c>
      <c r="H114" s="3">
        <f t="shared" si="38"/>
        <v>0.05</v>
      </c>
      <c r="I114" s="2">
        <v>2</v>
      </c>
      <c r="J114" s="2">
        <v>0</v>
      </c>
      <c r="K114" s="2">
        <v>1</v>
      </c>
      <c r="L114" s="16">
        <f>1</f>
        <v>1</v>
      </c>
      <c r="M114" s="5">
        <f t="shared" ref="M114" si="65">290+10*A114</f>
        <v>1390</v>
      </c>
      <c r="N114" s="6">
        <f t="shared" ref="N114" si="66">F114*G114*(1+H114)</f>
        <v>153.32625000000002</v>
      </c>
      <c r="O114">
        <f t="shared" ref="O114" si="67">C114*(1+D114/100)</f>
        <v>2080.8000000000002</v>
      </c>
      <c r="P114" s="7">
        <f t="shared" ref="P114" si="68">O114/N114</f>
        <v>13.571061706654927</v>
      </c>
      <c r="Q114">
        <f>ROUNDUP(몬스터!$P$32/F114, 0)</f>
        <v>16</v>
      </c>
      <c r="R114" s="6">
        <f t="shared" ref="R114" si="69">Q114/G114</f>
        <v>18.07909604519774</v>
      </c>
      <c r="S114" s="7">
        <f>B114/몬스터!C$32*R114</f>
        <v>2189.7843883316041</v>
      </c>
      <c r="T114" s="7">
        <f>SUM(S110:S114)</f>
        <v>7809.9994067376138</v>
      </c>
      <c r="U114">
        <f>ROUNDDOWN(R114*몬스터!H$32, 0)*몬스터!G$32*(1+몬스터!I$32)</f>
        <v>2823.8399999999997</v>
      </c>
      <c r="V114" s="2">
        <f t="shared" ref="V114" si="70">U114/O114</f>
        <v>1.357093425605536</v>
      </c>
    </row>
    <row r="116" spans="1:22" x14ac:dyDescent="0.4">
      <c r="B116" t="s">
        <v>198</v>
      </c>
      <c r="H116" t="s">
        <v>211</v>
      </c>
    </row>
    <row r="117" spans="1:22" x14ac:dyDescent="0.4">
      <c r="B117" t="s">
        <v>199</v>
      </c>
      <c r="H117" t="s">
        <v>212</v>
      </c>
    </row>
    <row r="118" spans="1:22" x14ac:dyDescent="0.4">
      <c r="B118" t="s">
        <v>201</v>
      </c>
    </row>
    <row r="119" spans="1:22" x14ac:dyDescent="0.4">
      <c r="B119" t="s">
        <v>200</v>
      </c>
    </row>
    <row r="120" spans="1:22" x14ac:dyDescent="0.4">
      <c r="B120" t="s">
        <v>202</v>
      </c>
    </row>
    <row r="121" spans="1:22" x14ac:dyDescent="0.4">
      <c r="B121" t="s">
        <v>204</v>
      </c>
    </row>
    <row r="122" spans="1:22" x14ac:dyDescent="0.4">
      <c r="B122" t="s">
        <v>203</v>
      </c>
    </row>
    <row r="123" spans="1:22" x14ac:dyDescent="0.4">
      <c r="B123" t="s">
        <v>208</v>
      </c>
    </row>
    <row r="124" spans="1:22" x14ac:dyDescent="0.4">
      <c r="B124" t="s">
        <v>207</v>
      </c>
    </row>
    <row r="125" spans="1:22" x14ac:dyDescent="0.4">
      <c r="B125" t="s">
        <v>209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2F18B-9A28-4DD7-9157-78CE66059F98}">
  <dimension ref="A2:V1156"/>
  <sheetViews>
    <sheetView topLeftCell="A682" workbookViewId="0">
      <selection activeCell="B633" sqref="B633"/>
    </sheetView>
  </sheetViews>
  <sheetFormatPr defaultRowHeight="17.399999999999999" x14ac:dyDescent="0.4"/>
  <cols>
    <col min="1" max="1" width="5.69921875" customWidth="1"/>
    <col min="2" max="2" width="10.69921875" customWidth="1"/>
    <col min="5" max="5" width="8.796875" style="2"/>
    <col min="12" max="12" width="8.796875" customWidth="1"/>
    <col min="16" max="16" width="10.69921875" customWidth="1"/>
    <col min="17" max="17" width="8.796875" customWidth="1"/>
    <col min="19" max="19" width="13" customWidth="1"/>
    <col min="20" max="20" width="11.5" customWidth="1"/>
  </cols>
  <sheetData>
    <row r="2" spans="1:22" ht="21" x14ac:dyDescent="0.4">
      <c r="B2" s="1" t="s">
        <v>279</v>
      </c>
    </row>
    <row r="3" spans="1:22" ht="19.8" thickBot="1" x14ac:dyDescent="0.45">
      <c r="B3" s="43" t="s">
        <v>280</v>
      </c>
    </row>
    <row r="4" spans="1:22" ht="18" thickBot="1" x14ac:dyDescent="0.45">
      <c r="A4" s="36" t="s">
        <v>18</v>
      </c>
      <c r="B4" s="36" t="s">
        <v>300</v>
      </c>
      <c r="C4" s="28" t="s">
        <v>301</v>
      </c>
      <c r="D4" s="28" t="s">
        <v>302</v>
      </c>
      <c r="E4" s="28" t="s">
        <v>303</v>
      </c>
      <c r="F4" s="37" t="s">
        <v>305</v>
      </c>
      <c r="G4" s="37" t="s">
        <v>306</v>
      </c>
      <c r="H4" s="37" t="s">
        <v>307</v>
      </c>
      <c r="I4" s="37" t="s">
        <v>308</v>
      </c>
      <c r="J4" s="37" t="s">
        <v>309</v>
      </c>
      <c r="K4" s="38" t="s">
        <v>310</v>
      </c>
      <c r="L4" s="38" t="s">
        <v>312</v>
      </c>
      <c r="M4" s="38" t="s">
        <v>311</v>
      </c>
      <c r="N4" s="23" t="s">
        <v>313</v>
      </c>
      <c r="O4" s="23" t="s">
        <v>314</v>
      </c>
      <c r="P4" s="23" t="s">
        <v>315</v>
      </c>
      <c r="Q4" s="39" t="s">
        <v>316</v>
      </c>
      <c r="R4" s="39" t="s">
        <v>317</v>
      </c>
      <c r="S4" s="39" t="s">
        <v>318</v>
      </c>
      <c r="T4" s="39" t="s">
        <v>319</v>
      </c>
      <c r="U4" s="39" t="s">
        <v>320</v>
      </c>
      <c r="V4" s="39" t="s">
        <v>321</v>
      </c>
    </row>
    <row r="5" spans="1:22" ht="18" thickTop="1" x14ac:dyDescent="0.4">
      <c r="A5">
        <v>1</v>
      </c>
      <c r="B5" s="4">
        <f>150*A5</f>
        <v>150</v>
      </c>
      <c r="C5">
        <f t="shared" ref="C5:C13" si="0">MROUND(135+A5*11,5)</f>
        <v>145</v>
      </c>
      <c r="D5">
        <f t="shared" ref="D5:D36" si="1">ROUNDDOWN((20+A5*0.35), 0)</f>
        <v>20</v>
      </c>
      <c r="E5" s="2">
        <v>0</v>
      </c>
      <c r="F5">
        <f t="shared" ref="F5:F36" si="2">ROUND((28+A5*2)*2/3, 0)</f>
        <v>20</v>
      </c>
      <c r="G5">
        <f t="shared" ref="G5:G36" si="3">0.665+0.002*A5</f>
        <v>0.66700000000000004</v>
      </c>
      <c r="H5" s="3">
        <f>0.05</f>
        <v>0.05</v>
      </c>
      <c r="I5" s="2">
        <v>2.75</v>
      </c>
      <c r="J5" s="2">
        <v>0</v>
      </c>
      <c r="K5" s="2">
        <v>1</v>
      </c>
      <c r="L5" s="16">
        <f>1</f>
        <v>1</v>
      </c>
      <c r="M5" s="5">
        <f t="shared" ref="M5:M36" si="4">290+10*A5</f>
        <v>300</v>
      </c>
      <c r="N5" s="6">
        <f t="shared" ref="N5:N36" si="5">F5*G5*(1+H5)</f>
        <v>14.007</v>
      </c>
      <c r="O5">
        <f t="shared" ref="O5:O36" si="6">C5*(1+D5/100)*(1+E5)</f>
        <v>174</v>
      </c>
      <c r="P5" s="7">
        <f>O5/N5</f>
        <v>12.422360248447205</v>
      </c>
      <c r="Q5">
        <f>ROUNDUP(몬스터!$P$5/F5, 0)</f>
        <v>7</v>
      </c>
      <c r="R5" s="6">
        <f t="shared" ref="R5:R36" si="7">Q5/G5</f>
        <v>10.494752623688155</v>
      </c>
      <c r="S5" s="7">
        <f>B5/몬스터!C5*R5</f>
        <v>52.473763118440779</v>
      </c>
      <c r="U5">
        <f>ROUNDDOWN(R5*몬스터!H5, 0)*몬스터!G5*(1+몬스터!I5)</f>
        <v>37.800000000000004</v>
      </c>
      <c r="V5" s="2">
        <f>U5/O5</f>
        <v>0.21724137931034485</v>
      </c>
    </row>
    <row r="6" spans="1:22" x14ac:dyDescent="0.4">
      <c r="A6">
        <v>2</v>
      </c>
      <c r="B6" s="4">
        <f>150*A6</f>
        <v>300</v>
      </c>
      <c r="C6">
        <f t="shared" si="0"/>
        <v>155</v>
      </c>
      <c r="D6">
        <f t="shared" si="1"/>
        <v>20</v>
      </c>
      <c r="E6" s="2">
        <v>0</v>
      </c>
      <c r="F6">
        <f t="shared" si="2"/>
        <v>21</v>
      </c>
      <c r="G6">
        <f t="shared" si="3"/>
        <v>0.66900000000000004</v>
      </c>
      <c r="H6" s="3">
        <f t="shared" ref="H6:H69" si="8">0.05</f>
        <v>0.05</v>
      </c>
      <c r="I6" s="2">
        <v>2.75</v>
      </c>
      <c r="J6" s="2">
        <v>0</v>
      </c>
      <c r="K6" s="2">
        <v>1</v>
      </c>
      <c r="L6" s="16">
        <f>1</f>
        <v>1</v>
      </c>
      <c r="M6" s="5">
        <f t="shared" si="4"/>
        <v>310</v>
      </c>
      <c r="N6" s="6">
        <f t="shared" si="5"/>
        <v>14.751450000000002</v>
      </c>
      <c r="O6">
        <f t="shared" si="6"/>
        <v>186</v>
      </c>
      <c r="P6" s="7">
        <f t="shared" ref="P6:P69" si="9">O6/N6</f>
        <v>12.608929969596208</v>
      </c>
      <c r="Q6">
        <f>ROUNDUP(몬스터!$P$5/F6, 0)</f>
        <v>7</v>
      </c>
      <c r="R6" s="6">
        <f t="shared" si="7"/>
        <v>10.46337817638266</v>
      </c>
      <c r="S6" s="7">
        <f>B6/몬스터!C5*R6</f>
        <v>104.6337817638266</v>
      </c>
      <c r="U6">
        <f>ROUNDDOWN(R6*몬스터!H5, 0)*몬스터!G5*(1+몬스터!I5)</f>
        <v>37.800000000000004</v>
      </c>
      <c r="V6" s="2">
        <f t="shared" ref="V6:V69" si="10">U6/O6</f>
        <v>0.20322580645161292</v>
      </c>
    </row>
    <row r="7" spans="1:22" x14ac:dyDescent="0.4">
      <c r="A7">
        <v>3</v>
      </c>
      <c r="B7" s="4">
        <f>150*A7</f>
        <v>450</v>
      </c>
      <c r="C7">
        <f t="shared" si="0"/>
        <v>170</v>
      </c>
      <c r="D7">
        <f t="shared" si="1"/>
        <v>21</v>
      </c>
      <c r="E7" s="2">
        <v>0</v>
      </c>
      <c r="F7">
        <f t="shared" si="2"/>
        <v>23</v>
      </c>
      <c r="G7">
        <f t="shared" si="3"/>
        <v>0.67100000000000004</v>
      </c>
      <c r="H7" s="3">
        <f t="shared" si="8"/>
        <v>0.05</v>
      </c>
      <c r="I7" s="2">
        <v>2.75</v>
      </c>
      <c r="J7" s="2">
        <v>0</v>
      </c>
      <c r="K7" s="2">
        <v>1</v>
      </c>
      <c r="L7" s="16">
        <f>1</f>
        <v>1</v>
      </c>
      <c r="M7" s="5">
        <f t="shared" si="4"/>
        <v>320</v>
      </c>
      <c r="N7" s="6">
        <f t="shared" si="5"/>
        <v>16.204650000000001</v>
      </c>
      <c r="O7">
        <f t="shared" si="6"/>
        <v>205.7</v>
      </c>
      <c r="P7" s="7">
        <f t="shared" si="9"/>
        <v>12.693887248413263</v>
      </c>
      <c r="Q7">
        <f>ROUNDUP(몬스터!$P$5/F7, 0)</f>
        <v>6</v>
      </c>
      <c r="R7" s="6">
        <f t="shared" si="7"/>
        <v>8.9418777943368095</v>
      </c>
      <c r="S7" s="7">
        <f>B7/몬스터!C5*R7</f>
        <v>134.12816691505213</v>
      </c>
      <c r="U7">
        <f>ROUNDDOWN(R7*몬스터!H5, 0)*몬스터!G5*(1+몬스터!I5)</f>
        <v>31.5</v>
      </c>
      <c r="V7" s="2">
        <f t="shared" si="10"/>
        <v>0.15313563441905689</v>
      </c>
    </row>
    <row r="8" spans="1:22" x14ac:dyDescent="0.4">
      <c r="A8">
        <v>4</v>
      </c>
      <c r="B8" s="4">
        <f>150*A8+50</f>
        <v>650</v>
      </c>
      <c r="C8">
        <f t="shared" si="0"/>
        <v>180</v>
      </c>
      <c r="D8">
        <f t="shared" si="1"/>
        <v>21</v>
      </c>
      <c r="E8" s="2">
        <v>0</v>
      </c>
      <c r="F8">
        <f t="shared" si="2"/>
        <v>24</v>
      </c>
      <c r="G8">
        <f t="shared" si="3"/>
        <v>0.67300000000000004</v>
      </c>
      <c r="H8" s="3">
        <f t="shared" si="8"/>
        <v>0.05</v>
      </c>
      <c r="I8" s="2">
        <v>2.75</v>
      </c>
      <c r="J8" s="2">
        <v>0</v>
      </c>
      <c r="K8" s="2">
        <v>1</v>
      </c>
      <c r="L8" s="16">
        <f>1</f>
        <v>1</v>
      </c>
      <c r="M8" s="5">
        <f t="shared" si="4"/>
        <v>330</v>
      </c>
      <c r="N8" s="6">
        <f t="shared" si="5"/>
        <v>16.959600000000002</v>
      </c>
      <c r="O8">
        <f t="shared" si="6"/>
        <v>217.79999999999998</v>
      </c>
      <c r="P8" s="7">
        <f t="shared" si="9"/>
        <v>12.842284016132453</v>
      </c>
      <c r="Q8">
        <f>ROUNDUP(몬스터!$P$5/F8, 0)</f>
        <v>6</v>
      </c>
      <c r="R8" s="6">
        <f t="shared" si="7"/>
        <v>8.9153046062407135</v>
      </c>
      <c r="S8" s="7">
        <f>B8/몬스터!C5*R8</f>
        <v>193.16493313521548</v>
      </c>
      <c r="U8">
        <f>ROUNDDOWN(R8*몬스터!H5, 0)*몬스터!G5*(1+몬스터!I5)</f>
        <v>31.5</v>
      </c>
      <c r="V8" s="2">
        <f t="shared" si="10"/>
        <v>0.14462809917355374</v>
      </c>
    </row>
    <row r="9" spans="1:22" x14ac:dyDescent="0.4">
      <c r="A9">
        <v>5</v>
      </c>
      <c r="B9" s="4">
        <f>150*A9+75</f>
        <v>825</v>
      </c>
      <c r="C9">
        <f t="shared" si="0"/>
        <v>190</v>
      </c>
      <c r="D9">
        <f t="shared" si="1"/>
        <v>21</v>
      </c>
      <c r="E9" s="2">
        <v>0</v>
      </c>
      <c r="F9">
        <f t="shared" si="2"/>
        <v>25</v>
      </c>
      <c r="G9">
        <f t="shared" si="3"/>
        <v>0.67500000000000004</v>
      </c>
      <c r="H9" s="3">
        <f t="shared" si="8"/>
        <v>0.05</v>
      </c>
      <c r="I9" s="2">
        <v>2.75</v>
      </c>
      <c r="J9" s="2">
        <v>0</v>
      </c>
      <c r="K9" s="2">
        <v>1</v>
      </c>
      <c r="L9" s="16">
        <f>1</f>
        <v>1</v>
      </c>
      <c r="M9" s="5">
        <f t="shared" si="4"/>
        <v>340</v>
      </c>
      <c r="N9" s="6">
        <f t="shared" si="5"/>
        <v>17.71875</v>
      </c>
      <c r="O9">
        <f t="shared" si="6"/>
        <v>229.9</v>
      </c>
      <c r="P9" s="7">
        <f t="shared" si="9"/>
        <v>12.974955908289243</v>
      </c>
      <c r="Q9">
        <f>ROUNDUP(몬스터!$P$5/F9, 0)</f>
        <v>6</v>
      </c>
      <c r="R9" s="6">
        <f t="shared" si="7"/>
        <v>8.8888888888888875</v>
      </c>
      <c r="S9" s="7">
        <f>B9/몬스터!C5*R9</f>
        <v>244.4444444444444</v>
      </c>
      <c r="T9" s="7">
        <f>SUM(S5:S9)</f>
        <v>728.84508937697933</v>
      </c>
      <c r="U9">
        <f>ROUNDDOWN(R9*몬스터!H5, 0)*몬스터!G5*(1+몬스터!I5)</f>
        <v>31.5</v>
      </c>
      <c r="V9" s="2">
        <f t="shared" si="10"/>
        <v>0.137016093953893</v>
      </c>
    </row>
    <row r="10" spans="1:22" x14ac:dyDescent="0.4">
      <c r="A10">
        <v>6</v>
      </c>
      <c r="B10" s="4">
        <f>150*A10</f>
        <v>900</v>
      </c>
      <c r="C10">
        <f t="shared" si="0"/>
        <v>200</v>
      </c>
      <c r="D10">
        <f t="shared" si="1"/>
        <v>22</v>
      </c>
      <c r="E10" s="2">
        <v>0</v>
      </c>
      <c r="F10">
        <f t="shared" si="2"/>
        <v>27</v>
      </c>
      <c r="G10">
        <f t="shared" si="3"/>
        <v>0.67700000000000005</v>
      </c>
      <c r="H10" s="3">
        <f t="shared" si="8"/>
        <v>0.05</v>
      </c>
      <c r="I10" s="2">
        <v>2.75</v>
      </c>
      <c r="J10" s="2">
        <v>0</v>
      </c>
      <c r="K10" s="2">
        <v>1</v>
      </c>
      <c r="L10" s="16">
        <f>1</f>
        <v>1</v>
      </c>
      <c r="M10" s="5">
        <f t="shared" si="4"/>
        <v>350</v>
      </c>
      <c r="N10" s="6">
        <f t="shared" si="5"/>
        <v>19.19295</v>
      </c>
      <c r="O10">
        <f t="shared" si="6"/>
        <v>244</v>
      </c>
      <c r="P10" s="7">
        <f t="shared" si="9"/>
        <v>12.713001388530685</v>
      </c>
      <c r="Q10">
        <f>ROUNDUP(몬스터!$P$6/F10, 0)</f>
        <v>9</v>
      </c>
      <c r="R10" s="6">
        <f t="shared" si="7"/>
        <v>13.29394387001477</v>
      </c>
      <c r="S10" s="7">
        <f>B10/몬스터!C6*R10</f>
        <v>149.55686853766616</v>
      </c>
      <c r="U10">
        <f>ROUNDDOWN(R10*몬스터!H6, 0)*몬스터!G6*(1+몬스터!I6)</f>
        <v>109.98000000000002</v>
      </c>
      <c r="V10" s="2">
        <f t="shared" si="10"/>
        <v>0.45073770491803289</v>
      </c>
    </row>
    <row r="11" spans="1:22" x14ac:dyDescent="0.4">
      <c r="A11">
        <v>7</v>
      </c>
      <c r="B11" s="4">
        <f>150*A11</f>
        <v>1050</v>
      </c>
      <c r="C11">
        <f t="shared" si="0"/>
        <v>210</v>
      </c>
      <c r="D11">
        <f t="shared" si="1"/>
        <v>22</v>
      </c>
      <c r="E11" s="2">
        <v>0</v>
      </c>
      <c r="F11">
        <f t="shared" si="2"/>
        <v>28</v>
      </c>
      <c r="G11">
        <f t="shared" si="3"/>
        <v>0.67900000000000005</v>
      </c>
      <c r="H11" s="3">
        <f t="shared" si="8"/>
        <v>0.05</v>
      </c>
      <c r="I11" s="2">
        <v>2.75</v>
      </c>
      <c r="J11" s="2">
        <v>0</v>
      </c>
      <c r="K11" s="2">
        <v>1</v>
      </c>
      <c r="L11" s="16">
        <f>1</f>
        <v>1</v>
      </c>
      <c r="M11" s="5">
        <f t="shared" si="4"/>
        <v>360</v>
      </c>
      <c r="N11" s="6">
        <f t="shared" si="5"/>
        <v>19.962600000000002</v>
      </c>
      <c r="O11">
        <f t="shared" si="6"/>
        <v>256.2</v>
      </c>
      <c r="P11" s="7">
        <f t="shared" si="9"/>
        <v>12.833999579213128</v>
      </c>
      <c r="Q11">
        <f>ROUNDUP(몬스터!$P$6/F11, 0)</f>
        <v>8</v>
      </c>
      <c r="R11" s="6">
        <f t="shared" si="7"/>
        <v>11.782032400589101</v>
      </c>
      <c r="S11" s="7">
        <f>B11/몬스터!C6*R11</f>
        <v>154.63917525773195</v>
      </c>
      <c r="U11">
        <f>ROUNDDOWN(R11*몬스터!H6, 0)*몬스터!G6*(1+몬스터!I6)</f>
        <v>96.232500000000016</v>
      </c>
      <c r="V11" s="2">
        <f t="shared" si="10"/>
        <v>0.37561475409836076</v>
      </c>
    </row>
    <row r="12" spans="1:22" x14ac:dyDescent="0.4">
      <c r="A12">
        <v>8</v>
      </c>
      <c r="B12" s="4">
        <f>150*A12+50</f>
        <v>1250</v>
      </c>
      <c r="C12">
        <f t="shared" si="0"/>
        <v>225</v>
      </c>
      <c r="D12">
        <f t="shared" si="1"/>
        <v>22</v>
      </c>
      <c r="E12" s="2">
        <v>0</v>
      </c>
      <c r="F12">
        <f t="shared" si="2"/>
        <v>29</v>
      </c>
      <c r="G12">
        <f t="shared" si="3"/>
        <v>0.68100000000000005</v>
      </c>
      <c r="H12" s="3">
        <f t="shared" si="8"/>
        <v>0.05</v>
      </c>
      <c r="I12" s="2">
        <v>2.75</v>
      </c>
      <c r="J12" s="2">
        <v>0</v>
      </c>
      <c r="K12" s="2">
        <v>1</v>
      </c>
      <c r="L12" s="16">
        <f>1</f>
        <v>1</v>
      </c>
      <c r="M12" s="5">
        <f t="shared" si="4"/>
        <v>370</v>
      </c>
      <c r="N12" s="6">
        <f t="shared" si="5"/>
        <v>20.736450000000005</v>
      </c>
      <c r="O12">
        <f t="shared" si="6"/>
        <v>274.5</v>
      </c>
      <c r="P12" s="7">
        <f t="shared" si="9"/>
        <v>13.237559948785831</v>
      </c>
      <c r="Q12">
        <f>ROUNDUP(몬스터!$P$6/F12, 0)</f>
        <v>8</v>
      </c>
      <c r="R12" s="6">
        <f t="shared" si="7"/>
        <v>11.747430249632892</v>
      </c>
      <c r="S12" s="7">
        <f>B12/몬스터!C6*R12</f>
        <v>183.55359765051392</v>
      </c>
      <c r="U12">
        <f>ROUNDDOWN(R12*몬스터!H6, 0)*몬스터!G6*(1+몬스터!I6)</f>
        <v>96.232500000000016</v>
      </c>
      <c r="V12" s="2">
        <f t="shared" si="10"/>
        <v>0.35057377049180333</v>
      </c>
    </row>
    <row r="13" spans="1:22" x14ac:dyDescent="0.4">
      <c r="A13">
        <v>9</v>
      </c>
      <c r="B13" s="4">
        <f>150*A13+50</f>
        <v>1400</v>
      </c>
      <c r="C13">
        <f t="shared" si="0"/>
        <v>235</v>
      </c>
      <c r="D13">
        <f t="shared" si="1"/>
        <v>23</v>
      </c>
      <c r="E13" s="2">
        <v>0</v>
      </c>
      <c r="F13">
        <f t="shared" si="2"/>
        <v>31</v>
      </c>
      <c r="G13">
        <f t="shared" si="3"/>
        <v>0.68300000000000005</v>
      </c>
      <c r="H13" s="3">
        <f t="shared" si="8"/>
        <v>0.05</v>
      </c>
      <c r="I13" s="2">
        <v>2.75</v>
      </c>
      <c r="J13" s="2">
        <v>0</v>
      </c>
      <c r="K13" s="2">
        <v>1</v>
      </c>
      <c r="L13" s="16">
        <f>1</f>
        <v>1</v>
      </c>
      <c r="M13" s="5">
        <f t="shared" si="4"/>
        <v>380</v>
      </c>
      <c r="N13" s="6">
        <f t="shared" si="5"/>
        <v>22.231650000000002</v>
      </c>
      <c r="O13">
        <f t="shared" si="6"/>
        <v>289.05</v>
      </c>
      <c r="P13" s="7">
        <f t="shared" si="9"/>
        <v>13.001734014344414</v>
      </c>
      <c r="Q13">
        <f>ROUNDUP(몬스터!$P$6/F13, 0)</f>
        <v>8</v>
      </c>
      <c r="R13" s="6">
        <f t="shared" si="7"/>
        <v>11.713030746705709</v>
      </c>
      <c r="S13" s="7">
        <f>B13/몬스터!C6*R13</f>
        <v>204.9780380673499</v>
      </c>
      <c r="U13">
        <f>ROUNDDOWN(R13*몬스터!H6, 0)*몬스터!G6*(1+몬스터!I6)</f>
        <v>96.232500000000016</v>
      </c>
      <c r="V13" s="2">
        <f t="shared" si="10"/>
        <v>0.3329268292682927</v>
      </c>
    </row>
    <row r="14" spans="1:22" x14ac:dyDescent="0.4">
      <c r="A14">
        <v>10</v>
      </c>
      <c r="B14" s="4">
        <f>150*A14+50</f>
        <v>1550</v>
      </c>
      <c r="C14">
        <f t="shared" ref="C14:C23" si="11">MROUND(130+A14*11,5)</f>
        <v>240</v>
      </c>
      <c r="D14">
        <f t="shared" si="1"/>
        <v>23</v>
      </c>
      <c r="E14" s="2">
        <v>0</v>
      </c>
      <c r="F14">
        <f t="shared" si="2"/>
        <v>32</v>
      </c>
      <c r="G14">
        <f t="shared" si="3"/>
        <v>0.68500000000000005</v>
      </c>
      <c r="H14" s="3">
        <f t="shared" si="8"/>
        <v>0.05</v>
      </c>
      <c r="I14" s="2">
        <v>2.75</v>
      </c>
      <c r="J14" s="2">
        <v>0</v>
      </c>
      <c r="K14" s="2">
        <v>1</v>
      </c>
      <c r="L14" s="16">
        <f>1</f>
        <v>1</v>
      </c>
      <c r="M14" s="5">
        <f t="shared" si="4"/>
        <v>390</v>
      </c>
      <c r="N14" s="6">
        <f t="shared" si="5"/>
        <v>23.016000000000002</v>
      </c>
      <c r="O14">
        <f t="shared" si="6"/>
        <v>295.2</v>
      </c>
      <c r="P14" s="7">
        <f t="shared" si="9"/>
        <v>12.825860271115744</v>
      </c>
      <c r="Q14">
        <f>ROUNDUP(몬스터!$P$6/F14, 0)</f>
        <v>7</v>
      </c>
      <c r="R14" s="6">
        <f t="shared" si="7"/>
        <v>10.21897810218978</v>
      </c>
      <c r="S14" s="7">
        <f>B14/몬스터!C6*R14</f>
        <v>197.99270072992698</v>
      </c>
      <c r="T14" s="7">
        <f>SUM(S10:S14)</f>
        <v>890.72038024318886</v>
      </c>
      <c r="U14">
        <f>ROUNDDOWN(R14*몬스터!H6, 0)*몬스터!G6*(1+몬스터!I6)</f>
        <v>82.485000000000014</v>
      </c>
      <c r="V14" s="2">
        <f t="shared" si="10"/>
        <v>0.27942073170731713</v>
      </c>
    </row>
    <row r="15" spans="1:22" x14ac:dyDescent="0.4">
      <c r="A15">
        <v>11</v>
      </c>
      <c r="B15" s="4">
        <f>160*A15</f>
        <v>1760</v>
      </c>
      <c r="C15">
        <f t="shared" si="11"/>
        <v>250</v>
      </c>
      <c r="D15">
        <f t="shared" si="1"/>
        <v>23</v>
      </c>
      <c r="E15" s="2">
        <v>0</v>
      </c>
      <c r="F15">
        <f t="shared" si="2"/>
        <v>33</v>
      </c>
      <c r="G15">
        <f t="shared" si="3"/>
        <v>0.68700000000000006</v>
      </c>
      <c r="H15" s="3">
        <f t="shared" si="8"/>
        <v>0.05</v>
      </c>
      <c r="I15" s="2">
        <v>2.75</v>
      </c>
      <c r="J15" s="2">
        <v>0</v>
      </c>
      <c r="K15" s="2">
        <v>1</v>
      </c>
      <c r="L15" s="16">
        <f>1</f>
        <v>1</v>
      </c>
      <c r="M15" s="5">
        <f t="shared" si="4"/>
        <v>400</v>
      </c>
      <c r="N15" s="6">
        <f t="shared" si="5"/>
        <v>23.804550000000003</v>
      </c>
      <c r="O15">
        <f t="shared" si="6"/>
        <v>307.5</v>
      </c>
      <c r="P15" s="7">
        <f t="shared" si="9"/>
        <v>12.917698507218157</v>
      </c>
      <c r="Q15">
        <f>ROUNDUP(몬스터!$P$7/F15, 0)</f>
        <v>8</v>
      </c>
      <c r="R15" s="6">
        <f t="shared" si="7"/>
        <v>11.644832605531295</v>
      </c>
      <c r="S15" s="7">
        <f>B15/몬스터!C7*R15</f>
        <v>157.6531183518083</v>
      </c>
      <c r="U15">
        <f>ROUNDDOWN(R15*몬스터!H7, 0)*몬스터!G7*(1+몬스터!I7)</f>
        <v>156.55499999999998</v>
      </c>
      <c r="V15" s="2">
        <f t="shared" si="10"/>
        <v>0.50912195121951209</v>
      </c>
    </row>
    <row r="16" spans="1:22" x14ac:dyDescent="0.4">
      <c r="A16">
        <v>12</v>
      </c>
      <c r="B16" s="4">
        <f>160*A16</f>
        <v>1920</v>
      </c>
      <c r="C16">
        <f t="shared" si="11"/>
        <v>260</v>
      </c>
      <c r="D16">
        <f t="shared" si="1"/>
        <v>24</v>
      </c>
      <c r="E16" s="2">
        <v>0</v>
      </c>
      <c r="F16">
        <f t="shared" si="2"/>
        <v>35</v>
      </c>
      <c r="G16">
        <f t="shared" si="3"/>
        <v>0.68900000000000006</v>
      </c>
      <c r="H16" s="3">
        <f t="shared" si="8"/>
        <v>0.05</v>
      </c>
      <c r="I16" s="2">
        <v>2.75</v>
      </c>
      <c r="J16" s="2">
        <v>0</v>
      </c>
      <c r="K16" s="2">
        <v>1</v>
      </c>
      <c r="L16" s="16">
        <f>1</f>
        <v>1</v>
      </c>
      <c r="M16" s="5">
        <f t="shared" si="4"/>
        <v>410</v>
      </c>
      <c r="N16" s="6">
        <f t="shared" si="5"/>
        <v>25.320750000000004</v>
      </c>
      <c r="O16">
        <f t="shared" si="6"/>
        <v>322.39999999999998</v>
      </c>
      <c r="P16" s="7">
        <f t="shared" si="9"/>
        <v>12.732640225901678</v>
      </c>
      <c r="Q16">
        <f>ROUNDUP(몬스터!$P$7/F16, 0)</f>
        <v>8</v>
      </c>
      <c r="R16" s="6">
        <f t="shared" si="7"/>
        <v>11.611030478955007</v>
      </c>
      <c r="S16" s="7">
        <f>B16/몬스터!C7*R16</f>
        <v>171.48598861225858</v>
      </c>
      <c r="U16">
        <f>ROUNDDOWN(R16*몬스터!H7, 0)*몬스터!G7*(1+몬스터!I7)</f>
        <v>156.55499999999998</v>
      </c>
      <c r="V16" s="2">
        <f t="shared" si="10"/>
        <v>0.48559243176178657</v>
      </c>
    </row>
    <row r="17" spans="1:22" x14ac:dyDescent="0.4">
      <c r="A17">
        <v>13</v>
      </c>
      <c r="B17" s="4">
        <f>160*A17+40</f>
        <v>2120</v>
      </c>
      <c r="C17">
        <f t="shared" si="11"/>
        <v>275</v>
      </c>
      <c r="D17">
        <f t="shared" si="1"/>
        <v>24</v>
      </c>
      <c r="E17" s="2">
        <v>0</v>
      </c>
      <c r="F17">
        <f t="shared" si="2"/>
        <v>36</v>
      </c>
      <c r="G17">
        <f t="shared" si="3"/>
        <v>0.69100000000000006</v>
      </c>
      <c r="H17" s="3">
        <f t="shared" si="8"/>
        <v>0.05</v>
      </c>
      <c r="I17" s="2">
        <v>2.75</v>
      </c>
      <c r="J17" s="2">
        <v>0</v>
      </c>
      <c r="K17" s="2">
        <v>1</v>
      </c>
      <c r="L17" s="16">
        <f>1</f>
        <v>1</v>
      </c>
      <c r="M17" s="5">
        <f t="shared" si="4"/>
        <v>420</v>
      </c>
      <c r="N17" s="6">
        <f t="shared" si="5"/>
        <v>26.119800000000001</v>
      </c>
      <c r="O17">
        <f t="shared" si="6"/>
        <v>341</v>
      </c>
      <c r="P17" s="7">
        <f t="shared" si="9"/>
        <v>13.055230131930566</v>
      </c>
      <c r="Q17">
        <f>ROUNDUP(몬스터!$P$7/F17, 0)</f>
        <v>8</v>
      </c>
      <c r="R17" s="6">
        <f t="shared" si="7"/>
        <v>11.577424023154848</v>
      </c>
      <c r="S17" s="7">
        <f>B17/몬스터!C7*R17</f>
        <v>188.80106868529441</v>
      </c>
      <c r="U17">
        <f>ROUNDDOWN(R17*몬스터!H7, 0)*몬스터!G7*(1+몬스터!I7)</f>
        <v>156.55499999999998</v>
      </c>
      <c r="V17" s="2">
        <f t="shared" si="10"/>
        <v>0.45910557184750728</v>
      </c>
    </row>
    <row r="18" spans="1:22" x14ac:dyDescent="0.4">
      <c r="A18">
        <v>14</v>
      </c>
      <c r="B18" s="4">
        <f>160*A18+120</f>
        <v>2360</v>
      </c>
      <c r="C18">
        <f t="shared" si="11"/>
        <v>285</v>
      </c>
      <c r="D18">
        <f t="shared" si="1"/>
        <v>24</v>
      </c>
      <c r="E18" s="2">
        <v>0</v>
      </c>
      <c r="F18">
        <f t="shared" si="2"/>
        <v>37</v>
      </c>
      <c r="G18">
        <f t="shared" si="3"/>
        <v>0.69300000000000006</v>
      </c>
      <c r="H18" s="3">
        <f t="shared" si="8"/>
        <v>0.05</v>
      </c>
      <c r="I18" s="2">
        <v>2.75</v>
      </c>
      <c r="J18" s="2">
        <v>0</v>
      </c>
      <c r="K18" s="2">
        <v>1</v>
      </c>
      <c r="L18" s="16">
        <f>1</f>
        <v>1</v>
      </c>
      <c r="M18" s="5">
        <f t="shared" si="4"/>
        <v>430</v>
      </c>
      <c r="N18" s="6">
        <f t="shared" si="5"/>
        <v>26.923050000000003</v>
      </c>
      <c r="O18">
        <f t="shared" si="6"/>
        <v>353.4</v>
      </c>
      <c r="P18" s="7">
        <f t="shared" si="9"/>
        <v>13.126298840584552</v>
      </c>
      <c r="Q18">
        <f>ROUNDUP(몬스터!$P$7/F18, 0)</f>
        <v>7</v>
      </c>
      <c r="R18" s="6">
        <f t="shared" si="7"/>
        <v>10.1010101010101</v>
      </c>
      <c r="S18" s="7">
        <f>B18/몬스터!C7*R18</f>
        <v>183.37218337218334</v>
      </c>
      <c r="U18">
        <f>ROUNDDOWN(R18*몬스터!H7, 0)*몬스터!G7*(1+몬스터!I7)</f>
        <v>134.19</v>
      </c>
      <c r="V18" s="2">
        <f t="shared" si="10"/>
        <v>0.37971137521222414</v>
      </c>
    </row>
    <row r="19" spans="1:22" x14ac:dyDescent="0.4">
      <c r="A19">
        <v>15</v>
      </c>
      <c r="B19" s="4">
        <f>160*A19+100</f>
        <v>2500</v>
      </c>
      <c r="C19">
        <f t="shared" si="11"/>
        <v>295</v>
      </c>
      <c r="D19">
        <f t="shared" si="1"/>
        <v>25</v>
      </c>
      <c r="E19" s="2">
        <v>0</v>
      </c>
      <c r="F19">
        <f t="shared" si="2"/>
        <v>39</v>
      </c>
      <c r="G19">
        <f t="shared" si="3"/>
        <v>0.69500000000000006</v>
      </c>
      <c r="H19" s="3">
        <f t="shared" si="8"/>
        <v>0.05</v>
      </c>
      <c r="I19" s="2">
        <v>2.75</v>
      </c>
      <c r="J19" s="2">
        <v>0</v>
      </c>
      <c r="K19" s="2">
        <v>1</v>
      </c>
      <c r="L19" s="16">
        <f>1</f>
        <v>1</v>
      </c>
      <c r="M19" s="5">
        <f t="shared" si="4"/>
        <v>440</v>
      </c>
      <c r="N19" s="6">
        <f t="shared" si="5"/>
        <v>28.460250000000006</v>
      </c>
      <c r="O19">
        <f t="shared" si="6"/>
        <v>368.75</v>
      </c>
      <c r="P19" s="7">
        <f t="shared" si="9"/>
        <v>12.956667632926623</v>
      </c>
      <c r="Q19">
        <f>ROUNDUP(몬스터!$P$7/F19, 0)</f>
        <v>7</v>
      </c>
      <c r="R19" s="6">
        <f t="shared" si="7"/>
        <v>10.071942446043165</v>
      </c>
      <c r="S19" s="7">
        <f>B19/몬스터!C7*R19</f>
        <v>193.69120088544548</v>
      </c>
      <c r="T19" s="7">
        <f t="shared" ref="T19" si="12">SUM(S15:S19)</f>
        <v>895.00355990699006</v>
      </c>
      <c r="U19">
        <f>ROUNDDOWN(R19*몬스터!H7, 0)*몬스터!G7*(1+몬스터!I7)</f>
        <v>134.19</v>
      </c>
      <c r="V19" s="2">
        <f t="shared" si="10"/>
        <v>0.36390508474576272</v>
      </c>
    </row>
    <row r="20" spans="1:22" x14ac:dyDescent="0.4">
      <c r="A20">
        <v>16</v>
      </c>
      <c r="B20" s="4">
        <f>160*A20</f>
        <v>2560</v>
      </c>
      <c r="C20">
        <f t="shared" si="11"/>
        <v>305</v>
      </c>
      <c r="D20">
        <f t="shared" si="1"/>
        <v>25</v>
      </c>
      <c r="E20" s="2">
        <v>0</v>
      </c>
      <c r="F20">
        <f t="shared" si="2"/>
        <v>40</v>
      </c>
      <c r="G20">
        <f t="shared" si="3"/>
        <v>0.69700000000000006</v>
      </c>
      <c r="H20" s="3">
        <f t="shared" si="8"/>
        <v>0.05</v>
      </c>
      <c r="I20" s="2">
        <v>2.75</v>
      </c>
      <c r="J20" s="2">
        <v>0</v>
      </c>
      <c r="K20" s="2">
        <v>1</v>
      </c>
      <c r="L20" s="16">
        <f>1</f>
        <v>1</v>
      </c>
      <c r="M20" s="5">
        <f t="shared" si="4"/>
        <v>450</v>
      </c>
      <c r="N20" s="6">
        <f t="shared" si="5"/>
        <v>29.274000000000004</v>
      </c>
      <c r="O20">
        <f t="shared" si="6"/>
        <v>381.25</v>
      </c>
      <c r="P20" s="7">
        <f t="shared" si="9"/>
        <v>13.023502083760331</v>
      </c>
      <c r="Q20">
        <f>ROUNDUP(몬스터!$P$8/F20, 0)</f>
        <v>9</v>
      </c>
      <c r="R20" s="6">
        <f t="shared" si="7"/>
        <v>12.91248206599713</v>
      </c>
      <c r="S20" s="7">
        <f>B20/몬스터!C8*R20</f>
        <v>183.64418938307028</v>
      </c>
      <c r="U20">
        <f>ROUNDDOWN(R20*몬스터!H$8, 0)*몬스터!G$8*(1+몬스터!I$8)</f>
        <v>240.24</v>
      </c>
      <c r="V20" s="2">
        <f t="shared" si="10"/>
        <v>0.63013770491803278</v>
      </c>
    </row>
    <row r="21" spans="1:22" x14ac:dyDescent="0.4">
      <c r="A21">
        <v>17</v>
      </c>
      <c r="B21" s="4">
        <f>160*A21</f>
        <v>2720</v>
      </c>
      <c r="C21">
        <f t="shared" si="11"/>
        <v>315</v>
      </c>
      <c r="D21">
        <f t="shared" si="1"/>
        <v>25</v>
      </c>
      <c r="E21" s="2">
        <v>0</v>
      </c>
      <c r="F21">
        <f t="shared" si="2"/>
        <v>41</v>
      </c>
      <c r="G21">
        <f t="shared" si="3"/>
        <v>0.69900000000000007</v>
      </c>
      <c r="H21" s="3">
        <f t="shared" si="8"/>
        <v>0.05</v>
      </c>
      <c r="I21" s="2">
        <v>2.75</v>
      </c>
      <c r="J21" s="2">
        <v>0</v>
      </c>
      <c r="K21" s="2">
        <v>1</v>
      </c>
      <c r="L21" s="16">
        <f>1</f>
        <v>1</v>
      </c>
      <c r="M21" s="5">
        <f t="shared" si="4"/>
        <v>460</v>
      </c>
      <c r="N21" s="6">
        <f t="shared" si="5"/>
        <v>30.091950000000004</v>
      </c>
      <c r="O21">
        <f t="shared" si="6"/>
        <v>393.75</v>
      </c>
      <c r="P21" s="7">
        <f t="shared" si="9"/>
        <v>13.084894797445827</v>
      </c>
      <c r="Q21">
        <f>ROUNDUP(몬스터!$P$8/F21, 0)</f>
        <v>9</v>
      </c>
      <c r="R21" s="6">
        <f t="shared" si="7"/>
        <v>12.875536480686694</v>
      </c>
      <c r="S21" s="7">
        <f>B21/몬스터!C8*R21</f>
        <v>194.56366237482115</v>
      </c>
      <c r="U21">
        <f>ROUNDDOWN(R21*몬스터!H$8, 0)*몬스터!G$8*(1+몬스터!I$8)</f>
        <v>240.24</v>
      </c>
      <c r="V21" s="2">
        <f t="shared" si="10"/>
        <v>0.61013333333333331</v>
      </c>
    </row>
    <row r="22" spans="1:22" x14ac:dyDescent="0.4">
      <c r="A22">
        <v>18</v>
      </c>
      <c r="B22" s="4">
        <f>160*A22</f>
        <v>2880</v>
      </c>
      <c r="C22">
        <f t="shared" si="11"/>
        <v>330</v>
      </c>
      <c r="D22">
        <f t="shared" si="1"/>
        <v>26</v>
      </c>
      <c r="E22" s="2">
        <v>0</v>
      </c>
      <c r="F22">
        <f t="shared" si="2"/>
        <v>43</v>
      </c>
      <c r="G22">
        <f t="shared" si="3"/>
        <v>0.70100000000000007</v>
      </c>
      <c r="H22" s="3">
        <f t="shared" si="8"/>
        <v>0.05</v>
      </c>
      <c r="I22" s="2">
        <v>2.75</v>
      </c>
      <c r="J22" s="2">
        <v>0</v>
      </c>
      <c r="K22" s="2">
        <v>1</v>
      </c>
      <c r="L22" s="16">
        <f>1</f>
        <v>1</v>
      </c>
      <c r="M22" s="5">
        <f t="shared" si="4"/>
        <v>470</v>
      </c>
      <c r="N22" s="6">
        <f t="shared" si="5"/>
        <v>31.650150000000007</v>
      </c>
      <c r="O22">
        <f t="shared" si="6"/>
        <v>415.8</v>
      </c>
      <c r="P22" s="7">
        <f t="shared" si="9"/>
        <v>13.13737849583651</v>
      </c>
      <c r="Q22">
        <f>ROUNDUP(몬스터!$P$8/F22, 0)</f>
        <v>8</v>
      </c>
      <c r="R22" s="6">
        <f t="shared" si="7"/>
        <v>11.412268188302424</v>
      </c>
      <c r="S22" s="7">
        <f>B22/몬스터!C8*R22</f>
        <v>182.59629101283878</v>
      </c>
      <c r="U22">
        <f>ROUNDDOWN(R22*몬스터!H$8, 0)*몬스터!G$8*(1+몬스터!I$8)</f>
        <v>210.21</v>
      </c>
      <c r="V22" s="2">
        <f t="shared" si="10"/>
        <v>0.50555555555555554</v>
      </c>
    </row>
    <row r="23" spans="1:22" x14ac:dyDescent="0.4">
      <c r="A23">
        <v>19</v>
      </c>
      <c r="B23" s="4">
        <f>160*A23</f>
        <v>3040</v>
      </c>
      <c r="C23">
        <f t="shared" si="11"/>
        <v>340</v>
      </c>
      <c r="D23">
        <f t="shared" si="1"/>
        <v>26</v>
      </c>
      <c r="E23" s="2">
        <v>0</v>
      </c>
      <c r="F23">
        <f t="shared" si="2"/>
        <v>44</v>
      </c>
      <c r="G23">
        <f t="shared" si="3"/>
        <v>0.70300000000000007</v>
      </c>
      <c r="H23" s="3">
        <f t="shared" si="8"/>
        <v>0.05</v>
      </c>
      <c r="I23" s="2">
        <v>2.75</v>
      </c>
      <c r="J23" s="2">
        <v>0</v>
      </c>
      <c r="K23" s="2">
        <v>1</v>
      </c>
      <c r="L23" s="16">
        <f>1</f>
        <v>1</v>
      </c>
      <c r="M23" s="5">
        <f t="shared" si="4"/>
        <v>480</v>
      </c>
      <c r="N23" s="6">
        <f t="shared" si="5"/>
        <v>32.4786</v>
      </c>
      <c r="O23">
        <f t="shared" si="6"/>
        <v>428.4</v>
      </c>
      <c r="P23" s="7">
        <f t="shared" si="9"/>
        <v>13.190223716539505</v>
      </c>
      <c r="Q23">
        <f>ROUNDUP(몬스터!$P$8/F23, 0)</f>
        <v>8</v>
      </c>
      <c r="R23" s="6">
        <f t="shared" si="7"/>
        <v>11.379800853485063</v>
      </c>
      <c r="S23" s="7">
        <f>B23/몬스터!C8*R23</f>
        <v>192.19219219219218</v>
      </c>
      <c r="U23">
        <f>ROUNDDOWN(R23*몬스터!H$8, 0)*몬스터!G$8*(1+몬스터!I$8)</f>
        <v>210.21</v>
      </c>
      <c r="V23" s="2">
        <f t="shared" si="10"/>
        <v>0.49068627450980395</v>
      </c>
    </row>
    <row r="24" spans="1:22" x14ac:dyDescent="0.4">
      <c r="A24">
        <v>20</v>
      </c>
      <c r="B24" s="4">
        <f>160*A24+80</f>
        <v>3280</v>
      </c>
      <c r="C24">
        <f t="shared" ref="C24:C33" si="13">MROUND(125+A24*11,5)</f>
        <v>345</v>
      </c>
      <c r="D24">
        <f t="shared" si="1"/>
        <v>27</v>
      </c>
      <c r="E24" s="2">
        <v>0</v>
      </c>
      <c r="F24">
        <f t="shared" si="2"/>
        <v>45</v>
      </c>
      <c r="G24">
        <f t="shared" si="3"/>
        <v>0.70500000000000007</v>
      </c>
      <c r="H24" s="3">
        <f t="shared" si="8"/>
        <v>0.05</v>
      </c>
      <c r="I24" s="2">
        <v>2.75</v>
      </c>
      <c r="J24" s="2">
        <v>0</v>
      </c>
      <c r="K24" s="2">
        <v>1</v>
      </c>
      <c r="L24" s="16">
        <f>1</f>
        <v>1</v>
      </c>
      <c r="M24" s="5">
        <f t="shared" si="4"/>
        <v>490</v>
      </c>
      <c r="N24" s="6">
        <f t="shared" si="5"/>
        <v>33.311250000000001</v>
      </c>
      <c r="O24">
        <f t="shared" si="6"/>
        <v>438.15000000000003</v>
      </c>
      <c r="P24" s="7">
        <f t="shared" si="9"/>
        <v>13.153214004277835</v>
      </c>
      <c r="Q24">
        <f>ROUNDUP(몬스터!$P$8/F24, 0)</f>
        <v>8</v>
      </c>
      <c r="R24" s="6">
        <f t="shared" si="7"/>
        <v>11.347517730496453</v>
      </c>
      <c r="S24" s="7">
        <f>B24/몬스터!C8*R24</f>
        <v>206.77698975571312</v>
      </c>
      <c r="T24" s="7">
        <f t="shared" ref="T24" si="14">SUM(S20:S24)</f>
        <v>959.77332471863554</v>
      </c>
      <c r="U24">
        <f>ROUNDDOWN(R24*몬스터!H$8, 0)*몬스터!G$8*(1+몬스터!I$8)</f>
        <v>210.21</v>
      </c>
      <c r="V24" s="2">
        <f t="shared" si="10"/>
        <v>0.4797672030126669</v>
      </c>
    </row>
    <row r="25" spans="1:22" x14ac:dyDescent="0.4">
      <c r="A25">
        <v>21</v>
      </c>
      <c r="B25" s="4">
        <f>160*A25</f>
        <v>3360</v>
      </c>
      <c r="C25">
        <f t="shared" si="13"/>
        <v>355</v>
      </c>
      <c r="D25">
        <f t="shared" si="1"/>
        <v>27</v>
      </c>
      <c r="E25" s="2">
        <v>0</v>
      </c>
      <c r="F25">
        <f t="shared" si="2"/>
        <v>47</v>
      </c>
      <c r="G25">
        <f t="shared" si="3"/>
        <v>0.70700000000000007</v>
      </c>
      <c r="H25" s="3">
        <f t="shared" si="8"/>
        <v>0.05</v>
      </c>
      <c r="I25" s="2">
        <v>2.75</v>
      </c>
      <c r="J25" s="2">
        <v>0</v>
      </c>
      <c r="K25" s="2">
        <v>1</v>
      </c>
      <c r="L25" s="16">
        <f>1</f>
        <v>1</v>
      </c>
      <c r="M25" s="5">
        <f t="shared" si="4"/>
        <v>500</v>
      </c>
      <c r="N25" s="6">
        <f t="shared" si="5"/>
        <v>34.890450000000008</v>
      </c>
      <c r="O25">
        <f t="shared" si="6"/>
        <v>450.85</v>
      </c>
      <c r="P25" s="7">
        <f t="shared" si="9"/>
        <v>12.921874037164896</v>
      </c>
      <c r="Q25">
        <f>ROUNDUP(몬스터!$P$11/F25, 0)</f>
        <v>10</v>
      </c>
      <c r="R25" s="6">
        <f t="shared" si="7"/>
        <v>14.144271570014142</v>
      </c>
      <c r="S25" s="7">
        <f>B25/몬스터!C11*R25</f>
        <v>206.62935858803269</v>
      </c>
      <c r="U25">
        <f>ROUNDDOWN(R25*몬스터!H$11, 0)*몬스터!G$11*(1+몬스터!I$11)</f>
        <v>349.92</v>
      </c>
      <c r="V25" s="2">
        <f t="shared" si="10"/>
        <v>0.77613396916934674</v>
      </c>
    </row>
    <row r="26" spans="1:22" x14ac:dyDescent="0.4">
      <c r="A26">
        <v>22</v>
      </c>
      <c r="B26" s="4">
        <f>160*A26</f>
        <v>3520</v>
      </c>
      <c r="C26">
        <f t="shared" si="13"/>
        <v>365</v>
      </c>
      <c r="D26">
        <f t="shared" si="1"/>
        <v>27</v>
      </c>
      <c r="E26" s="2">
        <v>0</v>
      </c>
      <c r="F26">
        <f t="shared" si="2"/>
        <v>48</v>
      </c>
      <c r="G26">
        <f t="shared" si="3"/>
        <v>0.70900000000000007</v>
      </c>
      <c r="H26" s="3">
        <f t="shared" si="8"/>
        <v>0.05</v>
      </c>
      <c r="I26" s="2">
        <v>2.75</v>
      </c>
      <c r="J26" s="2">
        <v>0</v>
      </c>
      <c r="K26" s="2">
        <v>1</v>
      </c>
      <c r="L26" s="16">
        <f>1</f>
        <v>1</v>
      </c>
      <c r="M26" s="5">
        <f t="shared" si="4"/>
        <v>510</v>
      </c>
      <c r="N26" s="6">
        <f t="shared" si="5"/>
        <v>35.733600000000003</v>
      </c>
      <c r="O26">
        <f t="shared" si="6"/>
        <v>463.55</v>
      </c>
      <c r="P26" s="7">
        <f t="shared" si="9"/>
        <v>12.972384534443773</v>
      </c>
      <c r="Q26">
        <f>ROUNDUP(몬스터!$P$11/F26, 0)</f>
        <v>9</v>
      </c>
      <c r="R26" s="6">
        <f t="shared" si="7"/>
        <v>12.693935119887163</v>
      </c>
      <c r="S26" s="7">
        <f>B26/몬스터!C11*R26</f>
        <v>194.27239835653398</v>
      </c>
      <c r="U26">
        <f>ROUNDDOWN(R26*몬스터!H$11, 0)*몬스터!G$11*(1+몬스터!I$11)</f>
        <v>311.04000000000002</v>
      </c>
      <c r="V26" s="2">
        <f t="shared" si="10"/>
        <v>0.67099557760759365</v>
      </c>
    </row>
    <row r="27" spans="1:22" x14ac:dyDescent="0.4">
      <c r="A27">
        <v>23</v>
      </c>
      <c r="B27" s="4">
        <f>160*A27</f>
        <v>3680</v>
      </c>
      <c r="C27">
        <f t="shared" si="13"/>
        <v>380</v>
      </c>
      <c r="D27">
        <f t="shared" si="1"/>
        <v>28</v>
      </c>
      <c r="E27" s="2">
        <v>0</v>
      </c>
      <c r="F27">
        <f t="shared" si="2"/>
        <v>49</v>
      </c>
      <c r="G27">
        <f t="shared" si="3"/>
        <v>0.71100000000000008</v>
      </c>
      <c r="H27" s="3">
        <f t="shared" si="8"/>
        <v>0.05</v>
      </c>
      <c r="I27" s="2">
        <v>2.75</v>
      </c>
      <c r="J27" s="2">
        <v>0</v>
      </c>
      <c r="K27" s="2">
        <v>1</v>
      </c>
      <c r="L27" s="16">
        <f>1</f>
        <v>1</v>
      </c>
      <c r="M27" s="5">
        <f t="shared" si="4"/>
        <v>520</v>
      </c>
      <c r="N27" s="6">
        <f t="shared" si="5"/>
        <v>36.580950000000009</v>
      </c>
      <c r="O27">
        <f t="shared" si="6"/>
        <v>486.40000000000003</v>
      </c>
      <c r="P27" s="7">
        <f t="shared" si="9"/>
        <v>13.296538225497148</v>
      </c>
      <c r="Q27">
        <f>ROUNDUP(몬스터!$P$11/F27, 0)</f>
        <v>9</v>
      </c>
      <c r="R27" s="6">
        <f t="shared" si="7"/>
        <v>12.658227848101264</v>
      </c>
      <c r="S27" s="7">
        <f>B27/몬스터!C11*R27</f>
        <v>202.53164556962022</v>
      </c>
      <c r="U27">
        <f>ROUNDDOWN(R27*몬스터!H$11, 0)*몬스터!G$11*(1+몬스터!I$11)</f>
        <v>311.04000000000002</v>
      </c>
      <c r="V27" s="2">
        <f t="shared" si="10"/>
        <v>0.63947368421052631</v>
      </c>
    </row>
    <row r="28" spans="1:22" x14ac:dyDescent="0.4">
      <c r="A28">
        <v>24</v>
      </c>
      <c r="B28" s="4">
        <f>160*A28</f>
        <v>3840</v>
      </c>
      <c r="C28">
        <f t="shared" si="13"/>
        <v>390</v>
      </c>
      <c r="D28">
        <f t="shared" si="1"/>
        <v>28</v>
      </c>
      <c r="E28" s="2">
        <v>0</v>
      </c>
      <c r="F28">
        <f t="shared" si="2"/>
        <v>51</v>
      </c>
      <c r="G28">
        <f t="shared" si="3"/>
        <v>0.71300000000000008</v>
      </c>
      <c r="H28" s="3">
        <f t="shared" si="8"/>
        <v>0.05</v>
      </c>
      <c r="I28" s="2">
        <v>2.75</v>
      </c>
      <c r="J28" s="2">
        <v>0</v>
      </c>
      <c r="K28" s="2">
        <v>1</v>
      </c>
      <c r="L28" s="16">
        <f>1</f>
        <v>1</v>
      </c>
      <c r="M28" s="5">
        <f t="shared" si="4"/>
        <v>530</v>
      </c>
      <c r="N28" s="6">
        <f t="shared" si="5"/>
        <v>38.181150000000009</v>
      </c>
      <c r="O28">
        <f t="shared" si="6"/>
        <v>499.2</v>
      </c>
      <c r="P28" s="7">
        <f t="shared" si="9"/>
        <v>13.074514518289782</v>
      </c>
      <c r="Q28">
        <f>ROUNDUP(몬스터!$P$11/F28, 0)</f>
        <v>9</v>
      </c>
      <c r="R28" s="6">
        <f t="shared" si="7"/>
        <v>12.622720897615707</v>
      </c>
      <c r="S28" s="7">
        <f>B28/몬스터!C11*R28</f>
        <v>210.74455759497528</v>
      </c>
      <c r="U28">
        <f>ROUNDDOWN(R28*몬스터!H$11, 0)*몬스터!G$11*(1+몬스터!I$11)</f>
        <v>311.04000000000002</v>
      </c>
      <c r="V28" s="2">
        <f t="shared" si="10"/>
        <v>0.62307692307692308</v>
      </c>
    </row>
    <row r="29" spans="1:22" x14ac:dyDescent="0.4">
      <c r="A29">
        <v>25</v>
      </c>
      <c r="B29" s="4">
        <f>160*A29</f>
        <v>4000</v>
      </c>
      <c r="C29">
        <f t="shared" si="13"/>
        <v>400</v>
      </c>
      <c r="D29">
        <f t="shared" si="1"/>
        <v>28</v>
      </c>
      <c r="E29" s="2">
        <v>0</v>
      </c>
      <c r="F29">
        <f t="shared" si="2"/>
        <v>52</v>
      </c>
      <c r="G29">
        <f t="shared" si="3"/>
        <v>0.71500000000000008</v>
      </c>
      <c r="H29" s="3">
        <f t="shared" si="8"/>
        <v>0.05</v>
      </c>
      <c r="I29" s="2">
        <v>2.75</v>
      </c>
      <c r="J29" s="2">
        <v>0</v>
      </c>
      <c r="K29" s="2">
        <v>1</v>
      </c>
      <c r="L29" s="16">
        <f>1</f>
        <v>1</v>
      </c>
      <c r="M29" s="5">
        <f t="shared" si="4"/>
        <v>540</v>
      </c>
      <c r="N29" s="6">
        <f t="shared" si="5"/>
        <v>39.039000000000009</v>
      </c>
      <c r="O29">
        <f t="shared" si="6"/>
        <v>512</v>
      </c>
      <c r="P29" s="7">
        <f t="shared" si="9"/>
        <v>13.115090038166958</v>
      </c>
      <c r="Q29">
        <f>ROUNDUP(몬스터!$P$11/F29, 0)</f>
        <v>9</v>
      </c>
      <c r="R29" s="6">
        <f t="shared" si="7"/>
        <v>12.587412587412587</v>
      </c>
      <c r="S29" s="7">
        <f>B29/몬스터!C11*R29</f>
        <v>218.91152325934931</v>
      </c>
      <c r="T29" s="7">
        <f t="shared" ref="T29" si="15">SUM(S25:S29)</f>
        <v>1033.0894833685115</v>
      </c>
      <c r="U29">
        <f>ROUNDDOWN(R29*몬스터!H$11, 0)*몬스터!G$11*(1+몬스터!I$11)</f>
        <v>311.04000000000002</v>
      </c>
      <c r="V29" s="2">
        <f t="shared" si="10"/>
        <v>0.60750000000000004</v>
      </c>
    </row>
    <row r="30" spans="1:22" x14ac:dyDescent="0.4">
      <c r="A30">
        <v>26</v>
      </c>
      <c r="B30" s="4">
        <f>170*A30</f>
        <v>4420</v>
      </c>
      <c r="C30">
        <f t="shared" si="13"/>
        <v>410</v>
      </c>
      <c r="D30">
        <f t="shared" si="1"/>
        <v>29</v>
      </c>
      <c r="E30" s="2">
        <v>0</v>
      </c>
      <c r="F30">
        <f t="shared" si="2"/>
        <v>53</v>
      </c>
      <c r="G30">
        <f t="shared" si="3"/>
        <v>0.71700000000000008</v>
      </c>
      <c r="H30" s="3">
        <f t="shared" si="8"/>
        <v>0.05</v>
      </c>
      <c r="I30" s="2">
        <v>2.75</v>
      </c>
      <c r="J30" s="2">
        <v>0</v>
      </c>
      <c r="K30" s="2">
        <v>1</v>
      </c>
      <c r="L30" s="16">
        <f>1</f>
        <v>1</v>
      </c>
      <c r="M30" s="5">
        <f t="shared" si="4"/>
        <v>550</v>
      </c>
      <c r="N30" s="6">
        <f t="shared" si="5"/>
        <v>39.901050000000005</v>
      </c>
      <c r="O30">
        <f t="shared" si="6"/>
        <v>528.9</v>
      </c>
      <c r="P30" s="7">
        <f t="shared" si="9"/>
        <v>13.255290274316087</v>
      </c>
      <c r="Q30">
        <f>ROUNDUP(몬스터!$P$12/F30, 0)</f>
        <v>10</v>
      </c>
      <c r="R30" s="6">
        <f t="shared" si="7"/>
        <v>13.947001394700138</v>
      </c>
      <c r="S30" s="7">
        <f>B30/몬스터!C12*R30</f>
        <v>220.16337915919505</v>
      </c>
      <c r="U30">
        <f>ROUNDDOWN(R30*몬스터!H$12, 0)*몬스터!G$12*(1+몬스터!I$12)</f>
        <v>420.86249999999995</v>
      </c>
      <c r="V30" s="2">
        <f t="shared" si="10"/>
        <v>0.7957317073170731</v>
      </c>
    </row>
    <row r="31" spans="1:22" x14ac:dyDescent="0.4">
      <c r="A31">
        <v>27</v>
      </c>
      <c r="B31" s="4">
        <f>170*A31</f>
        <v>4590</v>
      </c>
      <c r="C31">
        <f t="shared" si="13"/>
        <v>420</v>
      </c>
      <c r="D31">
        <f t="shared" si="1"/>
        <v>29</v>
      </c>
      <c r="E31" s="2">
        <v>0</v>
      </c>
      <c r="F31">
        <f t="shared" si="2"/>
        <v>55</v>
      </c>
      <c r="G31">
        <f t="shared" si="3"/>
        <v>0.71900000000000008</v>
      </c>
      <c r="H31" s="3">
        <f t="shared" si="8"/>
        <v>0.05</v>
      </c>
      <c r="I31" s="2">
        <v>2.75</v>
      </c>
      <c r="J31" s="2">
        <v>0</v>
      </c>
      <c r="K31" s="2">
        <v>1</v>
      </c>
      <c r="L31" s="16">
        <f>1</f>
        <v>1</v>
      </c>
      <c r="M31" s="5">
        <f t="shared" si="4"/>
        <v>560</v>
      </c>
      <c r="N31" s="6">
        <f t="shared" si="5"/>
        <v>41.522250000000007</v>
      </c>
      <c r="O31">
        <f t="shared" si="6"/>
        <v>541.80000000000007</v>
      </c>
      <c r="P31" s="7">
        <f t="shared" si="9"/>
        <v>13.048425843975217</v>
      </c>
      <c r="Q31">
        <f>ROUNDUP(몬스터!$P$12/F31, 0)</f>
        <v>10</v>
      </c>
      <c r="R31" s="6">
        <f t="shared" si="7"/>
        <v>13.908205841446453</v>
      </c>
      <c r="S31" s="7">
        <f>B31/몬스터!C12*R31</f>
        <v>227.99523147228291</v>
      </c>
      <c r="U31">
        <f>ROUNDDOWN(R31*몬스터!H$12, 0)*몬스터!G$12*(1+몬스터!I$12)</f>
        <v>420.86249999999995</v>
      </c>
      <c r="V31" s="2">
        <f t="shared" si="10"/>
        <v>0.77678571428571408</v>
      </c>
    </row>
    <row r="32" spans="1:22" x14ac:dyDescent="0.4">
      <c r="A32">
        <v>28</v>
      </c>
      <c r="B32" s="4">
        <f>170*A32</f>
        <v>4760</v>
      </c>
      <c r="C32">
        <f t="shared" si="13"/>
        <v>435</v>
      </c>
      <c r="D32">
        <f t="shared" si="1"/>
        <v>29</v>
      </c>
      <c r="E32" s="2">
        <v>0</v>
      </c>
      <c r="F32">
        <f t="shared" si="2"/>
        <v>56</v>
      </c>
      <c r="G32">
        <f t="shared" si="3"/>
        <v>0.72100000000000009</v>
      </c>
      <c r="H32" s="3">
        <f t="shared" si="8"/>
        <v>0.05</v>
      </c>
      <c r="I32" s="2">
        <v>2.75</v>
      </c>
      <c r="J32" s="2">
        <v>0</v>
      </c>
      <c r="K32" s="2">
        <v>1</v>
      </c>
      <c r="L32" s="16">
        <f>1</f>
        <v>1</v>
      </c>
      <c r="M32" s="5">
        <f t="shared" si="4"/>
        <v>570</v>
      </c>
      <c r="N32" s="6">
        <f t="shared" si="5"/>
        <v>42.394800000000004</v>
      </c>
      <c r="O32">
        <f t="shared" si="6"/>
        <v>561.15</v>
      </c>
      <c r="P32" s="7">
        <f t="shared" si="9"/>
        <v>13.236293130289562</v>
      </c>
      <c r="Q32">
        <f>ROUNDUP(몬스터!$P$12/F32, 0)</f>
        <v>10</v>
      </c>
      <c r="R32" s="6">
        <f t="shared" si="7"/>
        <v>13.869625520110956</v>
      </c>
      <c r="S32" s="7">
        <f>B32/몬스터!C12*R32</f>
        <v>235.78363384188626</v>
      </c>
      <c r="U32">
        <f>ROUNDDOWN(R32*몬스터!H$12, 0)*몬스터!G$12*(1+몬스터!I$12)</f>
        <v>420.86249999999995</v>
      </c>
      <c r="V32" s="2">
        <f t="shared" si="10"/>
        <v>0.75</v>
      </c>
    </row>
    <row r="33" spans="1:22" x14ac:dyDescent="0.4">
      <c r="A33">
        <v>29</v>
      </c>
      <c r="B33" s="4">
        <f>170*A33</f>
        <v>4930</v>
      </c>
      <c r="C33">
        <f t="shared" si="13"/>
        <v>445</v>
      </c>
      <c r="D33">
        <f t="shared" si="1"/>
        <v>30</v>
      </c>
      <c r="E33" s="2">
        <v>0</v>
      </c>
      <c r="F33">
        <f t="shared" si="2"/>
        <v>57</v>
      </c>
      <c r="G33">
        <f t="shared" si="3"/>
        <v>0.72300000000000009</v>
      </c>
      <c r="H33" s="3">
        <f t="shared" si="8"/>
        <v>0.05</v>
      </c>
      <c r="I33" s="2">
        <v>2.75</v>
      </c>
      <c r="J33" s="2">
        <v>0</v>
      </c>
      <c r="K33" s="2">
        <v>1</v>
      </c>
      <c r="L33" s="16">
        <f>1</f>
        <v>1</v>
      </c>
      <c r="M33" s="5">
        <f t="shared" si="4"/>
        <v>580</v>
      </c>
      <c r="N33" s="6">
        <f t="shared" si="5"/>
        <v>43.271550000000005</v>
      </c>
      <c r="O33">
        <f t="shared" si="6"/>
        <v>578.5</v>
      </c>
      <c r="P33" s="7">
        <f t="shared" si="9"/>
        <v>13.369061196097665</v>
      </c>
      <c r="Q33">
        <f>ROUNDUP(몬스터!$P$12/F33, 0)</f>
        <v>10</v>
      </c>
      <c r="R33" s="6">
        <f t="shared" si="7"/>
        <v>13.831258644536652</v>
      </c>
      <c r="S33" s="7">
        <f>B33/몬스터!C12*R33</f>
        <v>243.5289468484489</v>
      </c>
      <c r="U33">
        <f>ROUNDDOWN(R33*몬스터!H$12, 0)*몬스터!G$12*(1+몬스터!I$12)</f>
        <v>420.86249999999995</v>
      </c>
      <c r="V33" s="2">
        <f t="shared" si="10"/>
        <v>0.72750648228176307</v>
      </c>
    </row>
    <row r="34" spans="1:22" x14ac:dyDescent="0.4">
      <c r="A34">
        <v>30</v>
      </c>
      <c r="B34" s="4">
        <f>170*A34</f>
        <v>5100</v>
      </c>
      <c r="C34">
        <f t="shared" ref="C34:C43" si="16">MROUND(120+A34*11,5)</f>
        <v>450</v>
      </c>
      <c r="D34">
        <f t="shared" si="1"/>
        <v>30</v>
      </c>
      <c r="E34" s="2">
        <v>0</v>
      </c>
      <c r="F34">
        <f t="shared" si="2"/>
        <v>59</v>
      </c>
      <c r="G34">
        <f t="shared" si="3"/>
        <v>0.72500000000000009</v>
      </c>
      <c r="H34" s="3">
        <f t="shared" si="8"/>
        <v>0.05</v>
      </c>
      <c r="I34" s="2">
        <v>2.75</v>
      </c>
      <c r="J34" s="2">
        <v>0</v>
      </c>
      <c r="K34" s="2">
        <v>1</v>
      </c>
      <c r="L34" s="16">
        <f>1</f>
        <v>1</v>
      </c>
      <c r="M34" s="5">
        <f t="shared" si="4"/>
        <v>590</v>
      </c>
      <c r="N34" s="6">
        <f t="shared" si="5"/>
        <v>44.913750000000007</v>
      </c>
      <c r="O34">
        <f t="shared" si="6"/>
        <v>585</v>
      </c>
      <c r="P34" s="7">
        <f t="shared" si="9"/>
        <v>13.024964515321029</v>
      </c>
      <c r="Q34">
        <f>ROUNDUP(몬스터!$P$12/F34, 0)</f>
        <v>9</v>
      </c>
      <c r="R34" s="6">
        <f t="shared" si="7"/>
        <v>12.413793103448274</v>
      </c>
      <c r="S34" s="7">
        <f>B34/몬스터!C12*R34</f>
        <v>226.10837438423644</v>
      </c>
      <c r="T34" s="7">
        <f t="shared" ref="T34" si="17">SUM(S30:S34)</f>
        <v>1153.5795657060496</v>
      </c>
      <c r="U34">
        <f>ROUNDDOWN(R34*몬스터!H$12, 0)*몬스터!G$12*(1+몬스터!I$12)</f>
        <v>374.09999999999997</v>
      </c>
      <c r="V34" s="2">
        <f t="shared" si="10"/>
        <v>0.63948717948717948</v>
      </c>
    </row>
    <row r="35" spans="1:22" x14ac:dyDescent="0.4">
      <c r="A35">
        <v>31</v>
      </c>
      <c r="B35" s="4">
        <f>160*A35</f>
        <v>4960</v>
      </c>
      <c r="C35">
        <f t="shared" si="16"/>
        <v>460</v>
      </c>
      <c r="D35">
        <f t="shared" si="1"/>
        <v>30</v>
      </c>
      <c r="E35" s="2">
        <v>0</v>
      </c>
      <c r="F35">
        <f t="shared" si="2"/>
        <v>60</v>
      </c>
      <c r="G35">
        <f t="shared" si="3"/>
        <v>0.72700000000000009</v>
      </c>
      <c r="H35" s="3">
        <f t="shared" si="8"/>
        <v>0.05</v>
      </c>
      <c r="I35" s="2">
        <v>2.75</v>
      </c>
      <c r="J35" s="2">
        <v>0</v>
      </c>
      <c r="K35" s="2">
        <v>1</v>
      </c>
      <c r="L35" s="16">
        <f>1</f>
        <v>1</v>
      </c>
      <c r="M35" s="5">
        <f t="shared" si="4"/>
        <v>600</v>
      </c>
      <c r="N35" s="6">
        <f t="shared" si="5"/>
        <v>45.801000000000009</v>
      </c>
      <c r="O35">
        <f t="shared" si="6"/>
        <v>598</v>
      </c>
      <c r="P35" s="7">
        <f t="shared" si="9"/>
        <v>13.056483482893384</v>
      </c>
      <c r="Q35">
        <f>ROUNDUP(몬스터!$P$13/F35, 0)</f>
        <v>11</v>
      </c>
      <c r="R35" s="6">
        <f t="shared" si="7"/>
        <v>15.13067400275103</v>
      </c>
      <c r="S35" s="7">
        <f>B35/몬스터!C13*R35</f>
        <v>227.41861531407611</v>
      </c>
      <c r="U35">
        <f>ROUNDDOWN(R35*몬스터!H$13, 0)*몬스터!G$13*(1+몬스터!I$13)</f>
        <v>558.44999999999993</v>
      </c>
      <c r="V35" s="2">
        <f t="shared" si="10"/>
        <v>0.93386287625418052</v>
      </c>
    </row>
    <row r="36" spans="1:22" x14ac:dyDescent="0.4">
      <c r="A36">
        <v>32</v>
      </c>
      <c r="B36" s="4">
        <f>160*A36</f>
        <v>5120</v>
      </c>
      <c r="C36">
        <f t="shared" si="16"/>
        <v>470</v>
      </c>
      <c r="D36">
        <f t="shared" si="1"/>
        <v>31</v>
      </c>
      <c r="E36" s="2">
        <v>0</v>
      </c>
      <c r="F36">
        <f t="shared" si="2"/>
        <v>61</v>
      </c>
      <c r="G36">
        <f t="shared" si="3"/>
        <v>0.72900000000000009</v>
      </c>
      <c r="H36" s="3">
        <f t="shared" si="8"/>
        <v>0.05</v>
      </c>
      <c r="I36" s="2">
        <v>2.75</v>
      </c>
      <c r="J36" s="2">
        <v>0</v>
      </c>
      <c r="K36" s="2">
        <v>1</v>
      </c>
      <c r="L36" s="16">
        <f>1</f>
        <v>1</v>
      </c>
      <c r="M36" s="5">
        <f t="shared" si="4"/>
        <v>610</v>
      </c>
      <c r="N36" s="6">
        <f t="shared" si="5"/>
        <v>46.692450000000008</v>
      </c>
      <c r="O36">
        <f t="shared" si="6"/>
        <v>615.70000000000005</v>
      </c>
      <c r="P36" s="7">
        <f t="shared" si="9"/>
        <v>13.18628600555336</v>
      </c>
      <c r="Q36">
        <f>ROUNDUP(몬스터!$P$13/F36, 0)</f>
        <v>11</v>
      </c>
      <c r="R36" s="6">
        <f t="shared" si="7"/>
        <v>15.089163237311384</v>
      </c>
      <c r="S36" s="7">
        <f>B36/몬스터!C13*R36</f>
        <v>234.11065386374025</v>
      </c>
      <c r="U36">
        <f>ROUNDDOWN(R36*몬스터!H$13, 0)*몬스터!G$13*(1+몬스터!I$13)</f>
        <v>558.44999999999993</v>
      </c>
      <c r="V36" s="2">
        <f t="shared" si="10"/>
        <v>0.90701640409290218</v>
      </c>
    </row>
    <row r="37" spans="1:22" x14ac:dyDescent="0.4">
      <c r="A37">
        <v>33</v>
      </c>
      <c r="B37" s="4">
        <f>160*A37</f>
        <v>5280</v>
      </c>
      <c r="C37">
        <f t="shared" si="16"/>
        <v>485</v>
      </c>
      <c r="D37">
        <f t="shared" ref="D37:D68" si="18">ROUNDDOWN((20+A37*0.35), 0)</f>
        <v>31</v>
      </c>
      <c r="E37" s="2">
        <v>0</v>
      </c>
      <c r="F37">
        <f t="shared" ref="F37:F68" si="19">ROUND((28+A37*2)*2/3, 0)</f>
        <v>63</v>
      </c>
      <c r="G37">
        <f t="shared" ref="G37:G68" si="20">0.665+0.002*A37</f>
        <v>0.73100000000000009</v>
      </c>
      <c r="H37" s="3">
        <f t="shared" si="8"/>
        <v>0.05</v>
      </c>
      <c r="I37" s="2">
        <v>2.75</v>
      </c>
      <c r="J37" s="2">
        <v>0</v>
      </c>
      <c r="K37" s="2">
        <v>1</v>
      </c>
      <c r="L37" s="16">
        <f>1</f>
        <v>1</v>
      </c>
      <c r="M37" s="5">
        <f t="shared" ref="M37:M68" si="21">290+10*A37</f>
        <v>620</v>
      </c>
      <c r="N37" s="6">
        <f t="shared" ref="N37:N68" si="22">F37*G37*(1+H37)</f>
        <v>48.355650000000004</v>
      </c>
      <c r="O37">
        <f t="shared" ref="O37:O68" si="23">C37*(1+D37/100)*(1+E37)</f>
        <v>635.35</v>
      </c>
      <c r="P37" s="7">
        <f t="shared" si="9"/>
        <v>13.13910577150757</v>
      </c>
      <c r="Q37">
        <f>ROUNDUP(몬스터!$P$13/F37, 0)</f>
        <v>10</v>
      </c>
      <c r="R37" s="6">
        <f t="shared" ref="R37:R68" si="24">Q37/G37</f>
        <v>13.679890560875512</v>
      </c>
      <c r="S37" s="7">
        <f>B37/몬스터!C13*R37</f>
        <v>218.87824897400819</v>
      </c>
      <c r="U37">
        <f>ROUNDDOWN(R37*몬스터!H$13, 0)*몬스터!G$13*(1+몬스터!I$13)</f>
        <v>502.60499999999996</v>
      </c>
      <c r="V37" s="2">
        <f t="shared" si="10"/>
        <v>0.79106791532226328</v>
      </c>
    </row>
    <row r="38" spans="1:22" x14ac:dyDescent="0.4">
      <c r="A38">
        <v>34</v>
      </c>
      <c r="B38" s="4">
        <f>160*A38</f>
        <v>5440</v>
      </c>
      <c r="C38">
        <f t="shared" si="16"/>
        <v>495</v>
      </c>
      <c r="D38">
        <f t="shared" si="18"/>
        <v>31</v>
      </c>
      <c r="E38" s="2">
        <v>0</v>
      </c>
      <c r="F38">
        <f t="shared" si="19"/>
        <v>64</v>
      </c>
      <c r="G38">
        <f t="shared" si="20"/>
        <v>0.7330000000000001</v>
      </c>
      <c r="H38" s="3">
        <f t="shared" si="8"/>
        <v>0.05</v>
      </c>
      <c r="I38" s="2">
        <v>2.75</v>
      </c>
      <c r="J38" s="2">
        <v>0</v>
      </c>
      <c r="K38" s="2">
        <v>1</v>
      </c>
      <c r="L38" s="16">
        <f>1</f>
        <v>1</v>
      </c>
      <c r="M38" s="5">
        <f t="shared" si="21"/>
        <v>630</v>
      </c>
      <c r="N38" s="6">
        <f t="shared" si="22"/>
        <v>49.257600000000011</v>
      </c>
      <c r="O38">
        <f t="shared" si="23"/>
        <v>648.45000000000005</v>
      </c>
      <c r="P38" s="7">
        <f t="shared" si="9"/>
        <v>13.164465991034884</v>
      </c>
      <c r="Q38">
        <f>ROUNDUP(몬스터!$P$13/F38, 0)</f>
        <v>10</v>
      </c>
      <c r="R38" s="6">
        <f t="shared" si="24"/>
        <v>13.642564802182809</v>
      </c>
      <c r="S38" s="7">
        <f>B38/몬스터!C13*R38</f>
        <v>224.89561370871056</v>
      </c>
      <c r="U38">
        <f>ROUNDDOWN(R38*몬스터!H$13, 0)*몬스터!G$13*(1+몬스터!I$13)</f>
        <v>502.60499999999996</v>
      </c>
      <c r="V38" s="2">
        <f t="shared" si="10"/>
        <v>0.77508674531575283</v>
      </c>
    </row>
    <row r="39" spans="1:22" x14ac:dyDescent="0.4">
      <c r="A39">
        <v>35</v>
      </c>
      <c r="B39" s="4">
        <f>160*A39</f>
        <v>5600</v>
      </c>
      <c r="C39">
        <f t="shared" si="16"/>
        <v>505</v>
      </c>
      <c r="D39">
        <f t="shared" si="18"/>
        <v>32</v>
      </c>
      <c r="E39" s="2">
        <v>0</v>
      </c>
      <c r="F39">
        <f t="shared" si="19"/>
        <v>65</v>
      </c>
      <c r="G39">
        <f t="shared" si="20"/>
        <v>0.7350000000000001</v>
      </c>
      <c r="H39" s="3">
        <f t="shared" si="8"/>
        <v>0.05</v>
      </c>
      <c r="I39" s="2">
        <v>2.75</v>
      </c>
      <c r="J39" s="2">
        <v>0</v>
      </c>
      <c r="K39" s="2">
        <v>1</v>
      </c>
      <c r="L39" s="16">
        <f>1</f>
        <v>1</v>
      </c>
      <c r="M39" s="5">
        <f t="shared" si="21"/>
        <v>640</v>
      </c>
      <c r="N39" s="6">
        <f t="shared" si="22"/>
        <v>50.163750000000007</v>
      </c>
      <c r="O39">
        <f t="shared" si="23"/>
        <v>666.6</v>
      </c>
      <c r="P39" s="7">
        <f t="shared" si="9"/>
        <v>13.288480227255736</v>
      </c>
      <c r="Q39">
        <f>ROUNDUP(몬스터!$P$13/F39, 0)</f>
        <v>10</v>
      </c>
      <c r="R39" s="6">
        <f t="shared" si="24"/>
        <v>13.605442176870746</v>
      </c>
      <c r="S39" s="7">
        <f>B39/몬스터!C13*R39</f>
        <v>230.88023088023081</v>
      </c>
      <c r="T39" s="7">
        <f t="shared" ref="T39" si="25">SUM(S35:S39)</f>
        <v>1136.1833627407659</v>
      </c>
      <c r="U39">
        <f>ROUNDDOWN(R39*몬스터!H$13, 0)*몬스터!G$13*(1+몬스터!I$13)</f>
        <v>502.60499999999996</v>
      </c>
      <c r="V39" s="2">
        <f t="shared" si="10"/>
        <v>0.7539828982898289</v>
      </c>
    </row>
    <row r="40" spans="1:22" x14ac:dyDescent="0.4">
      <c r="A40">
        <v>36</v>
      </c>
      <c r="B40" s="4">
        <f>170*A40</f>
        <v>6120</v>
      </c>
      <c r="C40">
        <f t="shared" si="16"/>
        <v>515</v>
      </c>
      <c r="D40">
        <f t="shared" si="18"/>
        <v>32</v>
      </c>
      <c r="E40" s="2">
        <v>0</v>
      </c>
      <c r="F40">
        <f t="shared" si="19"/>
        <v>67</v>
      </c>
      <c r="G40">
        <f t="shared" si="20"/>
        <v>0.7370000000000001</v>
      </c>
      <c r="H40" s="3">
        <f t="shared" si="8"/>
        <v>0.05</v>
      </c>
      <c r="I40" s="2">
        <v>2.75</v>
      </c>
      <c r="J40" s="2">
        <v>0</v>
      </c>
      <c r="K40" s="2">
        <v>1</v>
      </c>
      <c r="L40" s="16">
        <f>1</f>
        <v>1</v>
      </c>
      <c r="M40" s="5">
        <f t="shared" si="21"/>
        <v>650</v>
      </c>
      <c r="N40" s="6">
        <f t="shared" si="22"/>
        <v>51.847950000000004</v>
      </c>
      <c r="O40">
        <f t="shared" si="23"/>
        <v>679.80000000000007</v>
      </c>
      <c r="P40" s="7">
        <f t="shared" si="9"/>
        <v>13.11141520542278</v>
      </c>
      <c r="Q40">
        <f>ROUNDUP(몬스터!$P$14/F40, 0)</f>
        <v>10</v>
      </c>
      <c r="R40" s="6">
        <f t="shared" si="24"/>
        <v>13.568521031207597</v>
      </c>
      <c r="S40" s="7">
        <f>B40/몬스터!C14*R40</f>
        <v>218.52460187102761</v>
      </c>
      <c r="U40">
        <f>ROUNDDOWN(R40*몬스터!H$14, 0)*몬스터!G$14*(1+몬스터!I$14)</f>
        <v>575.505</v>
      </c>
      <c r="V40" s="2">
        <f t="shared" si="10"/>
        <v>0.84657987643424526</v>
      </c>
    </row>
    <row r="41" spans="1:22" x14ac:dyDescent="0.4">
      <c r="A41">
        <v>37</v>
      </c>
      <c r="B41" s="4">
        <f>170*A41</f>
        <v>6290</v>
      </c>
      <c r="C41">
        <f t="shared" si="16"/>
        <v>525</v>
      </c>
      <c r="D41">
        <f t="shared" si="18"/>
        <v>32</v>
      </c>
      <c r="E41" s="2">
        <v>0</v>
      </c>
      <c r="F41">
        <f t="shared" si="19"/>
        <v>68</v>
      </c>
      <c r="G41">
        <f t="shared" si="20"/>
        <v>0.73899999999999999</v>
      </c>
      <c r="H41" s="3">
        <f t="shared" si="8"/>
        <v>0.05</v>
      </c>
      <c r="I41" s="2">
        <v>2.75</v>
      </c>
      <c r="J41" s="2">
        <v>0</v>
      </c>
      <c r="K41" s="2">
        <v>1</v>
      </c>
      <c r="L41" s="16">
        <f>1</f>
        <v>1</v>
      </c>
      <c r="M41" s="5">
        <f t="shared" si="21"/>
        <v>660</v>
      </c>
      <c r="N41" s="6">
        <f t="shared" si="22"/>
        <v>52.764600000000002</v>
      </c>
      <c r="O41">
        <f t="shared" si="23"/>
        <v>693</v>
      </c>
      <c r="P41" s="7">
        <f t="shared" si="9"/>
        <v>13.133805619676828</v>
      </c>
      <c r="Q41">
        <f>ROUNDUP(몬스터!$P$14/F41, 0)</f>
        <v>10</v>
      </c>
      <c r="R41" s="6">
        <f t="shared" si="24"/>
        <v>13.531799729364005</v>
      </c>
      <c r="S41" s="7">
        <f>B41/몬스터!C14*R41</f>
        <v>223.9868955202621</v>
      </c>
      <c r="U41">
        <f>ROUNDDOWN(R41*몬스터!H$14, 0)*몬스터!G$14*(1+몬스터!I$14)</f>
        <v>575.505</v>
      </c>
      <c r="V41" s="2">
        <f t="shared" si="10"/>
        <v>0.83045454545454545</v>
      </c>
    </row>
    <row r="42" spans="1:22" x14ac:dyDescent="0.4">
      <c r="A42">
        <v>38</v>
      </c>
      <c r="B42" s="4">
        <f>170*A42</f>
        <v>6460</v>
      </c>
      <c r="C42">
        <f t="shared" si="16"/>
        <v>540</v>
      </c>
      <c r="D42">
        <f t="shared" si="18"/>
        <v>33</v>
      </c>
      <c r="E42" s="2">
        <v>0</v>
      </c>
      <c r="F42">
        <f t="shared" si="19"/>
        <v>69</v>
      </c>
      <c r="G42">
        <f t="shared" si="20"/>
        <v>0.74099999999999999</v>
      </c>
      <c r="H42" s="3">
        <f t="shared" si="8"/>
        <v>0.05</v>
      </c>
      <c r="I42" s="2">
        <v>2.75</v>
      </c>
      <c r="J42" s="2">
        <v>0</v>
      </c>
      <c r="K42" s="2">
        <v>1</v>
      </c>
      <c r="L42" s="16">
        <f>1</f>
        <v>1</v>
      </c>
      <c r="M42" s="5">
        <f t="shared" si="21"/>
        <v>670</v>
      </c>
      <c r="N42" s="6">
        <f t="shared" si="22"/>
        <v>53.685450000000003</v>
      </c>
      <c r="O42">
        <f t="shared" si="23"/>
        <v>718.2</v>
      </c>
      <c r="P42" s="7">
        <f t="shared" si="9"/>
        <v>13.377926421404682</v>
      </c>
      <c r="Q42">
        <f>ROUNDUP(몬스터!$P$14/F42, 0)</f>
        <v>10</v>
      </c>
      <c r="R42" s="6">
        <f t="shared" si="24"/>
        <v>13.495276653171389</v>
      </c>
      <c r="S42" s="7">
        <f>B42/몬스터!C14*R42</f>
        <v>229.41970310391363</v>
      </c>
      <c r="U42">
        <f>ROUNDDOWN(R42*몬스터!H$14, 0)*몬스터!G$14*(1+몬스터!I$14)</f>
        <v>575.505</v>
      </c>
      <c r="V42" s="2">
        <f t="shared" si="10"/>
        <v>0.8013157894736842</v>
      </c>
    </row>
    <row r="43" spans="1:22" x14ac:dyDescent="0.4">
      <c r="A43">
        <v>39</v>
      </c>
      <c r="B43" s="4">
        <f>170*A43</f>
        <v>6630</v>
      </c>
      <c r="C43">
        <f t="shared" si="16"/>
        <v>550</v>
      </c>
      <c r="D43">
        <f t="shared" si="18"/>
        <v>33</v>
      </c>
      <c r="E43" s="2">
        <v>0</v>
      </c>
      <c r="F43">
        <f t="shared" si="19"/>
        <v>71</v>
      </c>
      <c r="G43">
        <f t="shared" si="20"/>
        <v>0.74299999999999999</v>
      </c>
      <c r="H43" s="3">
        <f t="shared" si="8"/>
        <v>0.05</v>
      </c>
      <c r="I43" s="2">
        <v>2.75</v>
      </c>
      <c r="J43" s="2">
        <v>0</v>
      </c>
      <c r="K43" s="2">
        <v>1</v>
      </c>
      <c r="L43" s="16">
        <f>1</f>
        <v>1</v>
      </c>
      <c r="M43" s="5">
        <f t="shared" si="21"/>
        <v>680</v>
      </c>
      <c r="N43" s="6">
        <f t="shared" si="22"/>
        <v>55.390650000000001</v>
      </c>
      <c r="O43">
        <f t="shared" si="23"/>
        <v>731.5</v>
      </c>
      <c r="P43" s="7">
        <f t="shared" si="9"/>
        <v>13.206199963351215</v>
      </c>
      <c r="Q43">
        <f>ROUNDUP(몬스터!$P$14/F43, 0)</f>
        <v>10</v>
      </c>
      <c r="R43" s="6">
        <f t="shared" si="24"/>
        <v>13.458950201884253</v>
      </c>
      <c r="S43" s="7">
        <f>B43/몬스터!C14*R43</f>
        <v>234.82326273287524</v>
      </c>
      <c r="U43">
        <f>ROUNDDOWN(R43*몬스터!H$14, 0)*몬스터!G$14*(1+몬스터!I$14)</f>
        <v>575.505</v>
      </c>
      <c r="V43" s="2">
        <f t="shared" si="10"/>
        <v>0.78674641148325353</v>
      </c>
    </row>
    <row r="44" spans="1:22" x14ac:dyDescent="0.4">
      <c r="A44">
        <v>40</v>
      </c>
      <c r="B44" s="4">
        <f>170*A44</f>
        <v>6800</v>
      </c>
      <c r="C44">
        <f t="shared" ref="C44:C75" si="26">MROUND(115+A44*11,5)</f>
        <v>555</v>
      </c>
      <c r="D44">
        <f t="shared" si="18"/>
        <v>34</v>
      </c>
      <c r="E44" s="2">
        <v>0</v>
      </c>
      <c r="F44">
        <f t="shared" si="19"/>
        <v>72</v>
      </c>
      <c r="G44">
        <f t="shared" si="20"/>
        <v>0.745</v>
      </c>
      <c r="H44" s="3">
        <f t="shared" si="8"/>
        <v>0.05</v>
      </c>
      <c r="I44" s="2">
        <v>2.75</v>
      </c>
      <c r="J44" s="2">
        <v>0</v>
      </c>
      <c r="K44" s="2">
        <v>1</v>
      </c>
      <c r="L44" s="16">
        <f>1</f>
        <v>1</v>
      </c>
      <c r="M44" s="5">
        <f t="shared" si="21"/>
        <v>690</v>
      </c>
      <c r="N44" s="6">
        <f t="shared" si="22"/>
        <v>56.322000000000003</v>
      </c>
      <c r="O44">
        <f t="shared" si="23"/>
        <v>743.7</v>
      </c>
      <c r="P44" s="7">
        <f t="shared" si="9"/>
        <v>13.204431660807501</v>
      </c>
      <c r="Q44">
        <f>ROUNDUP(몬스터!$P$14/F44, 0)</f>
        <v>10</v>
      </c>
      <c r="R44" s="6">
        <f t="shared" si="24"/>
        <v>13.422818791946309</v>
      </c>
      <c r="S44" s="7">
        <f>B44/몬스터!C14*R44</f>
        <v>240.19780996114449</v>
      </c>
      <c r="T44" s="7">
        <f t="shared" ref="T44" si="27">SUM(S40:S44)</f>
        <v>1146.9522731892232</v>
      </c>
      <c r="U44">
        <f>ROUNDDOWN(R44*몬스터!H$14, 0)*몬스터!G$14*(1+몬스터!I$14)</f>
        <v>575.505</v>
      </c>
      <c r="V44" s="2">
        <f t="shared" si="10"/>
        <v>0.77384025816861635</v>
      </c>
    </row>
    <row r="45" spans="1:22" x14ac:dyDescent="0.4">
      <c r="A45">
        <v>41</v>
      </c>
      <c r="B45" s="4">
        <f>160*A45</f>
        <v>6560</v>
      </c>
      <c r="C45">
        <f t="shared" si="26"/>
        <v>565</v>
      </c>
      <c r="D45">
        <f t="shared" si="18"/>
        <v>34</v>
      </c>
      <c r="E45" s="2">
        <v>0</v>
      </c>
      <c r="F45">
        <f t="shared" si="19"/>
        <v>73</v>
      </c>
      <c r="G45">
        <f t="shared" si="20"/>
        <v>0.747</v>
      </c>
      <c r="H45" s="3">
        <f t="shared" si="8"/>
        <v>0.05</v>
      </c>
      <c r="I45" s="2">
        <v>2.75</v>
      </c>
      <c r="J45" s="2">
        <v>0</v>
      </c>
      <c r="K45" s="2">
        <v>1</v>
      </c>
      <c r="L45" s="16">
        <f>1</f>
        <v>1</v>
      </c>
      <c r="M45" s="5">
        <f t="shared" si="21"/>
        <v>700</v>
      </c>
      <c r="N45" s="6">
        <f t="shared" si="22"/>
        <v>57.257550000000002</v>
      </c>
      <c r="O45">
        <f t="shared" si="23"/>
        <v>757.1</v>
      </c>
      <c r="P45" s="7">
        <f t="shared" si="9"/>
        <v>13.222710367453724</v>
      </c>
      <c r="Q45">
        <f>ROUNDUP(몬스터!$P$17/F45, 0)</f>
        <v>12</v>
      </c>
      <c r="R45" s="6">
        <f t="shared" si="24"/>
        <v>16.064257028112451</v>
      </c>
      <c r="S45" s="7">
        <f>B45/몬스터!C17*R45</f>
        <v>245.07331652190157</v>
      </c>
      <c r="U45">
        <f>ROUNDDOWN(R45*몬스터!H$17, 0)*몬스터!G$17*(1+몬스터!I$17)</f>
        <v>805.86000000000013</v>
      </c>
      <c r="V45" s="2">
        <f t="shared" si="10"/>
        <v>1.0644036454893675</v>
      </c>
    </row>
    <row r="46" spans="1:22" x14ac:dyDescent="0.4">
      <c r="A46">
        <v>42</v>
      </c>
      <c r="B46" s="4">
        <f>160*A46</f>
        <v>6720</v>
      </c>
      <c r="C46">
        <f t="shared" si="26"/>
        <v>575</v>
      </c>
      <c r="D46">
        <f t="shared" si="18"/>
        <v>34</v>
      </c>
      <c r="E46" s="2">
        <v>0</v>
      </c>
      <c r="F46">
        <f t="shared" si="19"/>
        <v>75</v>
      </c>
      <c r="G46">
        <f t="shared" si="20"/>
        <v>0.749</v>
      </c>
      <c r="H46" s="3">
        <f t="shared" si="8"/>
        <v>0.05</v>
      </c>
      <c r="I46" s="2">
        <v>2.75</v>
      </c>
      <c r="J46" s="2">
        <v>0</v>
      </c>
      <c r="K46" s="2">
        <v>1</v>
      </c>
      <c r="L46" s="16">
        <f>1</f>
        <v>1</v>
      </c>
      <c r="M46" s="5">
        <f t="shared" si="21"/>
        <v>710</v>
      </c>
      <c r="N46" s="6">
        <f t="shared" si="22"/>
        <v>58.983750000000001</v>
      </c>
      <c r="O46">
        <f t="shared" si="23"/>
        <v>770.5</v>
      </c>
      <c r="P46" s="7">
        <f t="shared" si="9"/>
        <v>13.062919871998643</v>
      </c>
      <c r="Q46">
        <f>ROUNDUP(몬스터!$P$17/F46, 0)</f>
        <v>12</v>
      </c>
      <c r="R46" s="6">
        <f t="shared" si="24"/>
        <v>16.021361815754339</v>
      </c>
      <c r="S46" s="7">
        <f>B46/몬스터!C17*R46</f>
        <v>250.38035209737012</v>
      </c>
      <c r="U46">
        <f>ROUNDDOWN(R46*몬스터!H$17, 0)*몬스터!G$17*(1+몬스터!I$17)</f>
        <v>805.86000000000013</v>
      </c>
      <c r="V46" s="2">
        <f t="shared" si="10"/>
        <v>1.0458922777417263</v>
      </c>
    </row>
    <row r="47" spans="1:22" x14ac:dyDescent="0.4">
      <c r="A47">
        <v>43</v>
      </c>
      <c r="B47" s="4">
        <f>160*A47</f>
        <v>6880</v>
      </c>
      <c r="C47">
        <f t="shared" si="26"/>
        <v>590</v>
      </c>
      <c r="D47">
        <f t="shared" si="18"/>
        <v>35</v>
      </c>
      <c r="E47" s="2">
        <v>0</v>
      </c>
      <c r="F47">
        <f t="shared" si="19"/>
        <v>76</v>
      </c>
      <c r="G47">
        <f t="shared" si="20"/>
        <v>0.751</v>
      </c>
      <c r="H47" s="3">
        <f t="shared" si="8"/>
        <v>0.05</v>
      </c>
      <c r="I47" s="2">
        <v>2.75</v>
      </c>
      <c r="J47" s="2">
        <v>0</v>
      </c>
      <c r="K47" s="2">
        <v>1</v>
      </c>
      <c r="L47" s="16">
        <f>1</f>
        <v>1</v>
      </c>
      <c r="M47" s="5">
        <f t="shared" si="21"/>
        <v>720</v>
      </c>
      <c r="N47" s="6">
        <f t="shared" si="22"/>
        <v>59.9298</v>
      </c>
      <c r="O47">
        <f t="shared" si="23"/>
        <v>796.5</v>
      </c>
      <c r="P47" s="7">
        <f t="shared" si="9"/>
        <v>13.290549943433817</v>
      </c>
      <c r="Q47">
        <f>ROUNDUP(몬스터!$P$17/F47, 0)</f>
        <v>11</v>
      </c>
      <c r="R47" s="6">
        <f t="shared" si="24"/>
        <v>14.647137150466046</v>
      </c>
      <c r="S47" s="7">
        <f>B47/몬스터!C17*R47</f>
        <v>234.35419440745673</v>
      </c>
      <c r="U47">
        <f>ROUNDDOWN(R47*몬스터!H$17, 0)*몬스터!G$17*(1+몬스터!I$17)</f>
        <v>732.6</v>
      </c>
      <c r="V47" s="2">
        <f t="shared" si="10"/>
        <v>0.91977401129943503</v>
      </c>
    </row>
    <row r="48" spans="1:22" x14ac:dyDescent="0.4">
      <c r="A48">
        <v>44</v>
      </c>
      <c r="B48" s="4">
        <f>160*A48</f>
        <v>7040</v>
      </c>
      <c r="C48">
        <f t="shared" si="26"/>
        <v>600</v>
      </c>
      <c r="D48">
        <f t="shared" si="18"/>
        <v>35</v>
      </c>
      <c r="E48" s="2">
        <v>0</v>
      </c>
      <c r="F48">
        <f t="shared" si="19"/>
        <v>77</v>
      </c>
      <c r="G48">
        <f t="shared" si="20"/>
        <v>0.753</v>
      </c>
      <c r="H48" s="3">
        <f t="shared" si="8"/>
        <v>0.05</v>
      </c>
      <c r="I48" s="2">
        <v>2.75</v>
      </c>
      <c r="J48" s="2">
        <v>0</v>
      </c>
      <c r="K48" s="2">
        <v>1</v>
      </c>
      <c r="L48" s="16">
        <f>1</f>
        <v>1</v>
      </c>
      <c r="M48" s="5">
        <f t="shared" si="21"/>
        <v>730</v>
      </c>
      <c r="N48" s="6">
        <f t="shared" si="22"/>
        <v>60.880050000000004</v>
      </c>
      <c r="O48">
        <f t="shared" si="23"/>
        <v>810</v>
      </c>
      <c r="P48" s="7">
        <f t="shared" si="9"/>
        <v>13.304851096541476</v>
      </c>
      <c r="Q48">
        <f>ROUNDUP(몬스터!$P$17/F48, 0)</f>
        <v>11</v>
      </c>
      <c r="R48" s="6">
        <f t="shared" si="24"/>
        <v>14.608233731739707</v>
      </c>
      <c r="S48" s="7">
        <f>B48/몬스터!C17*R48</f>
        <v>239.16736156150591</v>
      </c>
      <c r="U48">
        <f>ROUNDDOWN(R48*몬스터!H$17, 0)*몬스터!G$17*(1+몬스터!I$17)</f>
        <v>732.6</v>
      </c>
      <c r="V48" s="2">
        <f t="shared" si="10"/>
        <v>0.9044444444444445</v>
      </c>
    </row>
    <row r="49" spans="1:22" x14ac:dyDescent="0.4">
      <c r="A49">
        <v>45</v>
      </c>
      <c r="B49" s="4">
        <f>160*A49</f>
        <v>7200</v>
      </c>
      <c r="C49">
        <f t="shared" si="26"/>
        <v>610</v>
      </c>
      <c r="D49">
        <f t="shared" si="18"/>
        <v>35</v>
      </c>
      <c r="E49" s="2">
        <v>0</v>
      </c>
      <c r="F49">
        <f t="shared" si="19"/>
        <v>79</v>
      </c>
      <c r="G49">
        <f t="shared" si="20"/>
        <v>0.755</v>
      </c>
      <c r="H49" s="3">
        <f t="shared" si="8"/>
        <v>0.05</v>
      </c>
      <c r="I49" s="2">
        <v>2.75</v>
      </c>
      <c r="J49" s="2">
        <v>0</v>
      </c>
      <c r="K49" s="2">
        <v>1</v>
      </c>
      <c r="L49" s="16">
        <f>1</f>
        <v>1</v>
      </c>
      <c r="M49" s="5">
        <f t="shared" si="21"/>
        <v>740</v>
      </c>
      <c r="N49" s="6">
        <f t="shared" si="22"/>
        <v>62.627250000000004</v>
      </c>
      <c r="O49">
        <f t="shared" si="23"/>
        <v>823.5</v>
      </c>
      <c r="P49" s="7">
        <f t="shared" si="9"/>
        <v>13.149228171442941</v>
      </c>
      <c r="Q49">
        <f>ROUNDUP(몬스터!$P$17/F49, 0)</f>
        <v>11</v>
      </c>
      <c r="R49" s="6">
        <f t="shared" si="24"/>
        <v>14.569536423841059</v>
      </c>
      <c r="S49" s="7">
        <f>B49/몬스터!C17*R49</f>
        <v>243.9550284922224</v>
      </c>
      <c r="T49" s="7">
        <f t="shared" ref="T49" si="28">SUM(S45:S49)</f>
        <v>1212.9302530804569</v>
      </c>
      <c r="U49">
        <f>ROUNDDOWN(R49*몬스터!H$17, 0)*몬스터!G$17*(1+몬스터!I$17)</f>
        <v>732.6</v>
      </c>
      <c r="V49" s="2">
        <f t="shared" si="10"/>
        <v>0.88961748633879789</v>
      </c>
    </row>
    <row r="50" spans="1:22" x14ac:dyDescent="0.4">
      <c r="A50">
        <v>46</v>
      </c>
      <c r="B50" s="4">
        <f>170*A50-620</f>
        <v>7200</v>
      </c>
      <c r="C50">
        <f t="shared" si="26"/>
        <v>620</v>
      </c>
      <c r="D50">
        <f t="shared" si="18"/>
        <v>36</v>
      </c>
      <c r="E50" s="2">
        <v>0</v>
      </c>
      <c r="F50">
        <f t="shared" si="19"/>
        <v>80</v>
      </c>
      <c r="G50">
        <f t="shared" si="20"/>
        <v>0.75700000000000001</v>
      </c>
      <c r="H50" s="3">
        <f t="shared" si="8"/>
        <v>0.05</v>
      </c>
      <c r="I50" s="2">
        <v>2.75</v>
      </c>
      <c r="J50" s="2">
        <v>0</v>
      </c>
      <c r="K50" s="2">
        <v>1</v>
      </c>
      <c r="L50" s="16">
        <f>1</f>
        <v>1</v>
      </c>
      <c r="M50" s="5">
        <f t="shared" si="21"/>
        <v>750</v>
      </c>
      <c r="N50" s="6">
        <f t="shared" si="22"/>
        <v>63.588000000000008</v>
      </c>
      <c r="O50">
        <f t="shared" si="23"/>
        <v>843.19999999999993</v>
      </c>
      <c r="P50" s="7">
        <f t="shared" si="9"/>
        <v>13.260363590614579</v>
      </c>
      <c r="Q50">
        <f>ROUNDUP(몬스터!$P$18/F50, 0)</f>
        <v>12</v>
      </c>
      <c r="R50" s="6">
        <f t="shared" si="24"/>
        <v>15.852047556142669</v>
      </c>
      <c r="S50" s="7">
        <f>B50/몬스터!C18*R50</f>
        <v>237.78071334214002</v>
      </c>
      <c r="U50">
        <f>ROUNDDOWN(R50*몬스터!H$18, 0)*몬스터!G$18*(1+몬스터!I$18)</f>
        <v>897.35249999999996</v>
      </c>
      <c r="V50" s="2">
        <f t="shared" si="10"/>
        <v>1.0642226043643264</v>
      </c>
    </row>
    <row r="51" spans="1:22" x14ac:dyDescent="0.4">
      <c r="A51">
        <v>47</v>
      </c>
      <c r="B51" s="4">
        <f>170*A51</f>
        <v>7990</v>
      </c>
      <c r="C51">
        <f t="shared" si="26"/>
        <v>630</v>
      </c>
      <c r="D51">
        <f t="shared" si="18"/>
        <v>36</v>
      </c>
      <c r="E51" s="2">
        <v>0</v>
      </c>
      <c r="F51">
        <f t="shared" si="19"/>
        <v>81</v>
      </c>
      <c r="G51">
        <f t="shared" si="20"/>
        <v>0.75900000000000001</v>
      </c>
      <c r="H51" s="3">
        <f t="shared" si="8"/>
        <v>0.05</v>
      </c>
      <c r="I51" s="2">
        <v>2.75</v>
      </c>
      <c r="J51" s="2">
        <v>0</v>
      </c>
      <c r="K51" s="2">
        <v>1</v>
      </c>
      <c r="L51" s="16">
        <f>1</f>
        <v>1</v>
      </c>
      <c r="M51" s="5">
        <f t="shared" si="21"/>
        <v>760</v>
      </c>
      <c r="N51" s="6">
        <f t="shared" si="22"/>
        <v>64.552949999999996</v>
      </c>
      <c r="O51">
        <f t="shared" si="23"/>
        <v>856.8</v>
      </c>
      <c r="P51" s="7">
        <f t="shared" si="9"/>
        <v>13.272824867027765</v>
      </c>
      <c r="Q51">
        <f>ROUNDUP(몬스터!$P$18/F51, 0)</f>
        <v>12</v>
      </c>
      <c r="R51" s="6">
        <f t="shared" si="24"/>
        <v>15.810276679841897</v>
      </c>
      <c r="S51" s="7">
        <f>B51/몬스터!C18*R51</f>
        <v>263.17523056653488</v>
      </c>
      <c r="U51">
        <f>ROUNDDOWN(R51*몬스터!H$18, 0)*몬스터!G$18*(1+몬스터!I$18)</f>
        <v>897.35249999999996</v>
      </c>
      <c r="V51" s="2">
        <f t="shared" si="10"/>
        <v>1.0473301820728291</v>
      </c>
    </row>
    <row r="52" spans="1:22" x14ac:dyDescent="0.4">
      <c r="A52">
        <v>48</v>
      </c>
      <c r="B52" s="4">
        <f>170*A52</f>
        <v>8160</v>
      </c>
      <c r="C52">
        <f t="shared" si="26"/>
        <v>645</v>
      </c>
      <c r="D52">
        <f t="shared" si="18"/>
        <v>36</v>
      </c>
      <c r="E52" s="2">
        <v>0</v>
      </c>
      <c r="F52">
        <f t="shared" si="19"/>
        <v>83</v>
      </c>
      <c r="G52">
        <f t="shared" si="20"/>
        <v>0.76100000000000001</v>
      </c>
      <c r="H52" s="3">
        <f t="shared" si="8"/>
        <v>0.05</v>
      </c>
      <c r="I52" s="2">
        <v>2.75</v>
      </c>
      <c r="J52" s="2">
        <v>0</v>
      </c>
      <c r="K52" s="2">
        <v>1</v>
      </c>
      <c r="L52" s="16">
        <f>1</f>
        <v>1</v>
      </c>
      <c r="M52" s="5">
        <f t="shared" si="21"/>
        <v>770</v>
      </c>
      <c r="N52" s="6">
        <f t="shared" si="22"/>
        <v>66.321150000000003</v>
      </c>
      <c r="O52">
        <f t="shared" si="23"/>
        <v>877.19999999999993</v>
      </c>
      <c r="P52" s="7">
        <f t="shared" si="9"/>
        <v>13.226549901502008</v>
      </c>
      <c r="Q52">
        <f>ROUNDUP(몬스터!$P$18/F52, 0)</f>
        <v>12</v>
      </c>
      <c r="R52" s="6">
        <f t="shared" si="24"/>
        <v>15.768725361366622</v>
      </c>
      <c r="S52" s="7">
        <f>B52/몬스터!C18*R52</f>
        <v>268.06833114323257</v>
      </c>
      <c r="U52">
        <f>ROUNDDOWN(R52*몬스터!H$18, 0)*몬스터!G$18*(1+몬스터!I$18)</f>
        <v>897.35249999999996</v>
      </c>
      <c r="V52" s="2">
        <f t="shared" si="10"/>
        <v>1.0229736662106703</v>
      </c>
    </row>
    <row r="53" spans="1:22" x14ac:dyDescent="0.4">
      <c r="A53">
        <v>49</v>
      </c>
      <c r="B53" s="4">
        <f>170*A53</f>
        <v>8330</v>
      </c>
      <c r="C53">
        <f t="shared" si="26"/>
        <v>655</v>
      </c>
      <c r="D53">
        <f t="shared" si="18"/>
        <v>37</v>
      </c>
      <c r="E53" s="2">
        <v>0</v>
      </c>
      <c r="F53">
        <f t="shared" si="19"/>
        <v>84</v>
      </c>
      <c r="G53">
        <f t="shared" si="20"/>
        <v>0.76300000000000001</v>
      </c>
      <c r="H53" s="3">
        <f t="shared" si="8"/>
        <v>0.05</v>
      </c>
      <c r="I53" s="2">
        <v>2.75</v>
      </c>
      <c r="J53" s="2">
        <v>0</v>
      </c>
      <c r="K53" s="2">
        <v>1</v>
      </c>
      <c r="L53" s="16">
        <f>1</f>
        <v>1</v>
      </c>
      <c r="M53" s="5">
        <f t="shared" si="21"/>
        <v>780</v>
      </c>
      <c r="N53" s="6">
        <f t="shared" si="22"/>
        <v>67.296599999999998</v>
      </c>
      <c r="O53">
        <f t="shared" si="23"/>
        <v>897.35</v>
      </c>
      <c r="P53" s="7">
        <f t="shared" si="9"/>
        <v>13.334254628019842</v>
      </c>
      <c r="Q53">
        <f>ROUNDUP(몬스터!$P$18/F53, 0)</f>
        <v>12</v>
      </c>
      <c r="R53" s="6">
        <f t="shared" si="24"/>
        <v>15.727391874180865</v>
      </c>
      <c r="S53" s="7">
        <f>B53/몬스터!C18*R53</f>
        <v>272.93577981651379</v>
      </c>
      <c r="U53">
        <f>ROUNDDOWN(R53*몬스터!H$18, 0)*몬스터!G$18*(1+몬스터!I$18)</f>
        <v>897.35249999999996</v>
      </c>
      <c r="V53" s="2">
        <f t="shared" si="10"/>
        <v>1.0000027859809437</v>
      </c>
    </row>
    <row r="54" spans="1:22" x14ac:dyDescent="0.4">
      <c r="A54">
        <v>50</v>
      </c>
      <c r="B54" s="4">
        <f>170*A54</f>
        <v>8500</v>
      </c>
      <c r="C54">
        <f t="shared" si="26"/>
        <v>665</v>
      </c>
      <c r="D54">
        <f t="shared" si="18"/>
        <v>37</v>
      </c>
      <c r="E54" s="2">
        <v>0</v>
      </c>
      <c r="F54">
        <f t="shared" si="19"/>
        <v>85</v>
      </c>
      <c r="G54">
        <f t="shared" si="20"/>
        <v>0.76500000000000001</v>
      </c>
      <c r="H54" s="3">
        <f t="shared" si="8"/>
        <v>0.05</v>
      </c>
      <c r="I54" s="2">
        <v>2.75</v>
      </c>
      <c r="J54" s="2">
        <v>0</v>
      </c>
      <c r="K54" s="2">
        <v>1</v>
      </c>
      <c r="L54" s="16">
        <f>1</f>
        <v>1</v>
      </c>
      <c r="M54" s="5">
        <f t="shared" si="21"/>
        <v>790</v>
      </c>
      <c r="N54" s="6">
        <f t="shared" si="22"/>
        <v>68.276250000000005</v>
      </c>
      <c r="O54">
        <f t="shared" si="23"/>
        <v>911.05000000000007</v>
      </c>
      <c r="P54" s="7">
        <f t="shared" si="9"/>
        <v>13.343585800333205</v>
      </c>
      <c r="Q54">
        <f>ROUNDUP(몬스터!$P$18/F54, 0)</f>
        <v>12</v>
      </c>
      <c r="R54" s="6">
        <f t="shared" si="24"/>
        <v>15.686274509803921</v>
      </c>
      <c r="S54" s="7">
        <f>B54/몬스터!C18*R54</f>
        <v>277.77777777777777</v>
      </c>
      <c r="T54" s="7">
        <f t="shared" ref="T54" si="29">SUM(S50:S54)</f>
        <v>1319.737832646199</v>
      </c>
      <c r="U54">
        <f>ROUNDDOWN(R54*몬스터!H$18, 0)*몬스터!G$18*(1+몬스터!I$18)</f>
        <v>897.35249999999996</v>
      </c>
      <c r="V54" s="2">
        <f t="shared" si="10"/>
        <v>0.98496515010153107</v>
      </c>
    </row>
    <row r="55" spans="1:22" x14ac:dyDescent="0.4">
      <c r="A55">
        <v>51</v>
      </c>
      <c r="B55" s="4">
        <f>160*A55</f>
        <v>8160</v>
      </c>
      <c r="C55">
        <f t="shared" si="26"/>
        <v>675</v>
      </c>
      <c r="D55">
        <f t="shared" si="18"/>
        <v>37</v>
      </c>
      <c r="E55" s="2">
        <v>0</v>
      </c>
      <c r="F55">
        <f t="shared" si="19"/>
        <v>87</v>
      </c>
      <c r="G55">
        <f t="shared" si="20"/>
        <v>0.76700000000000002</v>
      </c>
      <c r="H55" s="3">
        <f t="shared" si="8"/>
        <v>0.05</v>
      </c>
      <c r="I55" s="2">
        <v>2.75</v>
      </c>
      <c r="J55" s="2">
        <v>0</v>
      </c>
      <c r="K55" s="2">
        <v>1</v>
      </c>
      <c r="L55" s="16">
        <f>1</f>
        <v>1</v>
      </c>
      <c r="M55" s="5">
        <f t="shared" si="21"/>
        <v>800</v>
      </c>
      <c r="N55" s="6">
        <f t="shared" si="22"/>
        <v>70.065449999999998</v>
      </c>
      <c r="O55">
        <f t="shared" si="23"/>
        <v>924.75000000000011</v>
      </c>
      <c r="P55" s="7">
        <f t="shared" si="9"/>
        <v>13.198373806205485</v>
      </c>
      <c r="Q55">
        <f>ROUNDUP(몬스터!$P$19/F55, 0)</f>
        <v>13</v>
      </c>
      <c r="R55" s="6">
        <f t="shared" si="24"/>
        <v>16.949152542372882</v>
      </c>
      <c r="S55" s="7">
        <f>B55/몬스터!C19*R55</f>
        <v>260.95299008634476</v>
      </c>
      <c r="U55">
        <f>ROUNDDOWN(R55*몬스터!H$19, 0)*몬스터!G$19*(1+몬스터!I$19)</f>
        <v>1093.5</v>
      </c>
      <c r="V55" s="2">
        <f t="shared" si="10"/>
        <v>1.1824817518248174</v>
      </c>
    </row>
    <row r="56" spans="1:22" x14ac:dyDescent="0.4">
      <c r="A56">
        <v>52</v>
      </c>
      <c r="B56" s="4">
        <f>160*A56</f>
        <v>8320</v>
      </c>
      <c r="C56">
        <f t="shared" si="26"/>
        <v>685</v>
      </c>
      <c r="D56">
        <f t="shared" si="18"/>
        <v>38</v>
      </c>
      <c r="E56" s="2">
        <v>0</v>
      </c>
      <c r="F56">
        <f t="shared" si="19"/>
        <v>88</v>
      </c>
      <c r="G56">
        <f t="shared" si="20"/>
        <v>0.76900000000000002</v>
      </c>
      <c r="H56" s="3">
        <f t="shared" si="8"/>
        <v>0.05</v>
      </c>
      <c r="I56" s="2">
        <v>2.75</v>
      </c>
      <c r="J56" s="2">
        <v>0</v>
      </c>
      <c r="K56" s="2">
        <v>1</v>
      </c>
      <c r="L56" s="16">
        <f>1</f>
        <v>1</v>
      </c>
      <c r="M56" s="5">
        <f t="shared" si="21"/>
        <v>810</v>
      </c>
      <c r="N56" s="6">
        <f t="shared" si="22"/>
        <v>71.055599999999998</v>
      </c>
      <c r="O56">
        <f t="shared" si="23"/>
        <v>945.3</v>
      </c>
      <c r="P56" s="7">
        <f t="shared" si="9"/>
        <v>13.303666424602705</v>
      </c>
      <c r="Q56">
        <f>ROUNDUP(몬스터!$P$19/F56, 0)</f>
        <v>13</v>
      </c>
      <c r="R56" s="6">
        <f t="shared" si="24"/>
        <v>16.905071521456435</v>
      </c>
      <c r="S56" s="7">
        <f>B56/몬스터!C19*R56</f>
        <v>265.37772652550478</v>
      </c>
      <c r="U56">
        <f>ROUNDDOWN(R56*몬스터!H$19, 0)*몬스터!G$19*(1+몬스터!I$19)</f>
        <v>1093.5</v>
      </c>
      <c r="V56" s="2">
        <f t="shared" si="10"/>
        <v>1.1567756267851477</v>
      </c>
    </row>
    <row r="57" spans="1:22" x14ac:dyDescent="0.4">
      <c r="A57">
        <v>53</v>
      </c>
      <c r="B57" s="4">
        <f>160*A57</f>
        <v>8480</v>
      </c>
      <c r="C57">
        <f t="shared" si="26"/>
        <v>700</v>
      </c>
      <c r="D57">
        <f t="shared" si="18"/>
        <v>38</v>
      </c>
      <c r="E57" s="2">
        <v>0</v>
      </c>
      <c r="F57">
        <f t="shared" si="19"/>
        <v>89</v>
      </c>
      <c r="G57">
        <f t="shared" si="20"/>
        <v>0.77100000000000002</v>
      </c>
      <c r="H57" s="3">
        <f t="shared" si="8"/>
        <v>0.05</v>
      </c>
      <c r="I57" s="2">
        <v>2.75</v>
      </c>
      <c r="J57" s="2">
        <v>0</v>
      </c>
      <c r="K57" s="2">
        <v>1</v>
      </c>
      <c r="L57" s="16">
        <f>1</f>
        <v>1</v>
      </c>
      <c r="M57" s="5">
        <f t="shared" si="21"/>
        <v>820</v>
      </c>
      <c r="N57" s="6">
        <f t="shared" si="22"/>
        <v>72.04995000000001</v>
      </c>
      <c r="O57">
        <f t="shared" si="23"/>
        <v>965.99999999999989</v>
      </c>
      <c r="P57" s="7">
        <f t="shared" si="9"/>
        <v>13.407365306984943</v>
      </c>
      <c r="Q57">
        <f>ROUNDUP(몬스터!$P$19/F57, 0)</f>
        <v>13</v>
      </c>
      <c r="R57" s="6">
        <f t="shared" si="24"/>
        <v>16.861219195849547</v>
      </c>
      <c r="S57" s="7">
        <f>B57/몬스터!C19*R57</f>
        <v>269.77950713359274</v>
      </c>
      <c r="U57">
        <f>ROUNDDOWN(R57*몬스터!H$19, 0)*몬스터!G$19*(1+몬스터!I$19)</f>
        <v>1093.5</v>
      </c>
      <c r="V57" s="2">
        <f t="shared" si="10"/>
        <v>1.1319875776397517</v>
      </c>
    </row>
    <row r="58" spans="1:22" x14ac:dyDescent="0.4">
      <c r="A58">
        <v>54</v>
      </c>
      <c r="B58" s="4">
        <f>160*A58</f>
        <v>8640</v>
      </c>
      <c r="C58">
        <f t="shared" si="26"/>
        <v>710</v>
      </c>
      <c r="D58">
        <f t="shared" si="18"/>
        <v>38</v>
      </c>
      <c r="E58" s="2">
        <v>0</v>
      </c>
      <c r="F58">
        <f t="shared" si="19"/>
        <v>91</v>
      </c>
      <c r="G58">
        <f t="shared" si="20"/>
        <v>0.77300000000000002</v>
      </c>
      <c r="H58" s="3">
        <f t="shared" si="8"/>
        <v>0.05</v>
      </c>
      <c r="I58" s="2">
        <v>2.75</v>
      </c>
      <c r="J58" s="2">
        <v>0</v>
      </c>
      <c r="K58" s="2">
        <v>1</v>
      </c>
      <c r="L58" s="16">
        <f>1</f>
        <v>1</v>
      </c>
      <c r="M58" s="5">
        <f t="shared" si="21"/>
        <v>830</v>
      </c>
      <c r="N58" s="6">
        <f t="shared" si="22"/>
        <v>73.860150000000004</v>
      </c>
      <c r="O58">
        <f t="shared" si="23"/>
        <v>979.8</v>
      </c>
      <c r="P58" s="7">
        <f t="shared" si="9"/>
        <v>13.265610752212119</v>
      </c>
      <c r="Q58">
        <f>ROUNDUP(몬스터!$P$19/F58, 0)</f>
        <v>12</v>
      </c>
      <c r="R58" s="6">
        <f t="shared" si="24"/>
        <v>15.523932729624837</v>
      </c>
      <c r="S58" s="7">
        <f>B58/몬스터!C19*R58</f>
        <v>253.06939393199735</v>
      </c>
      <c r="U58">
        <f>ROUNDDOWN(R58*몬스터!H$19, 0)*몬스터!G$19*(1+몬스터!I$19)</f>
        <v>1002.375</v>
      </c>
      <c r="V58" s="2">
        <f t="shared" si="10"/>
        <v>1.0230404164115126</v>
      </c>
    </row>
    <row r="59" spans="1:22" x14ac:dyDescent="0.4">
      <c r="A59">
        <v>55</v>
      </c>
      <c r="B59" s="4">
        <f>160*A59</f>
        <v>8800</v>
      </c>
      <c r="C59">
        <f t="shared" si="26"/>
        <v>720</v>
      </c>
      <c r="D59">
        <f t="shared" si="18"/>
        <v>39</v>
      </c>
      <c r="E59" s="2">
        <v>0</v>
      </c>
      <c r="F59">
        <f t="shared" si="19"/>
        <v>92</v>
      </c>
      <c r="G59">
        <f t="shared" si="20"/>
        <v>0.77500000000000002</v>
      </c>
      <c r="H59" s="3">
        <f t="shared" si="8"/>
        <v>0.05</v>
      </c>
      <c r="I59" s="2">
        <v>2.75</v>
      </c>
      <c r="J59" s="2">
        <v>0</v>
      </c>
      <c r="K59" s="2">
        <v>1</v>
      </c>
      <c r="L59" s="16">
        <f>1</f>
        <v>1</v>
      </c>
      <c r="M59" s="5">
        <f t="shared" si="21"/>
        <v>840</v>
      </c>
      <c r="N59" s="6">
        <f t="shared" si="22"/>
        <v>74.864999999999995</v>
      </c>
      <c r="O59">
        <f t="shared" si="23"/>
        <v>1000.8000000000001</v>
      </c>
      <c r="P59" s="7">
        <f t="shared" si="9"/>
        <v>13.368062512522542</v>
      </c>
      <c r="Q59">
        <f>ROUNDUP(몬스터!$P$19/F59, 0)</f>
        <v>12</v>
      </c>
      <c r="R59" s="6">
        <f t="shared" si="24"/>
        <v>15.483870967741934</v>
      </c>
      <c r="S59" s="7">
        <f>B59/몬스터!C19*R59</f>
        <v>257.09068776628118</v>
      </c>
      <c r="T59" s="7">
        <f t="shared" ref="T59" si="30">SUM(S55:S59)</f>
        <v>1306.2703054437209</v>
      </c>
      <c r="U59">
        <f>ROUNDDOWN(R59*몬스터!H$19, 0)*몬스터!G$19*(1+몬스터!I$19)</f>
        <v>1002.375</v>
      </c>
      <c r="V59" s="2">
        <f t="shared" si="10"/>
        <v>1.0015737410071941</v>
      </c>
    </row>
    <row r="60" spans="1:22" x14ac:dyDescent="0.4">
      <c r="A60">
        <v>56</v>
      </c>
      <c r="B60" s="4">
        <f>170*A60</f>
        <v>9520</v>
      </c>
      <c r="C60">
        <f t="shared" si="26"/>
        <v>730</v>
      </c>
      <c r="D60">
        <f t="shared" si="18"/>
        <v>39</v>
      </c>
      <c r="E60" s="2">
        <v>0</v>
      </c>
      <c r="F60">
        <f t="shared" si="19"/>
        <v>93</v>
      </c>
      <c r="G60">
        <f t="shared" si="20"/>
        <v>0.77700000000000002</v>
      </c>
      <c r="H60" s="3">
        <f t="shared" si="8"/>
        <v>0.05</v>
      </c>
      <c r="I60" s="2">
        <v>2.75</v>
      </c>
      <c r="J60" s="2">
        <v>0</v>
      </c>
      <c r="K60" s="2">
        <v>1</v>
      </c>
      <c r="L60" s="16">
        <f>1</f>
        <v>1</v>
      </c>
      <c r="M60" s="5">
        <f t="shared" si="21"/>
        <v>850</v>
      </c>
      <c r="N60" s="6">
        <f t="shared" si="22"/>
        <v>75.874049999999997</v>
      </c>
      <c r="O60">
        <f t="shared" si="23"/>
        <v>1014.7</v>
      </c>
      <c r="P60" s="7">
        <f t="shared" si="9"/>
        <v>13.37347881126683</v>
      </c>
      <c r="Q60">
        <f>ROUNDUP(몬스터!$P$20/F60, 0)</f>
        <v>13</v>
      </c>
      <c r="R60" s="6">
        <f t="shared" si="24"/>
        <v>16.73101673101673</v>
      </c>
      <c r="S60" s="7">
        <f>B60/몬스터!C19*R60</f>
        <v>300.526942036376</v>
      </c>
      <c r="U60">
        <f>ROUNDDOWN(R60*몬스터!H$20, 0)*몬스터!G$20*(1+몬스터!I$20)</f>
        <v>1195.92</v>
      </c>
      <c r="V60" s="2">
        <f t="shared" si="10"/>
        <v>1.1785946585197595</v>
      </c>
    </row>
    <row r="61" spans="1:22" x14ac:dyDescent="0.4">
      <c r="A61">
        <v>57</v>
      </c>
      <c r="B61" s="4">
        <f>170*A61</f>
        <v>9690</v>
      </c>
      <c r="C61">
        <f t="shared" si="26"/>
        <v>740</v>
      </c>
      <c r="D61">
        <f t="shared" si="18"/>
        <v>39</v>
      </c>
      <c r="E61" s="2">
        <v>0</v>
      </c>
      <c r="F61">
        <f t="shared" si="19"/>
        <v>95</v>
      </c>
      <c r="G61">
        <f t="shared" si="20"/>
        <v>0.77900000000000003</v>
      </c>
      <c r="H61" s="3">
        <f t="shared" si="8"/>
        <v>0.05</v>
      </c>
      <c r="I61" s="2">
        <v>2.75</v>
      </c>
      <c r="J61" s="2">
        <v>0</v>
      </c>
      <c r="K61" s="2">
        <v>1</v>
      </c>
      <c r="L61" s="16">
        <f>1</f>
        <v>1</v>
      </c>
      <c r="M61" s="5">
        <f t="shared" si="21"/>
        <v>860</v>
      </c>
      <c r="N61" s="6">
        <f t="shared" si="22"/>
        <v>77.705249999999992</v>
      </c>
      <c r="O61">
        <f t="shared" si="23"/>
        <v>1028.6000000000001</v>
      </c>
      <c r="P61" s="7">
        <f t="shared" si="9"/>
        <v>13.237200832633576</v>
      </c>
      <c r="Q61">
        <f>ROUNDUP(몬스터!$P$20/F61, 0)</f>
        <v>13</v>
      </c>
      <c r="R61" s="6">
        <f t="shared" si="24"/>
        <v>16.688061617458278</v>
      </c>
      <c r="S61" s="7">
        <f>B61/몬스터!C19*R61</f>
        <v>305.10814542107681</v>
      </c>
      <c r="U61">
        <f>ROUNDDOWN(R61*몬스터!H$20, 0)*몬스터!G$20*(1+몬스터!I$20)</f>
        <v>1195.92</v>
      </c>
      <c r="V61" s="2">
        <f t="shared" si="10"/>
        <v>1.1626677036748978</v>
      </c>
    </row>
    <row r="62" spans="1:22" x14ac:dyDescent="0.4">
      <c r="A62">
        <v>58</v>
      </c>
      <c r="B62" s="4">
        <f>170*A62</f>
        <v>9860</v>
      </c>
      <c r="C62">
        <f t="shared" si="26"/>
        <v>755</v>
      </c>
      <c r="D62">
        <f t="shared" si="18"/>
        <v>40</v>
      </c>
      <c r="E62" s="2">
        <v>0</v>
      </c>
      <c r="F62">
        <f t="shared" si="19"/>
        <v>96</v>
      </c>
      <c r="G62">
        <f t="shared" si="20"/>
        <v>0.78100000000000003</v>
      </c>
      <c r="H62" s="3">
        <f t="shared" si="8"/>
        <v>0.05</v>
      </c>
      <c r="I62" s="2">
        <v>2.75</v>
      </c>
      <c r="J62" s="2">
        <v>0</v>
      </c>
      <c r="K62" s="2">
        <v>1</v>
      </c>
      <c r="L62" s="16">
        <f>1</f>
        <v>1</v>
      </c>
      <c r="M62" s="5">
        <f t="shared" si="21"/>
        <v>870</v>
      </c>
      <c r="N62" s="6">
        <f t="shared" si="22"/>
        <v>78.724800000000002</v>
      </c>
      <c r="O62">
        <f t="shared" si="23"/>
        <v>1057</v>
      </c>
      <c r="P62" s="7">
        <f t="shared" si="9"/>
        <v>13.42651870820885</v>
      </c>
      <c r="Q62">
        <f>ROUNDUP(몬스터!$P$20/F62, 0)</f>
        <v>13</v>
      </c>
      <c r="R62" s="6">
        <f t="shared" si="24"/>
        <v>16.645326504481435</v>
      </c>
      <c r="S62" s="7">
        <f>B62/몬스터!C19*R62</f>
        <v>309.66588553620181</v>
      </c>
      <c r="U62">
        <f>ROUNDDOWN(R62*몬스터!H$20, 0)*몬스터!G$20*(1+몬스터!I$20)</f>
        <v>1195.92</v>
      </c>
      <c r="V62" s="2">
        <f t="shared" si="10"/>
        <v>1.1314285714285715</v>
      </c>
    </row>
    <row r="63" spans="1:22" x14ac:dyDescent="0.4">
      <c r="A63">
        <v>59</v>
      </c>
      <c r="B63" s="4">
        <f>170*A63</f>
        <v>10030</v>
      </c>
      <c r="C63">
        <f t="shared" si="26"/>
        <v>765</v>
      </c>
      <c r="D63">
        <f t="shared" si="18"/>
        <v>40</v>
      </c>
      <c r="E63" s="2">
        <v>0</v>
      </c>
      <c r="F63">
        <f t="shared" si="19"/>
        <v>97</v>
      </c>
      <c r="G63">
        <f t="shared" si="20"/>
        <v>0.78300000000000003</v>
      </c>
      <c r="H63" s="3">
        <f t="shared" si="8"/>
        <v>0.05</v>
      </c>
      <c r="I63" s="2">
        <v>2.75</v>
      </c>
      <c r="J63" s="2">
        <v>0</v>
      </c>
      <c r="K63" s="2">
        <v>1</v>
      </c>
      <c r="L63" s="16">
        <f>1</f>
        <v>1</v>
      </c>
      <c r="M63" s="5">
        <f t="shared" si="21"/>
        <v>880</v>
      </c>
      <c r="N63" s="6">
        <f t="shared" si="22"/>
        <v>79.748550000000009</v>
      </c>
      <c r="O63">
        <f t="shared" si="23"/>
        <v>1071</v>
      </c>
      <c r="P63" s="7">
        <f t="shared" si="9"/>
        <v>13.429711261207883</v>
      </c>
      <c r="Q63">
        <f>ROUNDUP(몬스터!$P$20/F63, 0)</f>
        <v>13</v>
      </c>
      <c r="R63" s="6">
        <f t="shared" si="24"/>
        <v>16.602809706257982</v>
      </c>
      <c r="S63" s="7">
        <f>B63/몬스터!C19*R63</f>
        <v>314.20034217691995</v>
      </c>
      <c r="U63">
        <f>ROUNDDOWN(R63*몬스터!H$20, 0)*몬스터!G$20*(1+몬스터!I$20)</f>
        <v>1195.92</v>
      </c>
      <c r="V63" s="2">
        <f t="shared" si="10"/>
        <v>1.116638655462185</v>
      </c>
    </row>
    <row r="64" spans="1:22" x14ac:dyDescent="0.4">
      <c r="A64">
        <v>60</v>
      </c>
      <c r="B64" s="4">
        <f>170*A64</f>
        <v>10200</v>
      </c>
      <c r="C64">
        <f t="shared" si="26"/>
        <v>775</v>
      </c>
      <c r="D64">
        <f t="shared" si="18"/>
        <v>41</v>
      </c>
      <c r="E64" s="2">
        <v>0</v>
      </c>
      <c r="F64">
        <f t="shared" si="19"/>
        <v>99</v>
      </c>
      <c r="G64">
        <f t="shared" si="20"/>
        <v>0.78500000000000003</v>
      </c>
      <c r="H64" s="3">
        <f t="shared" si="8"/>
        <v>0.05</v>
      </c>
      <c r="I64" s="2">
        <v>2.75</v>
      </c>
      <c r="J64" s="2">
        <v>0</v>
      </c>
      <c r="K64" s="2">
        <v>1</v>
      </c>
      <c r="L64" s="16">
        <f>1</f>
        <v>1</v>
      </c>
      <c r="M64" s="5">
        <f t="shared" si="21"/>
        <v>890</v>
      </c>
      <c r="N64" s="6">
        <f t="shared" si="22"/>
        <v>81.600750000000005</v>
      </c>
      <c r="O64">
        <f t="shared" si="23"/>
        <v>1092.75</v>
      </c>
      <c r="P64" s="7">
        <f t="shared" si="9"/>
        <v>13.391421034733137</v>
      </c>
      <c r="Q64">
        <f>ROUNDUP(몬스터!$P$20/F64, 0)</f>
        <v>13</v>
      </c>
      <c r="R64" s="6">
        <f t="shared" si="24"/>
        <v>16.560509554140125</v>
      </c>
      <c r="S64" s="7">
        <f>B64/몬스터!C19*R64</f>
        <v>318.71169330609297</v>
      </c>
      <c r="T64" s="7">
        <f t="shared" ref="T64" si="31">SUM(S60:S64)</f>
        <v>1548.2130084766675</v>
      </c>
      <c r="U64">
        <f>ROUNDDOWN(R64*몬스터!H$20, 0)*몬스터!G$20*(1+몬스터!I$20)</f>
        <v>1195.92</v>
      </c>
      <c r="V64" s="2">
        <f t="shared" si="10"/>
        <v>1.0944131777625259</v>
      </c>
    </row>
    <row r="65" spans="1:22" x14ac:dyDescent="0.4">
      <c r="A65">
        <v>61</v>
      </c>
      <c r="B65" s="4">
        <f>160*A65-320</f>
        <v>9440</v>
      </c>
      <c r="C65">
        <f t="shared" si="26"/>
        <v>785</v>
      </c>
      <c r="D65">
        <f t="shared" si="18"/>
        <v>41</v>
      </c>
      <c r="E65" s="2">
        <v>0</v>
      </c>
      <c r="F65">
        <f t="shared" si="19"/>
        <v>100</v>
      </c>
      <c r="G65">
        <f t="shared" si="20"/>
        <v>0.78700000000000003</v>
      </c>
      <c r="H65" s="3">
        <f t="shared" si="8"/>
        <v>0.05</v>
      </c>
      <c r="I65" s="2">
        <v>2.75</v>
      </c>
      <c r="J65" s="2">
        <v>0</v>
      </c>
      <c r="K65" s="2">
        <v>1</v>
      </c>
      <c r="L65" s="16">
        <f>1</f>
        <v>1</v>
      </c>
      <c r="M65" s="5">
        <f t="shared" si="21"/>
        <v>900</v>
      </c>
      <c r="N65" s="6">
        <f t="shared" si="22"/>
        <v>82.635000000000005</v>
      </c>
      <c r="O65">
        <f t="shared" si="23"/>
        <v>1106.8499999999999</v>
      </c>
      <c r="P65" s="7">
        <f t="shared" si="9"/>
        <v>13.39444545289526</v>
      </c>
      <c r="Q65">
        <f>ROUNDUP(몬스터!$P$23/F65, 0)</f>
        <v>14</v>
      </c>
      <c r="R65" s="6">
        <f t="shared" si="24"/>
        <v>17.789072426937736</v>
      </c>
      <c r="S65" s="7">
        <f>B65/몬스터!C20*R65</f>
        <v>289.53248915567622</v>
      </c>
      <c r="U65">
        <f>ROUNDDOWN(R65*몬스터!H$23, 0)*몬스터!G$23*(1+몬스터!I$23)</f>
        <v>1532.16</v>
      </c>
      <c r="V65" s="2">
        <f t="shared" si="10"/>
        <v>1.3842526087545739</v>
      </c>
    </row>
    <row r="66" spans="1:22" x14ac:dyDescent="0.4">
      <c r="A66">
        <v>62</v>
      </c>
      <c r="B66" s="4">
        <f>160*A66</f>
        <v>9920</v>
      </c>
      <c r="C66">
        <f t="shared" si="26"/>
        <v>795</v>
      </c>
      <c r="D66">
        <f t="shared" si="18"/>
        <v>41</v>
      </c>
      <c r="E66" s="2">
        <v>0</v>
      </c>
      <c r="F66">
        <f t="shared" si="19"/>
        <v>101</v>
      </c>
      <c r="G66">
        <f t="shared" si="20"/>
        <v>0.78900000000000003</v>
      </c>
      <c r="H66" s="3">
        <f t="shared" si="8"/>
        <v>0.05</v>
      </c>
      <c r="I66" s="2">
        <v>2.75</v>
      </c>
      <c r="J66" s="2">
        <v>0</v>
      </c>
      <c r="K66" s="2">
        <v>1</v>
      </c>
      <c r="L66" s="16">
        <f>1</f>
        <v>1</v>
      </c>
      <c r="M66" s="5">
        <f t="shared" si="21"/>
        <v>910</v>
      </c>
      <c r="N66" s="6">
        <f t="shared" si="22"/>
        <v>83.673450000000017</v>
      </c>
      <c r="O66">
        <f t="shared" si="23"/>
        <v>1120.95</v>
      </c>
      <c r="P66" s="7">
        <f t="shared" si="9"/>
        <v>13.396722616313776</v>
      </c>
      <c r="Q66">
        <f>ROUNDUP(몬스터!$P$23/F66, 0)</f>
        <v>14</v>
      </c>
      <c r="R66" s="6">
        <f t="shared" si="24"/>
        <v>17.743979721166031</v>
      </c>
      <c r="S66" s="7">
        <f>B66/몬스터!C20*R66</f>
        <v>303.48323936890864</v>
      </c>
      <c r="U66">
        <f>ROUNDDOWN(R66*몬스터!H$23, 0)*몬스터!G$23*(1+몬스터!I$23)</f>
        <v>1532.16</v>
      </c>
      <c r="V66" s="2">
        <f t="shared" si="10"/>
        <v>1.3668406262545163</v>
      </c>
    </row>
    <row r="67" spans="1:22" x14ac:dyDescent="0.4">
      <c r="A67">
        <v>63</v>
      </c>
      <c r="B67" s="4">
        <f>160*A67</f>
        <v>10080</v>
      </c>
      <c r="C67">
        <f t="shared" si="26"/>
        <v>810</v>
      </c>
      <c r="D67">
        <f t="shared" si="18"/>
        <v>42</v>
      </c>
      <c r="E67" s="2">
        <v>0</v>
      </c>
      <c r="F67">
        <f t="shared" si="19"/>
        <v>103</v>
      </c>
      <c r="G67">
        <f t="shared" si="20"/>
        <v>0.79100000000000004</v>
      </c>
      <c r="H67" s="3">
        <f t="shared" si="8"/>
        <v>0.05</v>
      </c>
      <c r="I67" s="2">
        <v>2.75</v>
      </c>
      <c r="J67" s="2">
        <v>0</v>
      </c>
      <c r="K67" s="2">
        <v>1</v>
      </c>
      <c r="L67" s="16">
        <f>1</f>
        <v>1</v>
      </c>
      <c r="M67" s="5">
        <f t="shared" si="21"/>
        <v>920</v>
      </c>
      <c r="N67" s="6">
        <f t="shared" si="22"/>
        <v>85.54665</v>
      </c>
      <c r="O67">
        <f t="shared" si="23"/>
        <v>1150.2</v>
      </c>
      <c r="P67" s="7">
        <f t="shared" si="9"/>
        <v>13.44529563694195</v>
      </c>
      <c r="Q67">
        <f>ROUNDUP(몬스터!$P$23/F67, 0)</f>
        <v>14</v>
      </c>
      <c r="R67" s="6">
        <f t="shared" si="24"/>
        <v>17.699115044247787</v>
      </c>
      <c r="S67" s="7">
        <f>B67/몬스터!C20*R67</f>
        <v>307.59841318278916</v>
      </c>
      <c r="U67">
        <f>ROUNDDOWN(R67*몬스터!H$23, 0)*몬스터!G$23*(1+몬스터!I$23)</f>
        <v>1532.16</v>
      </c>
      <c r="V67" s="2">
        <f t="shared" si="10"/>
        <v>1.3320813771517996</v>
      </c>
    </row>
    <row r="68" spans="1:22" x14ac:dyDescent="0.4">
      <c r="A68">
        <v>64</v>
      </c>
      <c r="B68" s="4">
        <f>160*A68</f>
        <v>10240</v>
      </c>
      <c r="C68">
        <f t="shared" si="26"/>
        <v>820</v>
      </c>
      <c r="D68">
        <f t="shared" si="18"/>
        <v>42</v>
      </c>
      <c r="E68" s="2">
        <v>0</v>
      </c>
      <c r="F68">
        <f t="shared" si="19"/>
        <v>104</v>
      </c>
      <c r="G68">
        <f t="shared" si="20"/>
        <v>0.79300000000000004</v>
      </c>
      <c r="H68" s="3">
        <f t="shared" si="8"/>
        <v>0.05</v>
      </c>
      <c r="I68" s="2">
        <v>2.75</v>
      </c>
      <c r="J68" s="2">
        <v>0</v>
      </c>
      <c r="K68" s="2">
        <v>1</v>
      </c>
      <c r="L68" s="16">
        <f>1</f>
        <v>1</v>
      </c>
      <c r="M68" s="5">
        <f t="shared" si="21"/>
        <v>930</v>
      </c>
      <c r="N68" s="6">
        <f t="shared" si="22"/>
        <v>86.595600000000019</v>
      </c>
      <c r="O68">
        <f t="shared" si="23"/>
        <v>1164.3999999999999</v>
      </c>
      <c r="P68" s="7">
        <f t="shared" si="9"/>
        <v>13.446410672135762</v>
      </c>
      <c r="Q68">
        <f>ROUNDUP(몬스터!$P$23/F68, 0)</f>
        <v>13</v>
      </c>
      <c r="R68" s="6">
        <f t="shared" si="24"/>
        <v>16.393442622950818</v>
      </c>
      <c r="S68" s="7">
        <f>B68/몬스터!C20*R68</f>
        <v>289.42905596382133</v>
      </c>
      <c r="U68">
        <f>ROUNDDOWN(R68*몬스터!H$23, 0)*몬스터!G$23*(1+몬스터!I$23)</f>
        <v>1313.2800000000002</v>
      </c>
      <c r="V68" s="2">
        <f t="shared" si="10"/>
        <v>1.1278598419787018</v>
      </c>
    </row>
    <row r="69" spans="1:22" x14ac:dyDescent="0.4">
      <c r="A69">
        <v>65</v>
      </c>
      <c r="B69" s="4">
        <f>160*A69</f>
        <v>10400</v>
      </c>
      <c r="C69">
        <f t="shared" si="26"/>
        <v>830</v>
      </c>
      <c r="D69">
        <f t="shared" ref="D69:D104" si="32">ROUNDDOWN((20+A69*0.35), 0)</f>
        <v>42</v>
      </c>
      <c r="E69" s="2">
        <v>0</v>
      </c>
      <c r="F69">
        <f t="shared" ref="F69:F104" si="33">ROUND((28+A69*2)*2/3, 0)</f>
        <v>105</v>
      </c>
      <c r="G69">
        <f t="shared" ref="G69:G104" si="34">0.665+0.002*A69</f>
        <v>0.79500000000000004</v>
      </c>
      <c r="H69" s="3">
        <f t="shared" si="8"/>
        <v>0.05</v>
      </c>
      <c r="I69" s="2">
        <v>2.75</v>
      </c>
      <c r="J69" s="2">
        <v>0</v>
      </c>
      <c r="K69" s="2">
        <v>1</v>
      </c>
      <c r="L69" s="16">
        <f>1</f>
        <v>1</v>
      </c>
      <c r="M69" s="5">
        <f t="shared" ref="M69:M104" si="35">290+10*A69</f>
        <v>940</v>
      </c>
      <c r="N69" s="6">
        <f t="shared" ref="N69:N104" si="36">F69*G69*(1+H69)</f>
        <v>87.648750000000007</v>
      </c>
      <c r="O69">
        <f t="shared" ref="O69:O104" si="37">C69*(1+D69/100)*(1+E69)</f>
        <v>1178.5999999999999</v>
      </c>
      <c r="P69" s="7">
        <f t="shared" si="9"/>
        <v>13.446854632838459</v>
      </c>
      <c r="Q69">
        <f>ROUNDUP(몬스터!$P$23/F69, 0)</f>
        <v>13</v>
      </c>
      <c r="R69" s="6">
        <f t="shared" ref="R69:R100" si="38">Q69/G69</f>
        <v>16.352201257861633</v>
      </c>
      <c r="S69" s="7">
        <f>B69/몬스터!C20*R69</f>
        <v>293.21188462372584</v>
      </c>
      <c r="T69" s="7">
        <f t="shared" ref="T69" si="39">SUM(S65:S69)</f>
        <v>1483.2550822949211</v>
      </c>
      <c r="U69">
        <f>ROUNDDOWN(R69*몬스터!H$23, 0)*몬스터!G$23*(1+몬스터!I$23)</f>
        <v>1313.2800000000002</v>
      </c>
      <c r="V69" s="2">
        <f t="shared" si="10"/>
        <v>1.1142711691837777</v>
      </c>
    </row>
    <row r="70" spans="1:22" x14ac:dyDescent="0.4">
      <c r="A70">
        <v>66</v>
      </c>
      <c r="B70" s="4">
        <f>170*A70-680</f>
        <v>10540</v>
      </c>
      <c r="C70">
        <f t="shared" si="26"/>
        <v>840</v>
      </c>
      <c r="D70">
        <f t="shared" si="32"/>
        <v>43</v>
      </c>
      <c r="E70" s="2">
        <v>0</v>
      </c>
      <c r="F70">
        <f t="shared" si="33"/>
        <v>107</v>
      </c>
      <c r="G70">
        <f t="shared" si="34"/>
        <v>0.79700000000000004</v>
      </c>
      <c r="H70" s="3">
        <f t="shared" ref="H70:H104" si="40">0.05</f>
        <v>0.05</v>
      </c>
      <c r="I70" s="2">
        <v>2.75</v>
      </c>
      <c r="J70" s="2">
        <v>0</v>
      </c>
      <c r="K70" s="2">
        <v>1</v>
      </c>
      <c r="L70" s="16">
        <f>1</f>
        <v>1</v>
      </c>
      <c r="M70" s="5">
        <f t="shared" si="35"/>
        <v>950</v>
      </c>
      <c r="N70" s="6">
        <f t="shared" si="36"/>
        <v>89.542950000000019</v>
      </c>
      <c r="O70">
        <f t="shared" si="37"/>
        <v>1201.2</v>
      </c>
      <c r="P70" s="7">
        <f t="shared" ref="P70:P104" si="41">O70/N70</f>
        <v>13.41479144924307</v>
      </c>
      <c r="Q70">
        <f>ROUNDUP(몬스터!$P$24/F70, 0)</f>
        <v>14</v>
      </c>
      <c r="R70" s="6">
        <f t="shared" si="38"/>
        <v>17.565872020075282</v>
      </c>
      <c r="S70" s="7">
        <f>B70/몬스터!C23*R70</f>
        <v>293.8798271295135</v>
      </c>
      <c r="U70">
        <f>ROUNDDOWN(R70*몬스터!H$24, 0)*몬스터!G$24*(1+몬스터!I$24)</f>
        <v>1654.6949999999999</v>
      </c>
      <c r="V70" s="2">
        <f t="shared" ref="V70:V104" si="42">U70/O70</f>
        <v>1.3775349650349649</v>
      </c>
    </row>
    <row r="71" spans="1:22" x14ac:dyDescent="0.4">
      <c r="A71">
        <v>67</v>
      </c>
      <c r="B71" s="4">
        <f>170*A71</f>
        <v>11390</v>
      </c>
      <c r="C71">
        <f t="shared" si="26"/>
        <v>850</v>
      </c>
      <c r="D71">
        <f t="shared" si="32"/>
        <v>43</v>
      </c>
      <c r="E71" s="2">
        <v>0</v>
      </c>
      <c r="F71">
        <f t="shared" si="33"/>
        <v>108</v>
      </c>
      <c r="G71">
        <f t="shared" si="34"/>
        <v>0.79900000000000004</v>
      </c>
      <c r="H71" s="3">
        <f t="shared" si="40"/>
        <v>0.05</v>
      </c>
      <c r="I71" s="2">
        <v>2.75</v>
      </c>
      <c r="J71" s="2">
        <v>0</v>
      </c>
      <c r="K71" s="2">
        <v>1</v>
      </c>
      <c r="L71" s="16">
        <f>1</f>
        <v>1</v>
      </c>
      <c r="M71" s="5">
        <f t="shared" si="35"/>
        <v>960</v>
      </c>
      <c r="N71" s="6">
        <f t="shared" si="36"/>
        <v>90.6066</v>
      </c>
      <c r="O71">
        <f t="shared" si="37"/>
        <v>1215.5</v>
      </c>
      <c r="P71" s="7">
        <f t="shared" si="41"/>
        <v>13.415137528612705</v>
      </c>
      <c r="Q71">
        <f>ROUNDUP(몬스터!$P$24/F71, 0)</f>
        <v>14</v>
      </c>
      <c r="R71" s="6">
        <f t="shared" si="38"/>
        <v>17.521902377972463</v>
      </c>
      <c r="S71" s="7">
        <f>B71/몬스터!C23*R71</f>
        <v>316.78486997635929</v>
      </c>
      <c r="U71">
        <f>ROUNDDOWN(R71*몬스터!H$24, 0)*몬스터!G$24*(1+몬스터!I$24)</f>
        <v>1654.6949999999999</v>
      </c>
      <c r="V71" s="2">
        <f t="shared" si="42"/>
        <v>1.3613286713286712</v>
      </c>
    </row>
    <row r="72" spans="1:22" x14ac:dyDescent="0.4">
      <c r="A72">
        <v>68</v>
      </c>
      <c r="B72" s="4">
        <f>170*A72</f>
        <v>11560</v>
      </c>
      <c r="C72">
        <f t="shared" si="26"/>
        <v>865</v>
      </c>
      <c r="D72">
        <f t="shared" si="32"/>
        <v>43</v>
      </c>
      <c r="E72" s="2">
        <v>0</v>
      </c>
      <c r="F72">
        <f t="shared" si="33"/>
        <v>109</v>
      </c>
      <c r="G72">
        <f t="shared" si="34"/>
        <v>0.80100000000000005</v>
      </c>
      <c r="H72" s="3">
        <f t="shared" si="40"/>
        <v>0.05</v>
      </c>
      <c r="I72" s="2">
        <v>2.75</v>
      </c>
      <c r="J72" s="2">
        <v>0</v>
      </c>
      <c r="K72" s="2">
        <v>1</v>
      </c>
      <c r="L72" s="16">
        <f>1</f>
        <v>1</v>
      </c>
      <c r="M72" s="5">
        <f t="shared" si="35"/>
        <v>970</v>
      </c>
      <c r="N72" s="6">
        <f t="shared" si="36"/>
        <v>91.674450000000022</v>
      </c>
      <c r="O72">
        <f t="shared" si="37"/>
        <v>1236.95</v>
      </c>
      <c r="P72" s="7">
        <f t="shared" si="41"/>
        <v>13.492854334004727</v>
      </c>
      <c r="Q72">
        <f>ROUNDUP(몬스터!$P$24/F72, 0)</f>
        <v>14</v>
      </c>
      <c r="R72" s="6">
        <f t="shared" si="38"/>
        <v>17.478152309612984</v>
      </c>
      <c r="S72" s="7">
        <f>B72/몬스터!C23*R72</f>
        <v>320.71022333194617</v>
      </c>
      <c r="U72">
        <f>ROUNDDOWN(R72*몬스터!H$24, 0)*몬스터!G$24*(1+몬스터!I$24)</f>
        <v>1654.6949999999999</v>
      </c>
      <c r="V72" s="2">
        <f t="shared" si="42"/>
        <v>1.3377218157564978</v>
      </c>
    </row>
    <row r="73" spans="1:22" x14ac:dyDescent="0.4">
      <c r="A73">
        <v>69</v>
      </c>
      <c r="B73" s="4">
        <f>170*A73</f>
        <v>11730</v>
      </c>
      <c r="C73">
        <f t="shared" si="26"/>
        <v>875</v>
      </c>
      <c r="D73">
        <f t="shared" si="32"/>
        <v>44</v>
      </c>
      <c r="E73" s="2">
        <v>0</v>
      </c>
      <c r="F73">
        <f t="shared" si="33"/>
        <v>111</v>
      </c>
      <c r="G73">
        <f t="shared" si="34"/>
        <v>0.80300000000000005</v>
      </c>
      <c r="H73" s="3">
        <f t="shared" si="40"/>
        <v>0.05</v>
      </c>
      <c r="I73" s="2">
        <v>2.75</v>
      </c>
      <c r="J73" s="2">
        <v>0</v>
      </c>
      <c r="K73" s="2">
        <v>1</v>
      </c>
      <c r="L73" s="16">
        <f>1</f>
        <v>1</v>
      </c>
      <c r="M73" s="5">
        <f t="shared" si="35"/>
        <v>980</v>
      </c>
      <c r="N73" s="6">
        <f t="shared" si="36"/>
        <v>93.58965000000002</v>
      </c>
      <c r="O73">
        <f t="shared" si="37"/>
        <v>1260</v>
      </c>
      <c r="P73" s="7">
        <f t="shared" si="41"/>
        <v>13.463027161657296</v>
      </c>
      <c r="Q73">
        <f>ROUNDUP(몬스터!$P$24/F73, 0)</f>
        <v>14</v>
      </c>
      <c r="R73" s="6">
        <f t="shared" si="38"/>
        <v>17.4346201743462</v>
      </c>
      <c r="S73" s="7">
        <f>B73/몬스터!C23*R73</f>
        <v>324.61602324616024</v>
      </c>
      <c r="U73">
        <f>ROUNDDOWN(R73*몬스터!H$24, 0)*몬스터!G$24*(1+몬스터!I$24)</f>
        <v>1654.6949999999999</v>
      </c>
      <c r="V73" s="2">
        <f t="shared" si="42"/>
        <v>1.31325</v>
      </c>
    </row>
    <row r="74" spans="1:22" x14ac:dyDescent="0.4">
      <c r="A74">
        <v>70</v>
      </c>
      <c r="B74" s="4">
        <f>170*A74</f>
        <v>11900</v>
      </c>
      <c r="C74">
        <f t="shared" si="26"/>
        <v>885</v>
      </c>
      <c r="D74">
        <f t="shared" si="32"/>
        <v>44</v>
      </c>
      <c r="E74" s="2">
        <v>0</v>
      </c>
      <c r="F74">
        <f t="shared" si="33"/>
        <v>112</v>
      </c>
      <c r="G74">
        <f t="shared" si="34"/>
        <v>0.80500000000000005</v>
      </c>
      <c r="H74" s="3">
        <f t="shared" si="40"/>
        <v>0.05</v>
      </c>
      <c r="I74" s="2">
        <v>2.75</v>
      </c>
      <c r="J74" s="2">
        <v>0</v>
      </c>
      <c r="K74" s="2">
        <v>1</v>
      </c>
      <c r="L74" s="16">
        <f>1</f>
        <v>1</v>
      </c>
      <c r="M74" s="5">
        <f t="shared" si="35"/>
        <v>990</v>
      </c>
      <c r="N74" s="6">
        <f t="shared" si="36"/>
        <v>94.668000000000021</v>
      </c>
      <c r="O74">
        <f t="shared" si="37"/>
        <v>1274.3999999999999</v>
      </c>
      <c r="P74" s="7">
        <f t="shared" si="41"/>
        <v>13.461782228419313</v>
      </c>
      <c r="Q74">
        <f>ROUNDUP(몬스터!$P$24/F74, 0)</f>
        <v>14</v>
      </c>
      <c r="R74" s="6">
        <f t="shared" si="38"/>
        <v>17.391304347826086</v>
      </c>
      <c r="S74" s="7">
        <f>B74/몬스터!C23*R74</f>
        <v>328.50241545893721</v>
      </c>
      <c r="T74" s="7">
        <f t="shared" ref="T74" si="43">SUM(S70:S74)</f>
        <v>1584.4933591429167</v>
      </c>
      <c r="U74">
        <f>ROUNDDOWN(R74*몬스터!H$24, 0)*몬스터!G$24*(1+몬스터!I$24)</f>
        <v>1654.6949999999999</v>
      </c>
      <c r="V74" s="2">
        <f t="shared" si="42"/>
        <v>1.2984110169491527</v>
      </c>
    </row>
    <row r="75" spans="1:22" x14ac:dyDescent="0.4">
      <c r="A75">
        <v>71</v>
      </c>
      <c r="B75" s="4">
        <f>160*A75</f>
        <v>11360</v>
      </c>
      <c r="C75">
        <f t="shared" si="26"/>
        <v>895</v>
      </c>
      <c r="D75">
        <f t="shared" si="32"/>
        <v>44</v>
      </c>
      <c r="E75" s="2">
        <v>0</v>
      </c>
      <c r="F75">
        <f t="shared" si="33"/>
        <v>113</v>
      </c>
      <c r="G75">
        <f t="shared" si="34"/>
        <v>0.80700000000000005</v>
      </c>
      <c r="H75" s="3">
        <f t="shared" si="40"/>
        <v>0.05</v>
      </c>
      <c r="I75" s="2">
        <v>2.75</v>
      </c>
      <c r="J75" s="2">
        <v>0</v>
      </c>
      <c r="K75" s="2">
        <v>1</v>
      </c>
      <c r="L75" s="16">
        <f>1</f>
        <v>1</v>
      </c>
      <c r="M75" s="5">
        <f t="shared" si="35"/>
        <v>1000</v>
      </c>
      <c r="N75" s="6">
        <f t="shared" si="36"/>
        <v>95.750550000000004</v>
      </c>
      <c r="O75">
        <f t="shared" si="37"/>
        <v>1288.8</v>
      </c>
      <c r="P75" s="7">
        <f t="shared" si="41"/>
        <v>13.459974903538413</v>
      </c>
      <c r="Q75">
        <f>ROUNDUP(몬스터!$P$25/F75, 0)</f>
        <v>15</v>
      </c>
      <c r="R75" s="6">
        <f t="shared" si="38"/>
        <v>18.587360594795538</v>
      </c>
      <c r="S75" s="7">
        <f>B75/몬스터!C24*R75</f>
        <v>310.51825934834898</v>
      </c>
      <c r="U75">
        <f>ROUNDDOWN(R75*몬스터!H$25, 0)*몬스터!G$25*(1+몬스터!I$25)</f>
        <v>1923.075</v>
      </c>
      <c r="V75" s="2">
        <f t="shared" si="42"/>
        <v>1.4921438547486034</v>
      </c>
    </row>
    <row r="76" spans="1:22" x14ac:dyDescent="0.4">
      <c r="A76">
        <v>72</v>
      </c>
      <c r="B76" s="4">
        <f>160*A76</f>
        <v>11520</v>
      </c>
      <c r="C76">
        <f t="shared" ref="C76:C104" si="44">MROUND(115+A76*11,5)</f>
        <v>905</v>
      </c>
      <c r="D76">
        <f t="shared" si="32"/>
        <v>45</v>
      </c>
      <c r="E76" s="2">
        <v>0</v>
      </c>
      <c r="F76">
        <f t="shared" si="33"/>
        <v>115</v>
      </c>
      <c r="G76">
        <f t="shared" si="34"/>
        <v>0.80900000000000005</v>
      </c>
      <c r="H76" s="3">
        <f t="shared" si="40"/>
        <v>0.05</v>
      </c>
      <c r="I76" s="2">
        <v>2.75</v>
      </c>
      <c r="J76" s="2">
        <v>0</v>
      </c>
      <c r="K76" s="2">
        <v>1</v>
      </c>
      <c r="L76" s="16">
        <f>1</f>
        <v>1</v>
      </c>
      <c r="M76" s="5">
        <f t="shared" si="35"/>
        <v>1010</v>
      </c>
      <c r="N76" s="6">
        <f t="shared" si="36"/>
        <v>97.686750000000018</v>
      </c>
      <c r="O76">
        <f t="shared" si="37"/>
        <v>1312.25</v>
      </c>
      <c r="P76" s="7">
        <f t="shared" si="41"/>
        <v>13.433244529068679</v>
      </c>
      <c r="Q76">
        <f>ROUNDUP(몬스터!$P$25/F76, 0)</f>
        <v>15</v>
      </c>
      <c r="R76" s="6">
        <f t="shared" si="38"/>
        <v>18.541409147095177</v>
      </c>
      <c r="S76" s="7">
        <f>B76/몬스터!C24*R76</f>
        <v>314.11328437431831</v>
      </c>
      <c r="U76">
        <f>ROUNDDOWN(R76*몬스터!H$25, 0)*몬스터!G$25*(1+몬스터!I$25)</f>
        <v>1923.075</v>
      </c>
      <c r="V76" s="2">
        <f t="shared" si="42"/>
        <v>1.4654791388835968</v>
      </c>
    </row>
    <row r="77" spans="1:22" x14ac:dyDescent="0.4">
      <c r="A77">
        <v>73</v>
      </c>
      <c r="B77" s="4">
        <f>160*A77</f>
        <v>11680</v>
      </c>
      <c r="C77">
        <f t="shared" si="44"/>
        <v>920</v>
      </c>
      <c r="D77">
        <f t="shared" si="32"/>
        <v>45</v>
      </c>
      <c r="E77" s="2">
        <v>0</v>
      </c>
      <c r="F77">
        <f t="shared" si="33"/>
        <v>116</v>
      </c>
      <c r="G77">
        <f t="shared" si="34"/>
        <v>0.81100000000000005</v>
      </c>
      <c r="H77" s="3">
        <f t="shared" si="40"/>
        <v>0.05</v>
      </c>
      <c r="I77" s="2">
        <v>2.75</v>
      </c>
      <c r="J77" s="2">
        <v>0</v>
      </c>
      <c r="K77" s="2">
        <v>1</v>
      </c>
      <c r="L77" s="16">
        <f>1</f>
        <v>1</v>
      </c>
      <c r="M77" s="5">
        <f t="shared" si="35"/>
        <v>1020</v>
      </c>
      <c r="N77" s="6">
        <f t="shared" si="36"/>
        <v>98.779800000000009</v>
      </c>
      <c r="O77">
        <f t="shared" si="37"/>
        <v>1334</v>
      </c>
      <c r="P77" s="7">
        <f t="shared" si="41"/>
        <v>13.504785391345193</v>
      </c>
      <c r="Q77">
        <f>ROUNDUP(몬스터!$P$25/F77, 0)</f>
        <v>15</v>
      </c>
      <c r="R77" s="6">
        <f t="shared" si="38"/>
        <v>18.49568434032059</v>
      </c>
      <c r="S77" s="7">
        <f>B77/몬스터!C24*R77</f>
        <v>317.69057808080072</v>
      </c>
      <c r="U77">
        <f>ROUNDDOWN(R77*몬스터!H$25, 0)*몬스터!G$25*(1+몬스터!I$25)</f>
        <v>1923.075</v>
      </c>
      <c r="V77" s="2">
        <f t="shared" si="42"/>
        <v>1.4415854572713644</v>
      </c>
    </row>
    <row r="78" spans="1:22" x14ac:dyDescent="0.4">
      <c r="A78">
        <v>74</v>
      </c>
      <c r="B78" s="4">
        <f>160*A78</f>
        <v>11840</v>
      </c>
      <c r="C78">
        <f t="shared" si="44"/>
        <v>930</v>
      </c>
      <c r="D78">
        <f t="shared" si="32"/>
        <v>45</v>
      </c>
      <c r="E78" s="2">
        <v>0</v>
      </c>
      <c r="F78">
        <f t="shared" si="33"/>
        <v>117</v>
      </c>
      <c r="G78">
        <f t="shared" si="34"/>
        <v>0.81300000000000006</v>
      </c>
      <c r="H78" s="3">
        <f t="shared" si="40"/>
        <v>0.05</v>
      </c>
      <c r="I78" s="2">
        <v>2.75</v>
      </c>
      <c r="J78" s="2">
        <v>0</v>
      </c>
      <c r="K78" s="2">
        <v>1</v>
      </c>
      <c r="L78" s="16">
        <f>1</f>
        <v>1</v>
      </c>
      <c r="M78" s="5">
        <f t="shared" si="35"/>
        <v>1030</v>
      </c>
      <c r="N78" s="6">
        <f t="shared" si="36"/>
        <v>99.877050000000011</v>
      </c>
      <c r="O78">
        <f t="shared" si="37"/>
        <v>1348.5</v>
      </c>
      <c r="P78" s="7">
        <f t="shared" si="41"/>
        <v>13.501600217467375</v>
      </c>
      <c r="Q78">
        <f>ROUNDUP(몬스터!$P$25/F78, 0)</f>
        <v>15</v>
      </c>
      <c r="R78" s="6">
        <f t="shared" si="38"/>
        <v>18.450184501845015</v>
      </c>
      <c r="S78" s="7">
        <f>B78/몬스터!C24*R78</f>
        <v>321.25027132624257</v>
      </c>
      <c r="U78">
        <f>ROUNDDOWN(R78*몬스터!H$25, 0)*몬스터!G$25*(1+몬스터!I$25)</f>
        <v>1923.075</v>
      </c>
      <c r="V78" s="2">
        <f t="shared" si="42"/>
        <v>1.4260845383759733</v>
      </c>
    </row>
    <row r="79" spans="1:22" x14ac:dyDescent="0.4">
      <c r="A79">
        <v>75</v>
      </c>
      <c r="B79" s="4">
        <f>160*A79</f>
        <v>12000</v>
      </c>
      <c r="C79">
        <f t="shared" si="44"/>
        <v>940</v>
      </c>
      <c r="D79">
        <f t="shared" si="32"/>
        <v>46</v>
      </c>
      <c r="E79" s="2">
        <v>0</v>
      </c>
      <c r="F79">
        <f t="shared" si="33"/>
        <v>119</v>
      </c>
      <c r="G79">
        <f t="shared" si="34"/>
        <v>0.81500000000000006</v>
      </c>
      <c r="H79" s="3">
        <f t="shared" si="40"/>
        <v>0.05</v>
      </c>
      <c r="I79" s="2">
        <v>2.75</v>
      </c>
      <c r="J79" s="2">
        <v>0</v>
      </c>
      <c r="K79" s="2">
        <v>1</v>
      </c>
      <c r="L79" s="16">
        <f>1</f>
        <v>1</v>
      </c>
      <c r="M79" s="5">
        <f t="shared" si="35"/>
        <v>1040</v>
      </c>
      <c r="N79" s="6">
        <f t="shared" si="36"/>
        <v>101.83425000000003</v>
      </c>
      <c r="O79">
        <f t="shared" si="37"/>
        <v>1372.3999999999999</v>
      </c>
      <c r="P79" s="7">
        <f t="shared" si="41"/>
        <v>13.47680176365024</v>
      </c>
      <c r="Q79">
        <f>ROUNDUP(몬스터!$P$25/F79, 0)</f>
        <v>14</v>
      </c>
      <c r="R79" s="6">
        <f t="shared" si="38"/>
        <v>17.177914110429448</v>
      </c>
      <c r="S79" s="7">
        <f>B79/몬스터!C24*R79</f>
        <v>303.1396607722844</v>
      </c>
      <c r="T79" s="7">
        <f t="shared" ref="T79" si="45">SUM(S75:S79)</f>
        <v>1566.7120539019952</v>
      </c>
      <c r="U79">
        <f>ROUNDDOWN(R79*몬스터!H$25, 0)*몬스터!G$25*(1+몬스터!I$25)</f>
        <v>1794.8700000000001</v>
      </c>
      <c r="V79" s="2">
        <f t="shared" si="42"/>
        <v>1.3078329932964152</v>
      </c>
    </row>
    <row r="80" spans="1:22" x14ac:dyDescent="0.4">
      <c r="A80">
        <v>76</v>
      </c>
      <c r="B80" s="4">
        <f>170*A80</f>
        <v>12920</v>
      </c>
      <c r="C80">
        <f t="shared" si="44"/>
        <v>950</v>
      </c>
      <c r="D80">
        <f t="shared" si="32"/>
        <v>46</v>
      </c>
      <c r="E80" s="2">
        <v>0</v>
      </c>
      <c r="F80">
        <f t="shared" si="33"/>
        <v>120</v>
      </c>
      <c r="G80">
        <f t="shared" si="34"/>
        <v>0.81700000000000006</v>
      </c>
      <c r="H80" s="3">
        <f t="shared" si="40"/>
        <v>0.05</v>
      </c>
      <c r="I80" s="2">
        <v>2.75</v>
      </c>
      <c r="J80" s="2">
        <v>0</v>
      </c>
      <c r="K80" s="2">
        <v>1</v>
      </c>
      <c r="L80" s="16">
        <f>1</f>
        <v>1</v>
      </c>
      <c r="M80" s="5">
        <f t="shared" si="35"/>
        <v>1050</v>
      </c>
      <c r="N80" s="6">
        <f t="shared" si="36"/>
        <v>102.94200000000001</v>
      </c>
      <c r="O80">
        <f t="shared" si="37"/>
        <v>1387</v>
      </c>
      <c r="P80" s="7">
        <f t="shared" si="41"/>
        <v>13.47360649686231</v>
      </c>
      <c r="Q80">
        <f>ROUNDUP(몬스터!$P$26/F80, 0)</f>
        <v>16</v>
      </c>
      <c r="R80" s="6">
        <f t="shared" si="38"/>
        <v>19.583843329253366</v>
      </c>
      <c r="S80" s="7">
        <f>B80/몬스터!C25*R80</f>
        <v>346.60719974514177</v>
      </c>
      <c r="U80">
        <f>ROUNDDOWN(R80*몬스터!H$26, 0)*몬스터!G$26*(1+몬스터!I$26)</f>
        <v>2194.8000000000002</v>
      </c>
      <c r="V80" s="2">
        <f t="shared" si="42"/>
        <v>1.5824080749819756</v>
      </c>
    </row>
    <row r="81" spans="1:22" x14ac:dyDescent="0.4">
      <c r="A81">
        <v>77</v>
      </c>
      <c r="B81" s="4">
        <f>170*A81</f>
        <v>13090</v>
      </c>
      <c r="C81">
        <f t="shared" si="44"/>
        <v>960</v>
      </c>
      <c r="D81">
        <f t="shared" si="32"/>
        <v>46</v>
      </c>
      <c r="E81" s="2">
        <v>0</v>
      </c>
      <c r="F81">
        <f t="shared" si="33"/>
        <v>121</v>
      </c>
      <c r="G81">
        <f t="shared" si="34"/>
        <v>0.81900000000000006</v>
      </c>
      <c r="H81" s="3">
        <f t="shared" si="40"/>
        <v>0.05</v>
      </c>
      <c r="I81" s="2">
        <v>2.75</v>
      </c>
      <c r="J81" s="2">
        <v>0</v>
      </c>
      <c r="K81" s="2">
        <v>1</v>
      </c>
      <c r="L81" s="16">
        <f>1</f>
        <v>1</v>
      </c>
      <c r="M81" s="5">
        <f t="shared" si="35"/>
        <v>1060</v>
      </c>
      <c r="N81" s="6">
        <f t="shared" si="36"/>
        <v>104.05395000000001</v>
      </c>
      <c r="O81">
        <f t="shared" si="37"/>
        <v>1401.6</v>
      </c>
      <c r="P81" s="7">
        <f t="shared" si="41"/>
        <v>13.469935547857624</v>
      </c>
      <c r="Q81">
        <f>ROUNDUP(몬스터!$P$26/F81, 0)</f>
        <v>15</v>
      </c>
      <c r="R81" s="6">
        <f t="shared" si="38"/>
        <v>18.315018315018314</v>
      </c>
      <c r="S81" s="7">
        <f>B81/몬스터!C25*R81</f>
        <v>328.41587636108181</v>
      </c>
      <c r="U81">
        <f>ROUNDDOWN(R81*몬스터!H$26, 0)*몬스터!G$26*(1+몬스터!I$26)</f>
        <v>2057.625</v>
      </c>
      <c r="V81" s="2">
        <f t="shared" si="42"/>
        <v>1.4680543664383563</v>
      </c>
    </row>
    <row r="82" spans="1:22" x14ac:dyDescent="0.4">
      <c r="A82">
        <v>78</v>
      </c>
      <c r="B82" s="4">
        <f>170*A82</f>
        <v>13260</v>
      </c>
      <c r="C82">
        <f t="shared" si="44"/>
        <v>975</v>
      </c>
      <c r="D82">
        <f t="shared" si="32"/>
        <v>47</v>
      </c>
      <c r="E82" s="2">
        <v>0</v>
      </c>
      <c r="F82">
        <f t="shared" si="33"/>
        <v>123</v>
      </c>
      <c r="G82">
        <f t="shared" si="34"/>
        <v>0.82100000000000006</v>
      </c>
      <c r="H82" s="3">
        <f t="shared" si="40"/>
        <v>0.05</v>
      </c>
      <c r="I82" s="2">
        <v>2.75</v>
      </c>
      <c r="J82" s="2">
        <v>0</v>
      </c>
      <c r="K82" s="2">
        <v>1</v>
      </c>
      <c r="L82" s="16">
        <f>1</f>
        <v>1</v>
      </c>
      <c r="M82" s="5">
        <f t="shared" si="35"/>
        <v>1070</v>
      </c>
      <c r="N82" s="6">
        <f t="shared" si="36"/>
        <v>106.03215000000002</v>
      </c>
      <c r="O82">
        <f t="shared" si="37"/>
        <v>1433.25</v>
      </c>
      <c r="P82" s="7">
        <f t="shared" si="41"/>
        <v>13.517126645078873</v>
      </c>
      <c r="Q82">
        <f>ROUNDUP(몬스터!$P$26/F82, 0)</f>
        <v>15</v>
      </c>
      <c r="R82" s="6">
        <f t="shared" si="38"/>
        <v>18.270401948842874</v>
      </c>
      <c r="S82" s="7">
        <f>B82/몬스터!C25*R82</f>
        <v>331.870588824187</v>
      </c>
      <c r="U82">
        <f>ROUNDDOWN(R82*몬스터!H$26, 0)*몬스터!G$26*(1+몬스터!I$26)</f>
        <v>2057.625</v>
      </c>
      <c r="V82" s="2">
        <f t="shared" si="42"/>
        <v>1.4356357927786498</v>
      </c>
    </row>
    <row r="83" spans="1:22" x14ac:dyDescent="0.4">
      <c r="A83">
        <v>79</v>
      </c>
      <c r="B83" s="4">
        <f>170*A83</f>
        <v>13430</v>
      </c>
      <c r="C83">
        <f t="shared" si="44"/>
        <v>985</v>
      </c>
      <c r="D83">
        <f t="shared" si="32"/>
        <v>47</v>
      </c>
      <c r="E83" s="2">
        <v>0</v>
      </c>
      <c r="F83">
        <f t="shared" si="33"/>
        <v>124</v>
      </c>
      <c r="G83">
        <f t="shared" si="34"/>
        <v>0.82300000000000006</v>
      </c>
      <c r="H83" s="3">
        <f t="shared" si="40"/>
        <v>0.05</v>
      </c>
      <c r="I83" s="2">
        <v>2.75</v>
      </c>
      <c r="J83" s="2">
        <v>0</v>
      </c>
      <c r="K83" s="2">
        <v>1</v>
      </c>
      <c r="L83" s="16">
        <f>1</f>
        <v>1</v>
      </c>
      <c r="M83" s="5">
        <f t="shared" si="35"/>
        <v>1080</v>
      </c>
      <c r="N83" s="6">
        <f t="shared" si="36"/>
        <v>107.15460000000002</v>
      </c>
      <c r="O83">
        <f t="shared" si="37"/>
        <v>1447.95</v>
      </c>
      <c r="P83" s="7">
        <f t="shared" si="41"/>
        <v>13.51271900599694</v>
      </c>
      <c r="Q83">
        <f>ROUNDUP(몬스터!$P$26/F83, 0)</f>
        <v>15</v>
      </c>
      <c r="R83" s="6">
        <f t="shared" si="38"/>
        <v>18.226002430133654</v>
      </c>
      <c r="S83" s="7">
        <f>B83/몬스터!C25*R83</f>
        <v>335.30851046122598</v>
      </c>
      <c r="U83">
        <f>ROUNDDOWN(R83*몬스터!H$26, 0)*몬스터!G$26*(1+몬스터!I$26)</f>
        <v>2057.625</v>
      </c>
      <c r="V83" s="2">
        <f t="shared" si="42"/>
        <v>1.4210608101108464</v>
      </c>
    </row>
    <row r="84" spans="1:22" x14ac:dyDescent="0.4">
      <c r="A84">
        <v>80</v>
      </c>
      <c r="B84" s="4">
        <f>170*A84</f>
        <v>13600</v>
      </c>
      <c r="C84">
        <f t="shared" si="44"/>
        <v>995</v>
      </c>
      <c r="D84">
        <f t="shared" si="32"/>
        <v>48</v>
      </c>
      <c r="E84" s="2">
        <v>0</v>
      </c>
      <c r="F84">
        <f t="shared" si="33"/>
        <v>125</v>
      </c>
      <c r="G84">
        <f t="shared" si="34"/>
        <v>0.82500000000000007</v>
      </c>
      <c r="H84" s="3">
        <f t="shared" si="40"/>
        <v>0.05</v>
      </c>
      <c r="I84" s="2">
        <v>2.75</v>
      </c>
      <c r="J84" s="2">
        <v>0</v>
      </c>
      <c r="K84" s="2">
        <v>1</v>
      </c>
      <c r="L84" s="16">
        <f>1</f>
        <v>1</v>
      </c>
      <c r="M84" s="5">
        <f t="shared" si="35"/>
        <v>1090</v>
      </c>
      <c r="N84" s="6">
        <f t="shared" si="36"/>
        <v>108.28125000000001</v>
      </c>
      <c r="O84">
        <f t="shared" si="37"/>
        <v>1472.6</v>
      </c>
      <c r="P84" s="7">
        <f t="shared" si="41"/>
        <v>13.599769119769118</v>
      </c>
      <c r="Q84">
        <f>ROUNDUP(몬스터!$P$26/F84, 0)</f>
        <v>15</v>
      </c>
      <c r="R84" s="6">
        <f t="shared" si="38"/>
        <v>18.18181818181818</v>
      </c>
      <c r="S84" s="7">
        <f>B84/몬스터!C25*R84</f>
        <v>338.72976338729762</v>
      </c>
      <c r="T84" s="7">
        <f t="shared" ref="T84" si="46">SUM(S80:S84)</f>
        <v>1680.9319387789342</v>
      </c>
      <c r="U84">
        <f>ROUNDDOWN(R84*몬스터!H$26, 0)*몬스터!G$26*(1+몬스터!I$26)</f>
        <v>2057.625</v>
      </c>
      <c r="V84" s="2">
        <f t="shared" si="42"/>
        <v>1.3972735298112184</v>
      </c>
    </row>
    <row r="85" spans="1:22" x14ac:dyDescent="0.4">
      <c r="A85">
        <v>81</v>
      </c>
      <c r="B85" s="4">
        <f>160*A85</f>
        <v>12960</v>
      </c>
      <c r="C85">
        <f t="shared" si="44"/>
        <v>1005</v>
      </c>
      <c r="D85">
        <f t="shared" si="32"/>
        <v>48</v>
      </c>
      <c r="E85" s="2">
        <v>0</v>
      </c>
      <c r="F85">
        <f t="shared" si="33"/>
        <v>127</v>
      </c>
      <c r="G85">
        <f t="shared" si="34"/>
        <v>0.82700000000000007</v>
      </c>
      <c r="H85" s="3">
        <f t="shared" si="40"/>
        <v>0.05</v>
      </c>
      <c r="I85" s="2">
        <v>2.75</v>
      </c>
      <c r="J85" s="2">
        <v>0</v>
      </c>
      <c r="K85" s="2">
        <v>1</v>
      </c>
      <c r="L85" s="16">
        <f>1</f>
        <v>1</v>
      </c>
      <c r="M85" s="5">
        <f t="shared" si="35"/>
        <v>1100</v>
      </c>
      <c r="N85" s="6">
        <f t="shared" si="36"/>
        <v>110.28045000000002</v>
      </c>
      <c r="O85">
        <f t="shared" si="37"/>
        <v>1487.4</v>
      </c>
      <c r="P85" s="7">
        <f t="shared" si="41"/>
        <v>13.487431362494439</v>
      </c>
      <c r="Q85">
        <f>ROUNDUP(몬스터!$P$29/F85, 0)</f>
        <v>16</v>
      </c>
      <c r="R85" s="6">
        <f t="shared" si="38"/>
        <v>19.347037484885124</v>
      </c>
      <c r="S85" s="7">
        <f>B85/몬스터!C26*R85</f>
        <v>321.4584689796298</v>
      </c>
      <c r="U85">
        <f>ROUNDDOWN(R85*몬스터!H$29, 0)*몬스터!G$29*(1+몬스터!I$29)</f>
        <v>2358.7199999999998</v>
      </c>
      <c r="V85" s="2">
        <f t="shared" si="42"/>
        <v>1.5858007260992333</v>
      </c>
    </row>
    <row r="86" spans="1:22" x14ac:dyDescent="0.4">
      <c r="A86">
        <v>82</v>
      </c>
      <c r="B86" s="4">
        <f>160*A86</f>
        <v>13120</v>
      </c>
      <c r="C86">
        <f t="shared" si="44"/>
        <v>1015</v>
      </c>
      <c r="D86">
        <f t="shared" si="32"/>
        <v>48</v>
      </c>
      <c r="E86" s="2">
        <v>0</v>
      </c>
      <c r="F86">
        <f t="shared" si="33"/>
        <v>128</v>
      </c>
      <c r="G86">
        <f t="shared" si="34"/>
        <v>0.82900000000000007</v>
      </c>
      <c r="H86" s="3">
        <f t="shared" si="40"/>
        <v>0.05</v>
      </c>
      <c r="I86" s="2">
        <v>2.75</v>
      </c>
      <c r="J86" s="2">
        <v>0</v>
      </c>
      <c r="K86" s="2">
        <v>1</v>
      </c>
      <c r="L86" s="16">
        <f>1</f>
        <v>1</v>
      </c>
      <c r="M86" s="5">
        <f t="shared" si="35"/>
        <v>1110</v>
      </c>
      <c r="N86" s="6">
        <f t="shared" si="36"/>
        <v>111.41760000000001</v>
      </c>
      <c r="O86">
        <f t="shared" si="37"/>
        <v>1502.2</v>
      </c>
      <c r="P86" s="7">
        <f t="shared" si="41"/>
        <v>13.482609569762765</v>
      </c>
      <c r="Q86">
        <f>ROUNDUP(몬스터!$P$29/F86, 0)</f>
        <v>16</v>
      </c>
      <c r="R86" s="6">
        <f t="shared" si="38"/>
        <v>19.300361881785282</v>
      </c>
      <c r="S86" s="7">
        <f>B86/몬스터!C26*R86</f>
        <v>324.64198447310628</v>
      </c>
      <c r="U86">
        <f>ROUNDDOWN(R86*몬스터!H$29, 0)*몬스터!G$29*(1+몬스터!I$29)</f>
        <v>2358.7199999999998</v>
      </c>
      <c r="V86" s="2">
        <f t="shared" si="42"/>
        <v>1.5701770736253493</v>
      </c>
    </row>
    <row r="87" spans="1:22" x14ac:dyDescent="0.4">
      <c r="A87">
        <v>83</v>
      </c>
      <c r="B87" s="4">
        <f>160*A87</f>
        <v>13280</v>
      </c>
      <c r="C87">
        <f t="shared" si="44"/>
        <v>1030</v>
      </c>
      <c r="D87">
        <f t="shared" si="32"/>
        <v>49</v>
      </c>
      <c r="E87" s="2">
        <v>0</v>
      </c>
      <c r="F87">
        <f t="shared" si="33"/>
        <v>129</v>
      </c>
      <c r="G87">
        <f t="shared" si="34"/>
        <v>0.83100000000000007</v>
      </c>
      <c r="H87" s="3">
        <f t="shared" si="40"/>
        <v>0.05</v>
      </c>
      <c r="I87" s="2">
        <v>2.75</v>
      </c>
      <c r="J87" s="2">
        <v>0</v>
      </c>
      <c r="K87" s="2">
        <v>1</v>
      </c>
      <c r="L87" s="16">
        <f>1</f>
        <v>1</v>
      </c>
      <c r="M87" s="5">
        <f t="shared" si="35"/>
        <v>1120</v>
      </c>
      <c r="N87" s="6">
        <f t="shared" si="36"/>
        <v>112.55895000000002</v>
      </c>
      <c r="O87">
        <f t="shared" si="37"/>
        <v>1534.7</v>
      </c>
      <c r="P87" s="7">
        <f t="shared" si="41"/>
        <v>13.634633229965273</v>
      </c>
      <c r="Q87">
        <f>ROUNDUP(몬스터!$P$29/F87, 0)</f>
        <v>16</v>
      </c>
      <c r="R87" s="6">
        <f t="shared" si="38"/>
        <v>19.253910950661851</v>
      </c>
      <c r="S87" s="7">
        <f>B87/몬스터!C26*R87</f>
        <v>327.81017618562743</v>
      </c>
      <c r="U87">
        <f>ROUNDDOWN(R87*몬스터!H$29, 0)*몬스터!G$29*(1+몬스터!I$29)</f>
        <v>2358.7199999999998</v>
      </c>
      <c r="V87" s="2">
        <f t="shared" si="42"/>
        <v>1.536925783540757</v>
      </c>
    </row>
    <row r="88" spans="1:22" x14ac:dyDescent="0.4">
      <c r="A88">
        <v>84</v>
      </c>
      <c r="B88" s="4">
        <f>160*A88</f>
        <v>13440</v>
      </c>
      <c r="C88">
        <f t="shared" si="44"/>
        <v>1040</v>
      </c>
      <c r="D88">
        <f t="shared" si="32"/>
        <v>49</v>
      </c>
      <c r="E88" s="2">
        <v>0</v>
      </c>
      <c r="F88">
        <f t="shared" si="33"/>
        <v>131</v>
      </c>
      <c r="G88">
        <f t="shared" si="34"/>
        <v>0.83300000000000007</v>
      </c>
      <c r="H88" s="3">
        <f t="shared" si="40"/>
        <v>0.05</v>
      </c>
      <c r="I88" s="2">
        <v>2.75</v>
      </c>
      <c r="J88" s="2">
        <v>0</v>
      </c>
      <c r="K88" s="2">
        <v>1</v>
      </c>
      <c r="L88" s="16">
        <f>1</f>
        <v>1</v>
      </c>
      <c r="M88" s="5">
        <f t="shared" si="35"/>
        <v>1130</v>
      </c>
      <c r="N88" s="6">
        <f t="shared" si="36"/>
        <v>114.57915000000001</v>
      </c>
      <c r="O88">
        <f t="shared" si="37"/>
        <v>1549.6</v>
      </c>
      <c r="P88" s="7">
        <f t="shared" si="41"/>
        <v>13.524275577188343</v>
      </c>
      <c r="Q88">
        <f>ROUNDUP(몬스터!$P$29/F88, 0)</f>
        <v>16</v>
      </c>
      <c r="R88" s="6">
        <f t="shared" si="38"/>
        <v>19.20768307322929</v>
      </c>
      <c r="S88" s="7">
        <f>B88/몬스터!C26*R88</f>
        <v>330.96315449256622</v>
      </c>
      <c r="U88">
        <f>ROUNDDOWN(R88*몬스터!H$29, 0)*몬스터!G$29*(1+몬스터!I$29)</f>
        <v>2358.7199999999998</v>
      </c>
      <c r="V88" s="2">
        <f t="shared" si="42"/>
        <v>1.5221476510067113</v>
      </c>
    </row>
    <row r="89" spans="1:22" x14ac:dyDescent="0.4">
      <c r="A89">
        <v>85</v>
      </c>
      <c r="B89" s="4">
        <f>160*A89</f>
        <v>13600</v>
      </c>
      <c r="C89">
        <f t="shared" si="44"/>
        <v>1050</v>
      </c>
      <c r="D89">
        <f t="shared" si="32"/>
        <v>49</v>
      </c>
      <c r="E89" s="2">
        <v>0</v>
      </c>
      <c r="F89">
        <f t="shared" si="33"/>
        <v>132</v>
      </c>
      <c r="G89">
        <f t="shared" si="34"/>
        <v>0.83500000000000008</v>
      </c>
      <c r="H89" s="3">
        <f t="shared" si="40"/>
        <v>0.05</v>
      </c>
      <c r="I89" s="2">
        <v>2.75</v>
      </c>
      <c r="J89" s="2">
        <v>0</v>
      </c>
      <c r="K89" s="2">
        <v>1</v>
      </c>
      <c r="L89" s="16">
        <f>1</f>
        <v>1</v>
      </c>
      <c r="M89" s="5">
        <f t="shared" si="35"/>
        <v>1140</v>
      </c>
      <c r="N89" s="6">
        <f t="shared" si="36"/>
        <v>115.73100000000002</v>
      </c>
      <c r="O89">
        <f t="shared" si="37"/>
        <v>1564.5</v>
      </c>
      <c r="P89" s="7">
        <f t="shared" si="41"/>
        <v>13.518417710034473</v>
      </c>
      <c r="Q89">
        <f>ROUNDUP(몬스터!$P$29/F89, 0)</f>
        <v>15</v>
      </c>
      <c r="R89" s="6">
        <f t="shared" si="38"/>
        <v>17.964071856287422</v>
      </c>
      <c r="S89" s="7">
        <f>B89/몬스터!C26*R89</f>
        <v>313.2197144173191</v>
      </c>
      <c r="T89" s="7">
        <f t="shared" ref="T89" si="47">SUM(S85:S89)</f>
        <v>1618.0934985482486</v>
      </c>
      <c r="U89">
        <f>ROUNDDOWN(R89*몬스터!H$29, 0)*몬스터!G$29*(1+몬스터!I$29)</f>
        <v>2211.2999999999997</v>
      </c>
      <c r="V89" s="2">
        <f t="shared" si="42"/>
        <v>1.4134228187919462</v>
      </c>
    </row>
    <row r="90" spans="1:22" x14ac:dyDescent="0.4">
      <c r="A90">
        <v>86</v>
      </c>
      <c r="B90" s="4">
        <f>170*A90</f>
        <v>14620</v>
      </c>
      <c r="C90">
        <f t="shared" si="44"/>
        <v>1060</v>
      </c>
      <c r="D90">
        <f t="shared" si="32"/>
        <v>50</v>
      </c>
      <c r="E90" s="2">
        <v>0</v>
      </c>
      <c r="F90">
        <f t="shared" si="33"/>
        <v>133</v>
      </c>
      <c r="G90">
        <f t="shared" si="34"/>
        <v>0.83700000000000008</v>
      </c>
      <c r="H90" s="3">
        <f t="shared" si="40"/>
        <v>0.05</v>
      </c>
      <c r="I90" s="2">
        <v>2.75</v>
      </c>
      <c r="J90" s="2">
        <v>0</v>
      </c>
      <c r="K90" s="2">
        <v>1</v>
      </c>
      <c r="L90" s="16">
        <f>1</f>
        <v>1</v>
      </c>
      <c r="M90" s="5">
        <f t="shared" si="35"/>
        <v>1150</v>
      </c>
      <c r="N90" s="6">
        <f t="shared" si="36"/>
        <v>116.88705000000002</v>
      </c>
      <c r="O90">
        <f t="shared" si="37"/>
        <v>1590</v>
      </c>
      <c r="P90" s="7">
        <f t="shared" si="41"/>
        <v>13.602875596569508</v>
      </c>
      <c r="Q90">
        <f>ROUNDUP(몬스터!$P$30/F90, 0)</f>
        <v>17</v>
      </c>
      <c r="R90" s="6">
        <f t="shared" si="38"/>
        <v>20.310633213859017</v>
      </c>
      <c r="S90" s="7">
        <f>B90/몬스터!C29*R90</f>
        <v>357.76079227303472</v>
      </c>
      <c r="U90">
        <f>ROUNDDOWN(R90*몬스터!H$30, 0)*몬스터!G$30*(1+몬스터!I$30)</f>
        <v>2662.3274999999999</v>
      </c>
      <c r="V90" s="2">
        <f t="shared" si="42"/>
        <v>1.6744198113207547</v>
      </c>
    </row>
    <row r="91" spans="1:22" x14ac:dyDescent="0.4">
      <c r="A91">
        <v>87</v>
      </c>
      <c r="B91" s="4">
        <f>170*A91</f>
        <v>14790</v>
      </c>
      <c r="C91">
        <f t="shared" si="44"/>
        <v>1070</v>
      </c>
      <c r="D91">
        <f t="shared" si="32"/>
        <v>50</v>
      </c>
      <c r="E91" s="2">
        <v>0</v>
      </c>
      <c r="F91">
        <f t="shared" si="33"/>
        <v>135</v>
      </c>
      <c r="G91">
        <f t="shared" si="34"/>
        <v>0.83900000000000008</v>
      </c>
      <c r="H91" s="3">
        <f t="shared" si="40"/>
        <v>0.05</v>
      </c>
      <c r="I91" s="2">
        <v>2.75</v>
      </c>
      <c r="J91" s="2">
        <v>0</v>
      </c>
      <c r="K91" s="2">
        <v>1</v>
      </c>
      <c r="L91" s="16">
        <f>1</f>
        <v>1</v>
      </c>
      <c r="M91" s="5">
        <f t="shared" si="35"/>
        <v>1160</v>
      </c>
      <c r="N91" s="6">
        <f t="shared" si="36"/>
        <v>118.92825000000002</v>
      </c>
      <c r="O91">
        <f t="shared" si="37"/>
        <v>1605</v>
      </c>
      <c r="P91" s="7">
        <f t="shared" si="41"/>
        <v>13.495531969906223</v>
      </c>
      <c r="Q91">
        <f>ROUNDUP(몬스터!$P$30/F91, 0)</f>
        <v>16</v>
      </c>
      <c r="R91" s="6">
        <f t="shared" si="38"/>
        <v>19.070321811680571</v>
      </c>
      <c r="S91" s="7">
        <f>B91/몬스터!C29*R91</f>
        <v>339.81934890934417</v>
      </c>
      <c r="U91">
        <f>ROUNDDOWN(R91*몬스터!H$30, 0)*몬스터!G$30*(1+몬스터!I$30)</f>
        <v>2505.7199999999998</v>
      </c>
      <c r="V91" s="2">
        <f t="shared" si="42"/>
        <v>1.5611962616822428</v>
      </c>
    </row>
    <row r="92" spans="1:22" x14ac:dyDescent="0.4">
      <c r="A92">
        <v>88</v>
      </c>
      <c r="B92" s="4">
        <f>170*A92</f>
        <v>14960</v>
      </c>
      <c r="C92">
        <f t="shared" si="44"/>
        <v>1085</v>
      </c>
      <c r="D92">
        <f t="shared" si="32"/>
        <v>50</v>
      </c>
      <c r="E92" s="2">
        <v>0</v>
      </c>
      <c r="F92">
        <f t="shared" si="33"/>
        <v>136</v>
      </c>
      <c r="G92">
        <f t="shared" si="34"/>
        <v>0.84099999999999997</v>
      </c>
      <c r="H92" s="3">
        <f t="shared" si="40"/>
        <v>0.05</v>
      </c>
      <c r="I92" s="2">
        <v>2.75</v>
      </c>
      <c r="J92" s="2">
        <v>0</v>
      </c>
      <c r="K92" s="2">
        <v>1</v>
      </c>
      <c r="L92" s="16">
        <f>1</f>
        <v>1</v>
      </c>
      <c r="M92" s="5">
        <f t="shared" si="35"/>
        <v>1170</v>
      </c>
      <c r="N92" s="6">
        <f t="shared" si="36"/>
        <v>120.09479999999999</v>
      </c>
      <c r="O92">
        <f t="shared" si="37"/>
        <v>1627.5</v>
      </c>
      <c r="P92" s="7">
        <f t="shared" si="41"/>
        <v>13.551794082674688</v>
      </c>
      <c r="Q92">
        <f>ROUNDUP(몬스터!$P$30/F92, 0)</f>
        <v>16</v>
      </c>
      <c r="R92" s="6">
        <f t="shared" si="38"/>
        <v>19.024970273483948</v>
      </c>
      <c r="S92" s="7">
        <f>B92/몬스터!C29*R92</f>
        <v>342.90789794134923</v>
      </c>
      <c r="U92">
        <f>ROUNDDOWN(R92*몬스터!H$30, 0)*몬스터!G$30*(1+몬스터!I$30)</f>
        <v>2505.7199999999998</v>
      </c>
      <c r="V92" s="2">
        <f t="shared" si="42"/>
        <v>1.5396129032258064</v>
      </c>
    </row>
    <row r="93" spans="1:22" x14ac:dyDescent="0.4">
      <c r="A93">
        <v>89</v>
      </c>
      <c r="B93" s="4">
        <f>170*A93</f>
        <v>15130</v>
      </c>
      <c r="C93">
        <f t="shared" si="44"/>
        <v>1095</v>
      </c>
      <c r="D93">
        <f t="shared" si="32"/>
        <v>51</v>
      </c>
      <c r="E93" s="2">
        <v>0</v>
      </c>
      <c r="F93">
        <f t="shared" si="33"/>
        <v>137</v>
      </c>
      <c r="G93">
        <f t="shared" si="34"/>
        <v>0.84299999999999997</v>
      </c>
      <c r="H93" s="3">
        <f t="shared" si="40"/>
        <v>0.05</v>
      </c>
      <c r="I93" s="2">
        <v>2.75</v>
      </c>
      <c r="J93" s="2">
        <v>0</v>
      </c>
      <c r="K93" s="2">
        <v>1</v>
      </c>
      <c r="L93" s="16">
        <f>1</f>
        <v>1</v>
      </c>
      <c r="M93" s="5">
        <f t="shared" si="35"/>
        <v>1180</v>
      </c>
      <c r="N93" s="6">
        <f t="shared" si="36"/>
        <v>121.26555</v>
      </c>
      <c r="O93">
        <f t="shared" si="37"/>
        <v>1653.45</v>
      </c>
      <c r="P93" s="7">
        <f t="shared" si="41"/>
        <v>13.63495238342629</v>
      </c>
      <c r="Q93">
        <f>ROUNDUP(몬스터!$P$30/F93, 0)</f>
        <v>16</v>
      </c>
      <c r="R93" s="6">
        <f t="shared" si="38"/>
        <v>18.979833926453143</v>
      </c>
      <c r="S93" s="7">
        <f>B93/몬스터!C29*R93</f>
        <v>345.98179193642898</v>
      </c>
      <c r="U93">
        <f>ROUNDDOWN(R93*몬스터!H$30, 0)*몬스터!G$30*(1+몬스터!I$30)</f>
        <v>2505.7199999999998</v>
      </c>
      <c r="V93" s="2">
        <f t="shared" si="42"/>
        <v>1.5154495146511837</v>
      </c>
    </row>
    <row r="94" spans="1:22" x14ac:dyDescent="0.4">
      <c r="A94">
        <v>90</v>
      </c>
      <c r="B94" s="4">
        <f>170*A94</f>
        <v>15300</v>
      </c>
      <c r="C94">
        <f t="shared" si="44"/>
        <v>1105</v>
      </c>
      <c r="D94">
        <f t="shared" si="32"/>
        <v>51</v>
      </c>
      <c r="E94" s="2">
        <v>0</v>
      </c>
      <c r="F94">
        <f t="shared" si="33"/>
        <v>139</v>
      </c>
      <c r="G94">
        <f t="shared" si="34"/>
        <v>0.84499999999999997</v>
      </c>
      <c r="H94" s="3">
        <f t="shared" si="40"/>
        <v>0.05</v>
      </c>
      <c r="I94" s="2">
        <v>2.75</v>
      </c>
      <c r="J94" s="2">
        <v>0</v>
      </c>
      <c r="K94" s="2">
        <v>1</v>
      </c>
      <c r="L94" s="16">
        <f>1</f>
        <v>1</v>
      </c>
      <c r="M94" s="5">
        <f t="shared" si="35"/>
        <v>1190</v>
      </c>
      <c r="N94" s="6">
        <f t="shared" si="36"/>
        <v>123.32775000000001</v>
      </c>
      <c r="O94">
        <f t="shared" si="37"/>
        <v>1668.55</v>
      </c>
      <c r="P94" s="7">
        <f t="shared" si="41"/>
        <v>13.529396263209211</v>
      </c>
      <c r="Q94">
        <f>ROUNDUP(몬스터!$P$30/F94, 0)</f>
        <v>16</v>
      </c>
      <c r="R94" s="6">
        <f t="shared" si="38"/>
        <v>18.934911242603551</v>
      </c>
      <c r="S94" s="7">
        <f>B94/몬스터!C29*R94</f>
        <v>349.04113495401725</v>
      </c>
      <c r="T94" s="7">
        <f t="shared" ref="T94" si="48">SUM(S90:S94)</f>
        <v>1735.5109660141743</v>
      </c>
      <c r="U94">
        <f>ROUNDDOWN(R94*몬스터!H$30, 0)*몬스터!G$30*(1+몬스터!I$30)</f>
        <v>2505.7199999999998</v>
      </c>
      <c r="V94" s="2">
        <f t="shared" si="42"/>
        <v>1.5017350394054718</v>
      </c>
    </row>
    <row r="95" spans="1:22" x14ac:dyDescent="0.4">
      <c r="A95">
        <v>91</v>
      </c>
      <c r="B95" s="4">
        <f>160*A95</f>
        <v>14560</v>
      </c>
      <c r="C95">
        <f t="shared" si="44"/>
        <v>1115</v>
      </c>
      <c r="D95">
        <f t="shared" si="32"/>
        <v>51</v>
      </c>
      <c r="E95" s="2">
        <v>0</v>
      </c>
      <c r="F95">
        <f t="shared" si="33"/>
        <v>140</v>
      </c>
      <c r="G95">
        <f t="shared" si="34"/>
        <v>0.84699999999999998</v>
      </c>
      <c r="H95" s="3">
        <f t="shared" si="40"/>
        <v>0.05</v>
      </c>
      <c r="I95" s="2">
        <v>2.75</v>
      </c>
      <c r="J95" s="2">
        <v>0</v>
      </c>
      <c r="K95" s="2">
        <v>1</v>
      </c>
      <c r="L95" s="16">
        <f>1</f>
        <v>1</v>
      </c>
      <c r="M95" s="5">
        <f t="shared" si="35"/>
        <v>1200</v>
      </c>
      <c r="N95" s="6">
        <f t="shared" si="36"/>
        <v>124.509</v>
      </c>
      <c r="O95">
        <f t="shared" si="37"/>
        <v>1683.65</v>
      </c>
      <c r="P95" s="7">
        <f t="shared" si="41"/>
        <v>13.522315655896362</v>
      </c>
      <c r="Q95">
        <f>ROUNDUP(몬스터!$P$31/F95, 0)</f>
        <v>17</v>
      </c>
      <c r="R95" s="6">
        <f t="shared" si="38"/>
        <v>20.070838252656436</v>
      </c>
      <c r="S95" s="7">
        <f>B95/몬스터!C30*R95</f>
        <v>332.0811419984974</v>
      </c>
      <c r="U95">
        <f>ROUNDDOWN(R95*몬스터!H$31, 0)*몬스터!G$31*(1+몬스터!I$31)</f>
        <v>2840.4450000000002</v>
      </c>
      <c r="V95" s="2">
        <f t="shared" si="42"/>
        <v>1.6870756986309505</v>
      </c>
    </row>
    <row r="96" spans="1:22" x14ac:dyDescent="0.4">
      <c r="A96">
        <v>92</v>
      </c>
      <c r="B96" s="4">
        <f>160*A96</f>
        <v>14720</v>
      </c>
      <c r="C96">
        <f t="shared" si="44"/>
        <v>1125</v>
      </c>
      <c r="D96">
        <f t="shared" si="32"/>
        <v>52</v>
      </c>
      <c r="E96" s="2">
        <v>0</v>
      </c>
      <c r="F96">
        <f t="shared" si="33"/>
        <v>141</v>
      </c>
      <c r="G96">
        <f t="shared" si="34"/>
        <v>0.84899999999999998</v>
      </c>
      <c r="H96" s="3">
        <f t="shared" si="40"/>
        <v>0.05</v>
      </c>
      <c r="I96" s="2">
        <v>2.75</v>
      </c>
      <c r="J96" s="2">
        <v>0</v>
      </c>
      <c r="K96" s="2">
        <v>1</v>
      </c>
      <c r="L96" s="16">
        <f>1</f>
        <v>1</v>
      </c>
      <c r="M96" s="5">
        <f t="shared" si="35"/>
        <v>1210</v>
      </c>
      <c r="N96" s="6">
        <f t="shared" si="36"/>
        <v>125.69445</v>
      </c>
      <c r="O96">
        <f t="shared" si="37"/>
        <v>1710</v>
      </c>
      <c r="P96" s="7">
        <f t="shared" si="41"/>
        <v>13.604419288202463</v>
      </c>
      <c r="Q96">
        <f>ROUNDUP(몬스터!$P$31/F96, 0)</f>
        <v>17</v>
      </c>
      <c r="R96" s="6">
        <f t="shared" si="38"/>
        <v>20.023557126030624</v>
      </c>
      <c r="S96" s="7">
        <f>B96/몬스터!C30*R96</f>
        <v>334.93950101723954</v>
      </c>
      <c r="U96">
        <f>ROUNDDOWN(R96*몬스터!H$31, 0)*몬스터!G$31*(1+몬스터!I$31)</f>
        <v>2840.4450000000002</v>
      </c>
      <c r="V96" s="2">
        <f t="shared" si="42"/>
        <v>1.6610789473684211</v>
      </c>
    </row>
    <row r="97" spans="1:22" x14ac:dyDescent="0.4">
      <c r="A97">
        <v>93</v>
      </c>
      <c r="B97" s="4">
        <f>160*A97</f>
        <v>14880</v>
      </c>
      <c r="C97">
        <f t="shared" si="44"/>
        <v>1140</v>
      </c>
      <c r="D97">
        <f t="shared" si="32"/>
        <v>52</v>
      </c>
      <c r="E97" s="2">
        <v>0</v>
      </c>
      <c r="F97">
        <f t="shared" si="33"/>
        <v>143</v>
      </c>
      <c r="G97">
        <f t="shared" si="34"/>
        <v>0.85099999999999998</v>
      </c>
      <c r="H97" s="3">
        <f t="shared" si="40"/>
        <v>0.05</v>
      </c>
      <c r="I97" s="2">
        <v>2.75</v>
      </c>
      <c r="J97" s="2">
        <v>0</v>
      </c>
      <c r="K97" s="2">
        <v>1</v>
      </c>
      <c r="L97" s="16">
        <f>1</f>
        <v>1</v>
      </c>
      <c r="M97" s="5">
        <f t="shared" si="35"/>
        <v>1220</v>
      </c>
      <c r="N97" s="6">
        <f t="shared" si="36"/>
        <v>127.77765000000001</v>
      </c>
      <c r="O97">
        <f t="shared" si="37"/>
        <v>1732.8</v>
      </c>
      <c r="P97" s="7">
        <f t="shared" si="41"/>
        <v>13.561057039317907</v>
      </c>
      <c r="Q97">
        <f>ROUNDUP(몬스터!$P$31/F97, 0)</f>
        <v>17</v>
      </c>
      <c r="R97" s="6">
        <f t="shared" si="38"/>
        <v>19.976498237367803</v>
      </c>
      <c r="S97" s="7">
        <f>B97/몬스터!C30*R97</f>
        <v>337.78442474094652</v>
      </c>
      <c r="U97">
        <f>ROUNDDOWN(R97*몬스터!H$31, 0)*몬스터!G$31*(1+몬스터!I$31)</f>
        <v>2840.4450000000002</v>
      </c>
      <c r="V97" s="2">
        <f t="shared" si="42"/>
        <v>1.639222645429363</v>
      </c>
    </row>
    <row r="98" spans="1:22" x14ac:dyDescent="0.4">
      <c r="A98">
        <v>94</v>
      </c>
      <c r="B98" s="4">
        <f>160*A98</f>
        <v>15040</v>
      </c>
      <c r="C98">
        <f t="shared" si="44"/>
        <v>1150</v>
      </c>
      <c r="D98">
        <f t="shared" si="32"/>
        <v>52</v>
      </c>
      <c r="E98" s="2">
        <v>0</v>
      </c>
      <c r="F98">
        <f t="shared" si="33"/>
        <v>144</v>
      </c>
      <c r="G98">
        <f t="shared" si="34"/>
        <v>0.85299999999999998</v>
      </c>
      <c r="H98" s="3">
        <f t="shared" si="40"/>
        <v>0.05</v>
      </c>
      <c r="I98" s="2">
        <v>2.75</v>
      </c>
      <c r="J98" s="2">
        <v>0</v>
      </c>
      <c r="K98" s="2">
        <v>1</v>
      </c>
      <c r="L98" s="16">
        <f>1</f>
        <v>1</v>
      </c>
      <c r="M98" s="5">
        <f t="shared" si="35"/>
        <v>1230</v>
      </c>
      <c r="N98" s="6">
        <f t="shared" si="36"/>
        <v>128.9736</v>
      </c>
      <c r="O98">
        <f t="shared" si="37"/>
        <v>1748</v>
      </c>
      <c r="P98" s="7">
        <f t="shared" si="41"/>
        <v>13.553161267112028</v>
      </c>
      <c r="Q98">
        <f>ROUNDUP(몬스터!$P$31/F98, 0)</f>
        <v>17</v>
      </c>
      <c r="R98" s="6">
        <f t="shared" si="38"/>
        <v>19.929660023446658</v>
      </c>
      <c r="S98" s="7">
        <f>B98/몬스터!C30*R98</f>
        <v>340.61600767345197</v>
      </c>
      <c r="U98">
        <f>ROUNDDOWN(R98*몬스터!H$31, 0)*몬스터!G$31*(1+몬스터!I$31)</f>
        <v>2840.4450000000002</v>
      </c>
      <c r="V98" s="2">
        <f t="shared" si="42"/>
        <v>1.6249685354691077</v>
      </c>
    </row>
    <row r="99" spans="1:22" x14ac:dyDescent="0.4">
      <c r="A99">
        <v>95</v>
      </c>
      <c r="B99" s="4">
        <f>160*A99</f>
        <v>15200</v>
      </c>
      <c r="C99">
        <f t="shared" si="44"/>
        <v>1160</v>
      </c>
      <c r="D99">
        <f t="shared" si="32"/>
        <v>53</v>
      </c>
      <c r="E99" s="2">
        <v>0</v>
      </c>
      <c r="F99">
        <f t="shared" si="33"/>
        <v>145</v>
      </c>
      <c r="G99">
        <f t="shared" si="34"/>
        <v>0.85499999999999998</v>
      </c>
      <c r="H99" s="3">
        <f t="shared" si="40"/>
        <v>0.05</v>
      </c>
      <c r="I99" s="2">
        <v>2.75</v>
      </c>
      <c r="J99" s="2">
        <v>0</v>
      </c>
      <c r="K99" s="2">
        <v>1</v>
      </c>
      <c r="L99" s="16">
        <f>1</f>
        <v>1</v>
      </c>
      <c r="M99" s="5">
        <f t="shared" si="35"/>
        <v>1240</v>
      </c>
      <c r="N99" s="6">
        <f t="shared" si="36"/>
        <v>130.17375000000001</v>
      </c>
      <c r="O99">
        <f t="shared" si="37"/>
        <v>1774.8</v>
      </c>
      <c r="P99" s="7">
        <f t="shared" si="41"/>
        <v>13.634085213032579</v>
      </c>
      <c r="Q99">
        <f>ROUNDUP(몬스터!$P$31/F99, 0)</f>
        <v>17</v>
      </c>
      <c r="R99" s="6">
        <f t="shared" si="38"/>
        <v>19.883040935672515</v>
      </c>
      <c r="S99" s="7">
        <f>B99/몬스터!C30*R99</f>
        <v>343.43434343434348</v>
      </c>
      <c r="T99" s="7">
        <f t="shared" ref="T99" si="49">SUM(S95:S99)</f>
        <v>1688.8554188644789</v>
      </c>
      <c r="U99">
        <f>ROUNDDOWN(R99*몬스터!H$31, 0)*몬스터!G$31*(1+몬스터!I$31)</f>
        <v>2840.4450000000002</v>
      </c>
      <c r="V99" s="2">
        <f t="shared" si="42"/>
        <v>1.6004310344827588</v>
      </c>
    </row>
    <row r="100" spans="1:22" x14ac:dyDescent="0.4">
      <c r="A100">
        <v>96</v>
      </c>
      <c r="B100" s="4">
        <f>170*A100</f>
        <v>16320</v>
      </c>
      <c r="C100">
        <f t="shared" si="44"/>
        <v>1170</v>
      </c>
      <c r="D100">
        <f t="shared" si="32"/>
        <v>53</v>
      </c>
      <c r="E100" s="2">
        <v>0</v>
      </c>
      <c r="F100">
        <f t="shared" si="33"/>
        <v>147</v>
      </c>
      <c r="G100">
        <f t="shared" si="34"/>
        <v>0.85699999999999998</v>
      </c>
      <c r="H100" s="3">
        <f t="shared" si="40"/>
        <v>0.05</v>
      </c>
      <c r="I100" s="2">
        <v>2.75</v>
      </c>
      <c r="J100" s="2">
        <v>0</v>
      </c>
      <c r="K100" s="2">
        <v>1</v>
      </c>
      <c r="L100" s="16">
        <f>1</f>
        <v>1</v>
      </c>
      <c r="M100" s="5">
        <f t="shared" si="35"/>
        <v>1250</v>
      </c>
      <c r="N100" s="6">
        <f t="shared" si="36"/>
        <v>132.27795</v>
      </c>
      <c r="O100">
        <f t="shared" si="37"/>
        <v>1790.1000000000001</v>
      </c>
      <c r="P100" s="7">
        <f t="shared" si="41"/>
        <v>13.532867722851769</v>
      </c>
      <c r="Q100">
        <f>ROUNDUP(몬스터!$P$32/F100, 0)</f>
        <v>18</v>
      </c>
      <c r="R100" s="6">
        <f t="shared" si="38"/>
        <v>21.003500583430572</v>
      </c>
      <c r="S100" s="7">
        <f>B100/몬스터!C31*R100</f>
        <v>368.57755862536226</v>
      </c>
      <c r="U100">
        <f>ROUNDDOWN(R100*몬스터!H$32, 0)*몬스터!G$32*(1+몬스터!I$32)</f>
        <v>3176.8199999999997</v>
      </c>
      <c r="V100" s="2">
        <f t="shared" si="42"/>
        <v>1.7746606334841626</v>
      </c>
    </row>
    <row r="101" spans="1:22" x14ac:dyDescent="0.4">
      <c r="A101">
        <v>97</v>
      </c>
      <c r="B101" s="4">
        <f>170*A101</f>
        <v>16490</v>
      </c>
      <c r="C101">
        <f t="shared" si="44"/>
        <v>1180</v>
      </c>
      <c r="D101">
        <f t="shared" si="32"/>
        <v>53</v>
      </c>
      <c r="E101" s="2">
        <v>0</v>
      </c>
      <c r="F101">
        <f t="shared" si="33"/>
        <v>148</v>
      </c>
      <c r="G101">
        <f t="shared" si="34"/>
        <v>0.85899999999999999</v>
      </c>
      <c r="H101" s="3">
        <f t="shared" si="40"/>
        <v>0.05</v>
      </c>
      <c r="I101" s="2">
        <v>2.75</v>
      </c>
      <c r="J101" s="2">
        <v>0</v>
      </c>
      <c r="K101" s="2">
        <v>1</v>
      </c>
      <c r="L101" s="16">
        <f>1</f>
        <v>1</v>
      </c>
      <c r="M101" s="5">
        <f t="shared" si="35"/>
        <v>1260</v>
      </c>
      <c r="N101" s="6">
        <f t="shared" si="36"/>
        <v>133.48860000000002</v>
      </c>
      <c r="O101">
        <f t="shared" si="37"/>
        <v>1805.4</v>
      </c>
      <c r="P101" s="7">
        <f t="shared" si="41"/>
        <v>13.524750428126445</v>
      </c>
      <c r="Q101">
        <f>ROUNDUP(몬스터!$P$32/F101, 0)</f>
        <v>17</v>
      </c>
      <c r="R101" s="6">
        <f t="shared" ref="R101:R104" si="50">Q101/G101</f>
        <v>19.790454016298021</v>
      </c>
      <c r="S101" s="7">
        <f>B101/몬스터!C31*R101</f>
        <v>350.90815777285417</v>
      </c>
      <c r="U101">
        <f>ROUNDDOWN(R101*몬스터!H$32, 0)*몬스터!G$32*(1+몬스터!I$32)</f>
        <v>3000.33</v>
      </c>
      <c r="V101" s="2">
        <f t="shared" si="42"/>
        <v>1.6618644067796609</v>
      </c>
    </row>
    <row r="102" spans="1:22" x14ac:dyDescent="0.4">
      <c r="A102">
        <v>98</v>
      </c>
      <c r="B102" s="4">
        <f>170*A102</f>
        <v>16660</v>
      </c>
      <c r="C102">
        <f t="shared" si="44"/>
        <v>1195</v>
      </c>
      <c r="D102">
        <f t="shared" si="32"/>
        <v>54</v>
      </c>
      <c r="E102" s="2">
        <v>0</v>
      </c>
      <c r="F102">
        <f t="shared" si="33"/>
        <v>149</v>
      </c>
      <c r="G102">
        <f t="shared" si="34"/>
        <v>0.86099999999999999</v>
      </c>
      <c r="H102" s="3">
        <f t="shared" si="40"/>
        <v>0.05</v>
      </c>
      <c r="I102" s="2">
        <v>2.75</v>
      </c>
      <c r="J102" s="2">
        <v>0</v>
      </c>
      <c r="K102" s="2">
        <v>1</v>
      </c>
      <c r="L102" s="16">
        <f>1</f>
        <v>1</v>
      </c>
      <c r="M102" s="5">
        <f t="shared" si="35"/>
        <v>1270</v>
      </c>
      <c r="N102" s="6">
        <f t="shared" si="36"/>
        <v>134.70345</v>
      </c>
      <c r="O102">
        <f t="shared" si="37"/>
        <v>1840.3</v>
      </c>
      <c r="P102" s="7">
        <f t="shared" si="41"/>
        <v>13.661862409611631</v>
      </c>
      <c r="Q102">
        <f>ROUNDUP(몬스터!$P$32/F102, 0)</f>
        <v>17</v>
      </c>
      <c r="R102" s="6">
        <f t="shared" si="50"/>
        <v>19.744483159117305</v>
      </c>
      <c r="S102" s="7">
        <f>B102/몬스터!C31*R102</f>
        <v>353.70224669988636</v>
      </c>
      <c r="U102">
        <f>ROUNDDOWN(R102*몬스터!H$32, 0)*몬스터!G$32*(1+몬스터!I$32)</f>
        <v>3000.33</v>
      </c>
      <c r="V102" s="2">
        <f t="shared" si="42"/>
        <v>1.6303483127750911</v>
      </c>
    </row>
    <row r="103" spans="1:22" x14ac:dyDescent="0.4">
      <c r="A103">
        <v>99</v>
      </c>
      <c r="B103" s="4">
        <f>170*A103</f>
        <v>16830</v>
      </c>
      <c r="C103">
        <f t="shared" si="44"/>
        <v>1205</v>
      </c>
      <c r="D103">
        <f t="shared" si="32"/>
        <v>54</v>
      </c>
      <c r="E103" s="2">
        <v>0</v>
      </c>
      <c r="F103">
        <f t="shared" si="33"/>
        <v>151</v>
      </c>
      <c r="G103">
        <f t="shared" si="34"/>
        <v>0.86299999999999999</v>
      </c>
      <c r="H103" s="3">
        <f t="shared" si="40"/>
        <v>0.05</v>
      </c>
      <c r="I103" s="2">
        <v>2.75</v>
      </c>
      <c r="J103" s="2">
        <v>0</v>
      </c>
      <c r="K103" s="2">
        <v>1</v>
      </c>
      <c r="L103" s="16">
        <f>1</f>
        <v>1</v>
      </c>
      <c r="M103" s="5">
        <f t="shared" si="35"/>
        <v>1280</v>
      </c>
      <c r="N103" s="6">
        <f t="shared" si="36"/>
        <v>136.82864999999998</v>
      </c>
      <c r="O103">
        <f t="shared" si="37"/>
        <v>1855.7</v>
      </c>
      <c r="P103" s="7">
        <f t="shared" si="41"/>
        <v>13.562218146565067</v>
      </c>
      <c r="Q103">
        <f>ROUNDUP(몬스터!$P$32/F103, 0)</f>
        <v>17</v>
      </c>
      <c r="R103" s="6">
        <f t="shared" si="50"/>
        <v>19.698725376593281</v>
      </c>
      <c r="S103" s="7">
        <f>B103/몬스터!C31*R103</f>
        <v>356.48338504093005</v>
      </c>
      <c r="U103">
        <f>ROUNDDOWN(R103*몬스터!H$32, 0)*몬스터!G$32*(1+몬스터!I$32)</f>
        <v>3000.33</v>
      </c>
      <c r="V103" s="2">
        <f t="shared" si="42"/>
        <v>1.6168184512582853</v>
      </c>
    </row>
    <row r="104" spans="1:22" x14ac:dyDescent="0.4">
      <c r="A104">
        <v>100</v>
      </c>
      <c r="B104" s="4">
        <f>170*A104</f>
        <v>17000</v>
      </c>
      <c r="C104">
        <f t="shared" si="44"/>
        <v>1215</v>
      </c>
      <c r="D104">
        <f t="shared" si="32"/>
        <v>55</v>
      </c>
      <c r="E104" s="2">
        <v>0</v>
      </c>
      <c r="F104">
        <f t="shared" si="33"/>
        <v>152</v>
      </c>
      <c r="G104">
        <f t="shared" si="34"/>
        <v>0.86499999999999999</v>
      </c>
      <c r="H104" s="3">
        <f t="shared" si="40"/>
        <v>0.05</v>
      </c>
      <c r="I104" s="2">
        <v>2.75</v>
      </c>
      <c r="J104" s="2">
        <v>0</v>
      </c>
      <c r="K104" s="2">
        <v>1</v>
      </c>
      <c r="L104" s="16">
        <f>1</f>
        <v>1</v>
      </c>
      <c r="M104" s="5">
        <f t="shared" si="35"/>
        <v>1290</v>
      </c>
      <c r="N104" s="6">
        <f t="shared" si="36"/>
        <v>138.054</v>
      </c>
      <c r="O104">
        <f t="shared" si="37"/>
        <v>1883.25</v>
      </c>
      <c r="P104" s="7">
        <f t="shared" si="41"/>
        <v>13.641401190838367</v>
      </c>
      <c r="Q104">
        <f>ROUNDUP(몬스터!$P$32/F104, 0)</f>
        <v>17</v>
      </c>
      <c r="R104" s="6">
        <f t="shared" si="50"/>
        <v>19.653179190751445</v>
      </c>
      <c r="S104" s="7">
        <f>B104/몬스터!C31*R104</f>
        <v>359.25166262663936</v>
      </c>
      <c r="T104" s="7">
        <f t="shared" ref="T104" si="51">SUM(S100:S104)</f>
        <v>1788.9230107656722</v>
      </c>
      <c r="U104">
        <f>ROUNDDOWN(R104*몬스터!H$32, 0)*몬스터!G$32*(1+몬스터!I$32)</f>
        <v>3000.33</v>
      </c>
      <c r="V104" s="2">
        <f t="shared" si="42"/>
        <v>1.5931660692951015</v>
      </c>
    </row>
    <row r="106" spans="1:22" x14ac:dyDescent="0.4">
      <c r="A106" t="s">
        <v>282</v>
      </c>
      <c r="B106" t="s">
        <v>298</v>
      </c>
    </row>
    <row r="108" spans="1:22" ht="19.8" thickBot="1" x14ac:dyDescent="0.45">
      <c r="B108" s="47" t="s">
        <v>281</v>
      </c>
    </row>
    <row r="109" spans="1:22" ht="18" thickBot="1" x14ac:dyDescent="0.45">
      <c r="A109" s="36" t="s">
        <v>18</v>
      </c>
      <c r="B109" s="36" t="s">
        <v>300</v>
      </c>
      <c r="C109" s="28" t="s">
        <v>301</v>
      </c>
      <c r="D109" s="28" t="s">
        <v>302</v>
      </c>
      <c r="E109" s="28" t="s">
        <v>303</v>
      </c>
      <c r="F109" s="37" t="s">
        <v>305</v>
      </c>
      <c r="G109" s="37" t="s">
        <v>306</v>
      </c>
      <c r="H109" s="37" t="s">
        <v>307</v>
      </c>
      <c r="I109" s="37" t="s">
        <v>308</v>
      </c>
      <c r="J109" s="37" t="s">
        <v>309</v>
      </c>
      <c r="K109" s="38" t="s">
        <v>310</v>
      </c>
      <c r="L109" s="38" t="s">
        <v>312</v>
      </c>
      <c r="M109" s="38" t="s">
        <v>311</v>
      </c>
      <c r="N109" s="23" t="s">
        <v>313</v>
      </c>
      <c r="O109" s="23" t="s">
        <v>314</v>
      </c>
      <c r="P109" s="23" t="s">
        <v>315</v>
      </c>
      <c r="Q109" s="39" t="s">
        <v>316</v>
      </c>
      <c r="R109" s="39" t="s">
        <v>317</v>
      </c>
      <c r="S109" s="39" t="s">
        <v>318</v>
      </c>
      <c r="T109" s="39" t="s">
        <v>319</v>
      </c>
      <c r="U109" s="39" t="s">
        <v>320</v>
      </c>
      <c r="V109" s="39" t="s">
        <v>321</v>
      </c>
    </row>
    <row r="110" spans="1:22" ht="18" thickTop="1" x14ac:dyDescent="0.4">
      <c r="A110">
        <v>1</v>
      </c>
      <c r="B110" s="4">
        <f>150*A110</f>
        <v>150</v>
      </c>
      <c r="C110">
        <f t="shared" ref="C110:C141" si="52">MROUND(150+A110*11,5)</f>
        <v>160</v>
      </c>
      <c r="D110">
        <f t="shared" ref="D110:D141" si="53">ROUNDDOWN((20+A110*0.3), 0)</f>
        <v>20</v>
      </c>
      <c r="E110" s="2">
        <v>0</v>
      </c>
      <c r="F110">
        <f t="shared" ref="F110:F141" si="54">ROUND((28+A110*2)*2/3, 0)</f>
        <v>20</v>
      </c>
      <c r="G110">
        <f t="shared" ref="G110:G141" si="55">0.665+0.002*A110</f>
        <v>0.66700000000000004</v>
      </c>
      <c r="H110" s="3">
        <f>0.05</f>
        <v>0.05</v>
      </c>
      <c r="I110" s="2">
        <v>2</v>
      </c>
      <c r="J110" s="2">
        <v>0</v>
      </c>
      <c r="K110" s="2">
        <v>1</v>
      </c>
      <c r="L110" s="16">
        <v>2</v>
      </c>
      <c r="M110" s="5">
        <f t="shared" ref="M110:M141" si="56">290+10*A110</f>
        <v>300</v>
      </c>
      <c r="N110" s="6">
        <f t="shared" ref="N110:N141" si="57">F110*G110*(1+H110)</f>
        <v>14.007</v>
      </c>
      <c r="O110">
        <f t="shared" ref="O110:O141" si="58">C110*(1+D110/100)*(1+E110)</f>
        <v>192</v>
      </c>
      <c r="P110" s="7">
        <f>O110/N110</f>
        <v>13.707431998286571</v>
      </c>
      <c r="Q110">
        <f>ROUNDUP(몬스터!$P$5/F110, 0)</f>
        <v>7</v>
      </c>
      <c r="R110" s="6">
        <f t="shared" ref="R110:R141" si="59">Q110/G110</f>
        <v>10.494752623688155</v>
      </c>
      <c r="S110" s="7">
        <f>B110/몬스터!$C$5*R110</f>
        <v>52.473763118440779</v>
      </c>
      <c r="U110">
        <f>ROUNDDOWN(R110*몬스터!$H$5, 0)*몬스터!$G$5*(1+몬스터!$I$5)</f>
        <v>37.800000000000004</v>
      </c>
      <c r="V110" s="2">
        <f>U110/O110</f>
        <v>0.19687500000000002</v>
      </c>
    </row>
    <row r="111" spans="1:22" x14ac:dyDescent="0.4">
      <c r="A111">
        <v>2</v>
      </c>
      <c r="B111" s="4">
        <f>150*A111</f>
        <v>300</v>
      </c>
      <c r="C111">
        <f t="shared" si="52"/>
        <v>170</v>
      </c>
      <c r="D111">
        <f t="shared" si="53"/>
        <v>20</v>
      </c>
      <c r="E111" s="2">
        <v>0</v>
      </c>
      <c r="F111">
        <f t="shared" si="54"/>
        <v>21</v>
      </c>
      <c r="G111">
        <f t="shared" si="55"/>
        <v>0.66900000000000004</v>
      </c>
      <c r="H111" s="3">
        <f t="shared" ref="H111:H174" si="60">0.05</f>
        <v>0.05</v>
      </c>
      <c r="I111" s="2">
        <v>2</v>
      </c>
      <c r="J111" s="2">
        <v>0</v>
      </c>
      <c r="K111" s="2">
        <v>1</v>
      </c>
      <c r="L111" s="16">
        <v>2</v>
      </c>
      <c r="M111" s="5">
        <f t="shared" si="56"/>
        <v>310</v>
      </c>
      <c r="N111" s="6">
        <f t="shared" si="57"/>
        <v>14.751450000000002</v>
      </c>
      <c r="O111">
        <f t="shared" si="58"/>
        <v>204</v>
      </c>
      <c r="P111" s="7">
        <f t="shared" ref="P111:P174" si="61">O111/N111</f>
        <v>13.82914899891197</v>
      </c>
      <c r="Q111">
        <f>ROUNDUP(몬스터!$P$5/F111, 0)</f>
        <v>7</v>
      </c>
      <c r="R111" s="6">
        <f t="shared" si="59"/>
        <v>10.46337817638266</v>
      </c>
      <c r="S111" s="7">
        <f>B111/몬스터!$C$5*R111</f>
        <v>104.6337817638266</v>
      </c>
      <c r="U111">
        <f>ROUNDDOWN(R111*몬스터!$H$5, 0)*몬스터!$G$5*(1+몬스터!$I$5)</f>
        <v>37.800000000000004</v>
      </c>
      <c r="V111" s="2">
        <f t="shared" ref="V111:V174" si="62">U111/O111</f>
        <v>0.18529411764705883</v>
      </c>
    </row>
    <row r="112" spans="1:22" x14ac:dyDescent="0.4">
      <c r="A112">
        <v>3</v>
      </c>
      <c r="B112" s="4">
        <f>150*A112</f>
        <v>450</v>
      </c>
      <c r="C112">
        <f t="shared" si="52"/>
        <v>185</v>
      </c>
      <c r="D112">
        <f t="shared" si="53"/>
        <v>20</v>
      </c>
      <c r="E112" s="2">
        <v>0</v>
      </c>
      <c r="F112">
        <f t="shared" si="54"/>
        <v>23</v>
      </c>
      <c r="G112">
        <f t="shared" si="55"/>
        <v>0.67100000000000004</v>
      </c>
      <c r="H112" s="3">
        <f t="shared" si="60"/>
        <v>0.05</v>
      </c>
      <c r="I112" s="2">
        <v>2</v>
      </c>
      <c r="J112" s="2">
        <v>0</v>
      </c>
      <c r="K112" s="2">
        <v>1</v>
      </c>
      <c r="L112" s="16">
        <v>2</v>
      </c>
      <c r="M112" s="5">
        <f t="shared" si="56"/>
        <v>320</v>
      </c>
      <c r="N112" s="6">
        <f t="shared" si="57"/>
        <v>16.204650000000001</v>
      </c>
      <c r="O112">
        <f t="shared" si="58"/>
        <v>222</v>
      </c>
      <c r="P112" s="7">
        <f t="shared" si="61"/>
        <v>13.699771361923892</v>
      </c>
      <c r="Q112">
        <f>ROUNDUP(몬스터!$P$5/F112, 0)</f>
        <v>6</v>
      </c>
      <c r="R112" s="6">
        <f t="shared" si="59"/>
        <v>8.9418777943368095</v>
      </c>
      <c r="S112" s="7">
        <f>B112/몬스터!$C$5*R112</f>
        <v>134.12816691505213</v>
      </c>
      <c r="U112">
        <f>ROUNDDOWN(R112*몬스터!$H$5, 0)*몬스터!$G$5*(1+몬스터!$I$5)</f>
        <v>31.5</v>
      </c>
      <c r="V112" s="2">
        <f t="shared" si="62"/>
        <v>0.14189189189189189</v>
      </c>
    </row>
    <row r="113" spans="1:22" x14ac:dyDescent="0.4">
      <c r="A113">
        <v>4</v>
      </c>
      <c r="B113" s="4">
        <f>150*A113+50</f>
        <v>650</v>
      </c>
      <c r="C113">
        <f t="shared" si="52"/>
        <v>195</v>
      </c>
      <c r="D113">
        <f t="shared" si="53"/>
        <v>21</v>
      </c>
      <c r="E113" s="2">
        <v>0</v>
      </c>
      <c r="F113">
        <f t="shared" si="54"/>
        <v>24</v>
      </c>
      <c r="G113">
        <f t="shared" si="55"/>
        <v>0.67300000000000004</v>
      </c>
      <c r="H113" s="3">
        <f t="shared" si="60"/>
        <v>0.05</v>
      </c>
      <c r="I113" s="2">
        <v>2</v>
      </c>
      <c r="J113" s="2">
        <v>0</v>
      </c>
      <c r="K113" s="2">
        <v>1</v>
      </c>
      <c r="L113" s="16">
        <v>2</v>
      </c>
      <c r="M113" s="5">
        <f t="shared" si="56"/>
        <v>330</v>
      </c>
      <c r="N113" s="6">
        <f t="shared" si="57"/>
        <v>16.959600000000002</v>
      </c>
      <c r="O113">
        <f t="shared" si="58"/>
        <v>235.95</v>
      </c>
      <c r="P113" s="7">
        <f t="shared" si="61"/>
        <v>13.912474350810159</v>
      </c>
      <c r="Q113">
        <f>ROUNDUP(몬스터!$P$5/F113, 0)</f>
        <v>6</v>
      </c>
      <c r="R113" s="6">
        <f t="shared" si="59"/>
        <v>8.9153046062407135</v>
      </c>
      <c r="S113" s="7">
        <f>B113/몬스터!$C$5*R113</f>
        <v>193.16493313521548</v>
      </c>
      <c r="U113">
        <f>ROUNDDOWN(R113*몬스터!$H$5, 0)*몬스터!$G$5*(1+몬스터!$I$5)</f>
        <v>31.5</v>
      </c>
      <c r="V113" s="2">
        <f t="shared" si="62"/>
        <v>0.13350286077558807</v>
      </c>
    </row>
    <row r="114" spans="1:22" x14ac:dyDescent="0.4">
      <c r="A114">
        <v>5</v>
      </c>
      <c r="B114" s="4">
        <f>150*A114+75</f>
        <v>825</v>
      </c>
      <c r="C114">
        <f t="shared" si="52"/>
        <v>205</v>
      </c>
      <c r="D114">
        <f t="shared" si="53"/>
        <v>21</v>
      </c>
      <c r="E114" s="2">
        <v>0</v>
      </c>
      <c r="F114">
        <f t="shared" si="54"/>
        <v>25</v>
      </c>
      <c r="G114">
        <f t="shared" si="55"/>
        <v>0.67500000000000004</v>
      </c>
      <c r="H114" s="3">
        <f t="shared" si="60"/>
        <v>0.05</v>
      </c>
      <c r="I114" s="2">
        <v>2</v>
      </c>
      <c r="J114" s="2">
        <v>0</v>
      </c>
      <c r="K114" s="2">
        <v>1</v>
      </c>
      <c r="L114" s="16">
        <v>2</v>
      </c>
      <c r="M114" s="5">
        <f t="shared" si="56"/>
        <v>340</v>
      </c>
      <c r="N114" s="6">
        <f t="shared" si="57"/>
        <v>17.71875</v>
      </c>
      <c r="O114">
        <f t="shared" si="58"/>
        <v>248.04999999999998</v>
      </c>
      <c r="P114" s="7">
        <f t="shared" si="61"/>
        <v>13.999294532627864</v>
      </c>
      <c r="Q114">
        <f>ROUNDUP(몬스터!$P$5/F114, 0)</f>
        <v>6</v>
      </c>
      <c r="R114" s="6">
        <f t="shared" si="59"/>
        <v>8.8888888888888875</v>
      </c>
      <c r="S114" s="7">
        <f>B114/몬스터!$C$5*R114</f>
        <v>244.4444444444444</v>
      </c>
      <c r="T114" s="7">
        <f>SUM(S110:S114)</f>
        <v>728.84508937697933</v>
      </c>
      <c r="U114">
        <f>ROUNDDOWN(R114*몬스터!$H$5, 0)*몬스터!$G$5*(1+몬스터!$I$5)</f>
        <v>31.5</v>
      </c>
      <c r="V114" s="2">
        <f t="shared" si="62"/>
        <v>0.12699052610360814</v>
      </c>
    </row>
    <row r="115" spans="1:22" x14ac:dyDescent="0.4">
      <c r="A115">
        <v>6</v>
      </c>
      <c r="B115" s="4">
        <f>150*A115</f>
        <v>900</v>
      </c>
      <c r="C115">
        <f t="shared" si="52"/>
        <v>215</v>
      </c>
      <c r="D115">
        <f t="shared" si="53"/>
        <v>21</v>
      </c>
      <c r="E115" s="2">
        <v>0</v>
      </c>
      <c r="F115">
        <f t="shared" si="54"/>
        <v>27</v>
      </c>
      <c r="G115">
        <f t="shared" si="55"/>
        <v>0.67700000000000005</v>
      </c>
      <c r="H115" s="3">
        <f t="shared" si="60"/>
        <v>0.05</v>
      </c>
      <c r="I115" s="2">
        <v>2</v>
      </c>
      <c r="J115" s="2">
        <v>0</v>
      </c>
      <c r="K115" s="2">
        <v>1</v>
      </c>
      <c r="L115" s="16">
        <v>2</v>
      </c>
      <c r="M115" s="5">
        <f t="shared" si="56"/>
        <v>350</v>
      </c>
      <c r="N115" s="6">
        <f t="shared" si="57"/>
        <v>19.19295</v>
      </c>
      <c r="O115">
        <f t="shared" si="58"/>
        <v>260.14999999999998</v>
      </c>
      <c r="P115" s="7">
        <f t="shared" si="61"/>
        <v>13.554456193550235</v>
      </c>
      <c r="Q115">
        <f>ROUNDUP(몬스터!$P$6/F115, 0)</f>
        <v>9</v>
      </c>
      <c r="R115" s="6">
        <f t="shared" si="59"/>
        <v>13.29394387001477</v>
      </c>
      <c r="S115" s="7">
        <f>B115/몬스터!$C$6*R115</f>
        <v>149.55686853766616</v>
      </c>
      <c r="U115">
        <f>ROUNDDOWN(R115*몬스터!$H$6, 0)*몬스터!$G$6*(1+몬스터!$I$6)</f>
        <v>109.98000000000002</v>
      </c>
      <c r="V115" s="2">
        <f t="shared" si="62"/>
        <v>0.4227561022487028</v>
      </c>
    </row>
    <row r="116" spans="1:22" x14ac:dyDescent="0.4">
      <c r="A116">
        <v>7</v>
      </c>
      <c r="B116" s="4">
        <f>150*A116</f>
        <v>1050</v>
      </c>
      <c r="C116">
        <f t="shared" si="52"/>
        <v>225</v>
      </c>
      <c r="D116">
        <f t="shared" si="53"/>
        <v>22</v>
      </c>
      <c r="E116" s="2">
        <v>0</v>
      </c>
      <c r="F116">
        <f t="shared" si="54"/>
        <v>28</v>
      </c>
      <c r="G116">
        <f t="shared" si="55"/>
        <v>0.67900000000000005</v>
      </c>
      <c r="H116" s="3">
        <f t="shared" si="60"/>
        <v>0.05</v>
      </c>
      <c r="I116" s="2">
        <v>2</v>
      </c>
      <c r="J116" s="2">
        <v>0</v>
      </c>
      <c r="K116" s="2">
        <v>1</v>
      </c>
      <c r="L116" s="16">
        <v>2</v>
      </c>
      <c r="M116" s="5">
        <f t="shared" si="56"/>
        <v>360</v>
      </c>
      <c r="N116" s="6">
        <f t="shared" si="57"/>
        <v>19.962600000000002</v>
      </c>
      <c r="O116">
        <f t="shared" si="58"/>
        <v>274.5</v>
      </c>
      <c r="P116" s="7">
        <f t="shared" si="61"/>
        <v>13.750713834871208</v>
      </c>
      <c r="Q116">
        <f>ROUNDUP(몬스터!$P$6/F116, 0)</f>
        <v>8</v>
      </c>
      <c r="R116" s="6">
        <f t="shared" si="59"/>
        <v>11.782032400589101</v>
      </c>
      <c r="S116" s="7">
        <f>B116/몬스터!$C$6*R116</f>
        <v>154.63917525773195</v>
      </c>
      <c r="U116">
        <f>ROUNDDOWN(R116*몬스터!$H$6, 0)*몬스터!$G$6*(1+몬스터!$I$6)</f>
        <v>96.232500000000016</v>
      </c>
      <c r="V116" s="2">
        <f t="shared" si="62"/>
        <v>0.35057377049180333</v>
      </c>
    </row>
    <row r="117" spans="1:22" x14ac:dyDescent="0.4">
      <c r="A117">
        <v>8</v>
      </c>
      <c r="B117" s="4">
        <f>150*A117+50</f>
        <v>1250</v>
      </c>
      <c r="C117">
        <f t="shared" si="52"/>
        <v>240</v>
      </c>
      <c r="D117">
        <f t="shared" si="53"/>
        <v>22</v>
      </c>
      <c r="E117" s="2">
        <v>0</v>
      </c>
      <c r="F117">
        <f t="shared" si="54"/>
        <v>29</v>
      </c>
      <c r="G117">
        <f t="shared" si="55"/>
        <v>0.68100000000000005</v>
      </c>
      <c r="H117" s="3">
        <f t="shared" si="60"/>
        <v>0.05</v>
      </c>
      <c r="I117" s="2">
        <v>2</v>
      </c>
      <c r="J117" s="2">
        <v>0</v>
      </c>
      <c r="K117" s="2">
        <v>1</v>
      </c>
      <c r="L117" s="16">
        <v>2</v>
      </c>
      <c r="M117" s="5">
        <f t="shared" si="56"/>
        <v>370</v>
      </c>
      <c r="N117" s="6">
        <f t="shared" si="57"/>
        <v>20.736450000000005</v>
      </c>
      <c r="O117">
        <f t="shared" si="58"/>
        <v>292.8</v>
      </c>
      <c r="P117" s="7">
        <f t="shared" si="61"/>
        <v>14.120063945371554</v>
      </c>
      <c r="Q117">
        <f>ROUNDUP(몬스터!$P$6/F117, 0)</f>
        <v>8</v>
      </c>
      <c r="R117" s="6">
        <f t="shared" si="59"/>
        <v>11.747430249632892</v>
      </c>
      <c r="S117" s="7">
        <f>B117/몬스터!$C$6*R117</f>
        <v>183.55359765051392</v>
      </c>
      <c r="U117">
        <f>ROUNDDOWN(R117*몬스터!$H$6, 0)*몬스터!$G$6*(1+몬스터!$I$6)</f>
        <v>96.232500000000016</v>
      </c>
      <c r="V117" s="2">
        <f t="shared" si="62"/>
        <v>0.32866290983606561</v>
      </c>
    </row>
    <row r="118" spans="1:22" x14ac:dyDescent="0.4">
      <c r="A118">
        <v>9</v>
      </c>
      <c r="B118" s="4">
        <f>150*A118+50</f>
        <v>1400</v>
      </c>
      <c r="C118">
        <f t="shared" si="52"/>
        <v>250</v>
      </c>
      <c r="D118">
        <f t="shared" si="53"/>
        <v>22</v>
      </c>
      <c r="E118" s="2">
        <v>0</v>
      </c>
      <c r="F118">
        <f t="shared" si="54"/>
        <v>31</v>
      </c>
      <c r="G118">
        <f t="shared" si="55"/>
        <v>0.68300000000000005</v>
      </c>
      <c r="H118" s="3">
        <f t="shared" si="60"/>
        <v>0.05</v>
      </c>
      <c r="I118" s="2">
        <v>2</v>
      </c>
      <c r="J118" s="2">
        <v>0</v>
      </c>
      <c r="K118" s="2">
        <v>1</v>
      </c>
      <c r="L118" s="16">
        <v>2</v>
      </c>
      <c r="M118" s="5">
        <f t="shared" si="56"/>
        <v>380</v>
      </c>
      <c r="N118" s="6">
        <f t="shared" si="57"/>
        <v>22.231650000000002</v>
      </c>
      <c r="O118">
        <f t="shared" si="58"/>
        <v>305</v>
      </c>
      <c r="P118" s="7">
        <f t="shared" si="61"/>
        <v>13.719179638038561</v>
      </c>
      <c r="Q118">
        <f>ROUNDUP(몬스터!$P$6/F118, 0)</f>
        <v>8</v>
      </c>
      <c r="R118" s="6">
        <f t="shared" si="59"/>
        <v>11.713030746705709</v>
      </c>
      <c r="S118" s="7">
        <f>B118/몬스터!$C$6*R118</f>
        <v>204.9780380673499</v>
      </c>
      <c r="U118">
        <f>ROUNDDOWN(R118*몬스터!$H$6, 0)*몬스터!$G$6*(1+몬스터!$I$6)</f>
        <v>96.232500000000016</v>
      </c>
      <c r="V118" s="2">
        <f t="shared" si="62"/>
        <v>0.315516393442623</v>
      </c>
    </row>
    <row r="119" spans="1:22" x14ac:dyDescent="0.4">
      <c r="A119">
        <v>10</v>
      </c>
      <c r="B119" s="4">
        <f>150*A119+50</f>
        <v>1550</v>
      </c>
      <c r="C119">
        <f t="shared" si="52"/>
        <v>260</v>
      </c>
      <c r="D119">
        <f t="shared" si="53"/>
        <v>23</v>
      </c>
      <c r="E119" s="2">
        <v>0</v>
      </c>
      <c r="F119">
        <f t="shared" si="54"/>
        <v>32</v>
      </c>
      <c r="G119">
        <f t="shared" si="55"/>
        <v>0.68500000000000005</v>
      </c>
      <c r="H119" s="3">
        <f t="shared" si="60"/>
        <v>0.05</v>
      </c>
      <c r="I119" s="2">
        <v>2</v>
      </c>
      <c r="J119" s="2">
        <v>0</v>
      </c>
      <c r="K119" s="2">
        <v>1</v>
      </c>
      <c r="L119" s="16">
        <v>2</v>
      </c>
      <c r="M119" s="5">
        <f t="shared" si="56"/>
        <v>390</v>
      </c>
      <c r="N119" s="6">
        <f t="shared" si="57"/>
        <v>23.016000000000002</v>
      </c>
      <c r="O119">
        <f t="shared" si="58"/>
        <v>319.8</v>
      </c>
      <c r="P119" s="7">
        <f t="shared" si="61"/>
        <v>13.89468196037539</v>
      </c>
      <c r="Q119">
        <f>ROUNDUP(몬스터!$P$6/F119, 0)</f>
        <v>7</v>
      </c>
      <c r="R119" s="6">
        <f t="shared" si="59"/>
        <v>10.21897810218978</v>
      </c>
      <c r="S119" s="7">
        <f>B119/몬스터!$C$6*R119</f>
        <v>197.99270072992698</v>
      </c>
      <c r="T119" s="7">
        <f>SUM(S115:S119)</f>
        <v>890.72038024318886</v>
      </c>
      <c r="U119">
        <f>ROUNDDOWN(R119*몬스터!$H$6, 0)*몬스터!$G$6*(1+몬스터!$I$6)</f>
        <v>82.485000000000014</v>
      </c>
      <c r="V119" s="2">
        <f t="shared" si="62"/>
        <v>0.25792682926829269</v>
      </c>
    </row>
    <row r="120" spans="1:22" x14ac:dyDescent="0.4">
      <c r="A120">
        <v>11</v>
      </c>
      <c r="B120" s="4">
        <f>160*A120</f>
        <v>1760</v>
      </c>
      <c r="C120">
        <f t="shared" si="52"/>
        <v>270</v>
      </c>
      <c r="D120">
        <f t="shared" si="53"/>
        <v>23</v>
      </c>
      <c r="E120" s="2">
        <v>0</v>
      </c>
      <c r="F120">
        <f t="shared" si="54"/>
        <v>33</v>
      </c>
      <c r="G120">
        <f t="shared" si="55"/>
        <v>0.68700000000000006</v>
      </c>
      <c r="H120" s="3">
        <f t="shared" si="60"/>
        <v>0.05</v>
      </c>
      <c r="I120" s="2">
        <v>2</v>
      </c>
      <c r="J120" s="2">
        <v>0</v>
      </c>
      <c r="K120" s="2">
        <v>1</v>
      </c>
      <c r="L120" s="16">
        <v>2</v>
      </c>
      <c r="M120" s="5">
        <f t="shared" si="56"/>
        <v>400</v>
      </c>
      <c r="N120" s="6">
        <f t="shared" si="57"/>
        <v>23.804550000000003</v>
      </c>
      <c r="O120">
        <f t="shared" si="58"/>
        <v>332.1</v>
      </c>
      <c r="P120" s="7">
        <f t="shared" si="61"/>
        <v>13.951114387795609</v>
      </c>
      <c r="Q120">
        <f>ROUNDUP(몬스터!$P$7/F120, 0)</f>
        <v>8</v>
      </c>
      <c r="R120" s="6">
        <f t="shared" si="59"/>
        <v>11.644832605531295</v>
      </c>
      <c r="S120" s="7">
        <f>B120/몬스터!$C$7*R120</f>
        <v>157.6531183518083</v>
      </c>
      <c r="U120">
        <f>ROUNDDOWN(R120*몬스터!$H$7, 0)*몬스터!$G$7*(1+몬스터!$I$7)</f>
        <v>156.55499999999998</v>
      </c>
      <c r="V120" s="2">
        <f t="shared" si="62"/>
        <v>0.47140921409214082</v>
      </c>
    </row>
    <row r="121" spans="1:22" x14ac:dyDescent="0.4">
      <c r="A121">
        <v>12</v>
      </c>
      <c r="B121" s="4">
        <f>160*A121</f>
        <v>1920</v>
      </c>
      <c r="C121">
        <f t="shared" si="52"/>
        <v>280</v>
      </c>
      <c r="D121">
        <f t="shared" si="53"/>
        <v>23</v>
      </c>
      <c r="E121" s="2">
        <v>0</v>
      </c>
      <c r="F121">
        <f t="shared" si="54"/>
        <v>35</v>
      </c>
      <c r="G121">
        <f t="shared" si="55"/>
        <v>0.68900000000000006</v>
      </c>
      <c r="H121" s="3">
        <f t="shared" si="60"/>
        <v>0.05</v>
      </c>
      <c r="I121" s="2">
        <v>2</v>
      </c>
      <c r="J121" s="2">
        <v>0</v>
      </c>
      <c r="K121" s="2">
        <v>1</v>
      </c>
      <c r="L121" s="16">
        <v>2</v>
      </c>
      <c r="M121" s="5">
        <f t="shared" si="56"/>
        <v>410</v>
      </c>
      <c r="N121" s="6">
        <f t="shared" si="57"/>
        <v>25.320750000000004</v>
      </c>
      <c r="O121">
        <f t="shared" si="58"/>
        <v>344.4</v>
      </c>
      <c r="P121" s="7">
        <f t="shared" si="61"/>
        <v>13.601492846775862</v>
      </c>
      <c r="Q121">
        <f>ROUNDUP(몬스터!$P$7/F121, 0)</f>
        <v>8</v>
      </c>
      <c r="R121" s="6">
        <f t="shared" si="59"/>
        <v>11.611030478955007</v>
      </c>
      <c r="S121" s="7">
        <f>B121/몬스터!$C$7*R121</f>
        <v>171.48598861225858</v>
      </c>
      <c r="U121">
        <f>ROUNDDOWN(R121*몬스터!$H$7, 0)*몬스터!$G$7*(1+몬스터!$I$7)</f>
        <v>156.55499999999998</v>
      </c>
      <c r="V121" s="2">
        <f t="shared" si="62"/>
        <v>0.45457317073170728</v>
      </c>
    </row>
    <row r="122" spans="1:22" x14ac:dyDescent="0.4">
      <c r="A122">
        <v>13</v>
      </c>
      <c r="B122" s="4">
        <f>160*A122+40</f>
        <v>2120</v>
      </c>
      <c r="C122">
        <f t="shared" si="52"/>
        <v>295</v>
      </c>
      <c r="D122">
        <f t="shared" si="53"/>
        <v>23</v>
      </c>
      <c r="E122" s="2">
        <v>0</v>
      </c>
      <c r="F122">
        <f t="shared" si="54"/>
        <v>36</v>
      </c>
      <c r="G122">
        <f t="shared" si="55"/>
        <v>0.69100000000000006</v>
      </c>
      <c r="H122" s="3">
        <f t="shared" si="60"/>
        <v>0.05</v>
      </c>
      <c r="I122" s="2">
        <v>2</v>
      </c>
      <c r="J122" s="2">
        <v>0</v>
      </c>
      <c r="K122" s="2">
        <v>1</v>
      </c>
      <c r="L122" s="16">
        <v>2</v>
      </c>
      <c r="M122" s="5">
        <f t="shared" si="56"/>
        <v>420</v>
      </c>
      <c r="N122" s="6">
        <f t="shared" si="57"/>
        <v>26.119800000000001</v>
      </c>
      <c r="O122">
        <f t="shared" si="58"/>
        <v>362.85</v>
      </c>
      <c r="P122" s="7">
        <f t="shared" si="61"/>
        <v>13.891760273815267</v>
      </c>
      <c r="Q122">
        <f>ROUNDUP(몬스터!$P$7/F122, 0)</f>
        <v>8</v>
      </c>
      <c r="R122" s="6">
        <f t="shared" si="59"/>
        <v>11.577424023154848</v>
      </c>
      <c r="S122" s="7">
        <f>B122/몬스터!$C$7*R122</f>
        <v>188.80106868529441</v>
      </c>
      <c r="U122">
        <f>ROUNDDOWN(R122*몬스터!$H$7, 0)*몬스터!$G$7*(1+몬스터!$I$7)</f>
        <v>156.55499999999998</v>
      </c>
      <c r="V122" s="2">
        <f t="shared" si="62"/>
        <v>0.43145928069450179</v>
      </c>
    </row>
    <row r="123" spans="1:22" x14ac:dyDescent="0.4">
      <c r="A123">
        <v>14</v>
      </c>
      <c r="B123" s="4">
        <f>160*A123+120</f>
        <v>2360</v>
      </c>
      <c r="C123">
        <f t="shared" si="52"/>
        <v>305</v>
      </c>
      <c r="D123">
        <f t="shared" si="53"/>
        <v>24</v>
      </c>
      <c r="E123" s="2">
        <v>0</v>
      </c>
      <c r="F123">
        <f t="shared" si="54"/>
        <v>37</v>
      </c>
      <c r="G123">
        <f t="shared" si="55"/>
        <v>0.69300000000000006</v>
      </c>
      <c r="H123" s="3">
        <f t="shared" si="60"/>
        <v>0.05</v>
      </c>
      <c r="I123" s="2">
        <v>2</v>
      </c>
      <c r="J123" s="2">
        <v>0</v>
      </c>
      <c r="K123" s="2">
        <v>1</v>
      </c>
      <c r="L123" s="16">
        <v>2</v>
      </c>
      <c r="M123" s="5">
        <f t="shared" si="56"/>
        <v>430</v>
      </c>
      <c r="N123" s="6">
        <f t="shared" si="57"/>
        <v>26.923050000000003</v>
      </c>
      <c r="O123">
        <f t="shared" si="58"/>
        <v>378.2</v>
      </c>
      <c r="P123" s="7">
        <f t="shared" si="61"/>
        <v>14.047442618871187</v>
      </c>
      <c r="Q123">
        <f>ROUNDUP(몬스터!$P$7/F123, 0)</f>
        <v>7</v>
      </c>
      <c r="R123" s="6">
        <f t="shared" si="59"/>
        <v>10.1010101010101</v>
      </c>
      <c r="S123" s="7">
        <f>B123/몬스터!$C$7*R123</f>
        <v>183.37218337218334</v>
      </c>
      <c r="U123">
        <f>ROUNDDOWN(R123*몬스터!$H$7, 0)*몬스터!$G$7*(1+몬스터!$I$7)</f>
        <v>134.19</v>
      </c>
      <c r="V123" s="2">
        <f t="shared" si="62"/>
        <v>0.35481226864093074</v>
      </c>
    </row>
    <row r="124" spans="1:22" x14ac:dyDescent="0.4">
      <c r="A124">
        <v>15</v>
      </c>
      <c r="B124" s="4">
        <f>160*A124+100</f>
        <v>2500</v>
      </c>
      <c r="C124">
        <f t="shared" si="52"/>
        <v>315</v>
      </c>
      <c r="D124">
        <f t="shared" si="53"/>
        <v>24</v>
      </c>
      <c r="E124" s="2">
        <v>0</v>
      </c>
      <c r="F124">
        <f t="shared" si="54"/>
        <v>39</v>
      </c>
      <c r="G124">
        <f t="shared" si="55"/>
        <v>0.69500000000000006</v>
      </c>
      <c r="H124" s="3">
        <f t="shared" si="60"/>
        <v>0.05</v>
      </c>
      <c r="I124" s="2">
        <v>2</v>
      </c>
      <c r="J124" s="2">
        <v>0</v>
      </c>
      <c r="K124" s="2">
        <v>1</v>
      </c>
      <c r="L124" s="16">
        <v>2</v>
      </c>
      <c r="M124" s="5">
        <f t="shared" si="56"/>
        <v>440</v>
      </c>
      <c r="N124" s="6">
        <f t="shared" si="57"/>
        <v>28.460250000000006</v>
      </c>
      <c r="O124">
        <f t="shared" si="58"/>
        <v>390.6</v>
      </c>
      <c r="P124" s="7">
        <f t="shared" si="61"/>
        <v>13.724405091311564</v>
      </c>
      <c r="Q124">
        <f>ROUNDUP(몬스터!$P$7/F124, 0)</f>
        <v>7</v>
      </c>
      <c r="R124" s="6">
        <f t="shared" si="59"/>
        <v>10.071942446043165</v>
      </c>
      <c r="S124" s="7">
        <f>B124/몬스터!$C$7*R124</f>
        <v>193.69120088544548</v>
      </c>
      <c r="T124" s="7">
        <f t="shared" ref="T124" si="63">SUM(S120:S124)</f>
        <v>895.00355990699006</v>
      </c>
      <c r="U124">
        <f>ROUNDDOWN(R124*몬스터!$H$7, 0)*몬스터!$G$7*(1+몬스터!$I$7)</f>
        <v>134.19</v>
      </c>
      <c r="V124" s="2">
        <f t="shared" si="62"/>
        <v>0.34354838709677415</v>
      </c>
    </row>
    <row r="125" spans="1:22" x14ac:dyDescent="0.4">
      <c r="A125">
        <v>16</v>
      </c>
      <c r="B125" s="4">
        <f>160*A125</f>
        <v>2560</v>
      </c>
      <c r="C125">
        <f t="shared" si="52"/>
        <v>325</v>
      </c>
      <c r="D125">
        <f t="shared" si="53"/>
        <v>24</v>
      </c>
      <c r="E125" s="2">
        <v>0</v>
      </c>
      <c r="F125">
        <f t="shared" si="54"/>
        <v>40</v>
      </c>
      <c r="G125">
        <f t="shared" si="55"/>
        <v>0.69700000000000006</v>
      </c>
      <c r="H125" s="3">
        <f t="shared" si="60"/>
        <v>0.05</v>
      </c>
      <c r="I125" s="2">
        <v>2</v>
      </c>
      <c r="J125" s="2">
        <v>0</v>
      </c>
      <c r="K125" s="2">
        <v>1</v>
      </c>
      <c r="L125" s="16">
        <v>2</v>
      </c>
      <c r="M125" s="5">
        <f t="shared" si="56"/>
        <v>450</v>
      </c>
      <c r="N125" s="6">
        <f t="shared" si="57"/>
        <v>29.274000000000004</v>
      </c>
      <c r="O125">
        <f t="shared" si="58"/>
        <v>403</v>
      </c>
      <c r="P125" s="7">
        <f t="shared" si="61"/>
        <v>13.76648220263715</v>
      </c>
      <c r="Q125">
        <f>ROUNDUP(몬스터!$P$8/F125, 0)</f>
        <v>9</v>
      </c>
      <c r="R125" s="6">
        <f t="shared" si="59"/>
        <v>12.91248206599713</v>
      </c>
      <c r="S125" s="7">
        <f>B125/몬스터!$C$8*R125</f>
        <v>183.64418938307028</v>
      </c>
      <c r="U125">
        <f>ROUNDDOWN(R125*몬스터!$H$8, 0)*몬스터!$G$8*(1+몬스터!$I$8)</f>
        <v>240.24</v>
      </c>
      <c r="V125" s="2">
        <f t="shared" si="62"/>
        <v>0.59612903225806457</v>
      </c>
    </row>
    <row r="126" spans="1:22" x14ac:dyDescent="0.4">
      <c r="A126">
        <v>17</v>
      </c>
      <c r="B126" s="4">
        <f>160*A126</f>
        <v>2720</v>
      </c>
      <c r="C126">
        <f t="shared" si="52"/>
        <v>335</v>
      </c>
      <c r="D126">
        <f t="shared" si="53"/>
        <v>25</v>
      </c>
      <c r="E126" s="2">
        <v>0</v>
      </c>
      <c r="F126">
        <f t="shared" si="54"/>
        <v>41</v>
      </c>
      <c r="G126">
        <f t="shared" si="55"/>
        <v>0.69900000000000007</v>
      </c>
      <c r="H126" s="3">
        <f t="shared" si="60"/>
        <v>0.05</v>
      </c>
      <c r="I126" s="2">
        <v>2</v>
      </c>
      <c r="J126" s="2">
        <v>0</v>
      </c>
      <c r="K126" s="2">
        <v>1</v>
      </c>
      <c r="L126" s="16">
        <v>2</v>
      </c>
      <c r="M126" s="5">
        <f t="shared" si="56"/>
        <v>460</v>
      </c>
      <c r="N126" s="6">
        <f t="shared" si="57"/>
        <v>30.091950000000004</v>
      </c>
      <c r="O126">
        <f t="shared" si="58"/>
        <v>418.75</v>
      </c>
      <c r="P126" s="7">
        <f t="shared" si="61"/>
        <v>13.915681768712229</v>
      </c>
      <c r="Q126">
        <f>ROUNDUP(몬스터!$P$8/F126, 0)</f>
        <v>9</v>
      </c>
      <c r="R126" s="6">
        <f t="shared" si="59"/>
        <v>12.875536480686694</v>
      </c>
      <c r="S126" s="7">
        <f>B126/몬스터!$C$8*R126</f>
        <v>194.56366237482115</v>
      </c>
      <c r="U126">
        <f>ROUNDDOWN(R126*몬스터!$H$8, 0)*몬스터!$G$8*(1+몬스터!$I$8)</f>
        <v>240.24</v>
      </c>
      <c r="V126" s="2">
        <f t="shared" si="62"/>
        <v>0.57370746268656714</v>
      </c>
    </row>
    <row r="127" spans="1:22" x14ac:dyDescent="0.4">
      <c r="A127">
        <v>18</v>
      </c>
      <c r="B127" s="4">
        <f>160*A127</f>
        <v>2880</v>
      </c>
      <c r="C127">
        <f t="shared" si="52"/>
        <v>350</v>
      </c>
      <c r="D127">
        <f t="shared" si="53"/>
        <v>25</v>
      </c>
      <c r="E127" s="2">
        <v>0</v>
      </c>
      <c r="F127">
        <f t="shared" si="54"/>
        <v>43</v>
      </c>
      <c r="G127">
        <f t="shared" si="55"/>
        <v>0.70100000000000007</v>
      </c>
      <c r="H127" s="3">
        <f t="shared" si="60"/>
        <v>0.05</v>
      </c>
      <c r="I127" s="2">
        <v>2</v>
      </c>
      <c r="J127" s="2">
        <v>0</v>
      </c>
      <c r="K127" s="2">
        <v>1</v>
      </c>
      <c r="L127" s="16">
        <v>2</v>
      </c>
      <c r="M127" s="5">
        <f t="shared" si="56"/>
        <v>470</v>
      </c>
      <c r="N127" s="6">
        <f t="shared" si="57"/>
        <v>31.650150000000007</v>
      </c>
      <c r="O127">
        <f t="shared" si="58"/>
        <v>437.5</v>
      </c>
      <c r="P127" s="7">
        <f t="shared" si="61"/>
        <v>13.822999259087236</v>
      </c>
      <c r="Q127">
        <f>ROUNDUP(몬스터!$P$8/F127, 0)</f>
        <v>8</v>
      </c>
      <c r="R127" s="6">
        <f t="shared" si="59"/>
        <v>11.412268188302424</v>
      </c>
      <c r="S127" s="7">
        <f>B127/몬스터!$C$8*R127</f>
        <v>182.59629101283878</v>
      </c>
      <c r="U127">
        <f>ROUNDDOWN(R127*몬스터!$H$8, 0)*몬스터!$G$8*(1+몬스터!$I$8)</f>
        <v>210.21</v>
      </c>
      <c r="V127" s="2">
        <f t="shared" si="62"/>
        <v>0.48048000000000002</v>
      </c>
    </row>
    <row r="128" spans="1:22" x14ac:dyDescent="0.4">
      <c r="A128">
        <v>19</v>
      </c>
      <c r="B128" s="4">
        <f>160*A128</f>
        <v>3040</v>
      </c>
      <c r="C128">
        <f t="shared" si="52"/>
        <v>360</v>
      </c>
      <c r="D128">
        <f t="shared" si="53"/>
        <v>25</v>
      </c>
      <c r="E128" s="2">
        <v>0</v>
      </c>
      <c r="F128">
        <f t="shared" si="54"/>
        <v>44</v>
      </c>
      <c r="G128">
        <f t="shared" si="55"/>
        <v>0.70300000000000007</v>
      </c>
      <c r="H128" s="3">
        <f t="shared" si="60"/>
        <v>0.05</v>
      </c>
      <c r="I128" s="2">
        <v>2</v>
      </c>
      <c r="J128" s="2">
        <v>0</v>
      </c>
      <c r="K128" s="2">
        <v>1</v>
      </c>
      <c r="L128" s="16">
        <v>2</v>
      </c>
      <c r="M128" s="5">
        <f t="shared" si="56"/>
        <v>480</v>
      </c>
      <c r="N128" s="6">
        <f t="shared" si="57"/>
        <v>32.4786</v>
      </c>
      <c r="O128">
        <f t="shared" si="58"/>
        <v>450</v>
      </c>
      <c r="P128" s="7">
        <f t="shared" si="61"/>
        <v>13.855277013171749</v>
      </c>
      <c r="Q128">
        <f>ROUNDUP(몬스터!$P$8/F128, 0)</f>
        <v>8</v>
      </c>
      <c r="R128" s="6">
        <f t="shared" si="59"/>
        <v>11.379800853485063</v>
      </c>
      <c r="S128" s="7">
        <f>B128/몬스터!$C$8*R128</f>
        <v>192.19219219219218</v>
      </c>
      <c r="U128">
        <f>ROUNDDOWN(R128*몬스터!$H$8, 0)*몬스터!$G$8*(1+몬스터!$I$8)</f>
        <v>210.21</v>
      </c>
      <c r="V128" s="2">
        <f t="shared" si="62"/>
        <v>0.46713333333333334</v>
      </c>
    </row>
    <row r="129" spans="1:22" x14ac:dyDescent="0.4">
      <c r="A129">
        <v>20</v>
      </c>
      <c r="B129" s="4">
        <f>160*A129+80</f>
        <v>3280</v>
      </c>
      <c r="C129">
        <f t="shared" si="52"/>
        <v>370</v>
      </c>
      <c r="D129">
        <f t="shared" si="53"/>
        <v>26</v>
      </c>
      <c r="E129" s="2">
        <v>0</v>
      </c>
      <c r="F129">
        <f t="shared" si="54"/>
        <v>45</v>
      </c>
      <c r="G129">
        <f t="shared" si="55"/>
        <v>0.70500000000000007</v>
      </c>
      <c r="H129" s="3">
        <f t="shared" si="60"/>
        <v>0.05</v>
      </c>
      <c r="I129" s="2">
        <v>2</v>
      </c>
      <c r="J129" s="2">
        <v>0</v>
      </c>
      <c r="K129" s="2">
        <v>1</v>
      </c>
      <c r="L129" s="16">
        <v>2</v>
      </c>
      <c r="M129" s="5">
        <f t="shared" si="56"/>
        <v>490</v>
      </c>
      <c r="N129" s="6">
        <f t="shared" si="57"/>
        <v>33.311250000000001</v>
      </c>
      <c r="O129">
        <f t="shared" si="58"/>
        <v>466.2</v>
      </c>
      <c r="P129" s="7">
        <f t="shared" si="61"/>
        <v>13.995271867612292</v>
      </c>
      <c r="Q129">
        <f>ROUNDUP(몬스터!$P$8/F129, 0)</f>
        <v>8</v>
      </c>
      <c r="R129" s="6">
        <f t="shared" si="59"/>
        <v>11.347517730496453</v>
      </c>
      <c r="S129" s="7">
        <f>B129/몬스터!$C$8*R129</f>
        <v>206.77698975571312</v>
      </c>
      <c r="T129" s="7">
        <f t="shared" ref="T129" si="64">SUM(S125:S129)</f>
        <v>959.77332471863554</v>
      </c>
      <c r="U129">
        <f>ROUNDDOWN(R129*몬스터!$H$8, 0)*몬스터!$G$8*(1+몬스터!$I$8)</f>
        <v>210.21</v>
      </c>
      <c r="V129" s="2">
        <f t="shared" si="62"/>
        <v>0.4509009009009009</v>
      </c>
    </row>
    <row r="130" spans="1:22" x14ac:dyDescent="0.4">
      <c r="A130">
        <v>21</v>
      </c>
      <c r="B130" s="4">
        <f>160*A130</f>
        <v>3360</v>
      </c>
      <c r="C130">
        <f t="shared" si="52"/>
        <v>380</v>
      </c>
      <c r="D130">
        <f t="shared" si="53"/>
        <v>26</v>
      </c>
      <c r="E130" s="2">
        <v>0</v>
      </c>
      <c r="F130">
        <f t="shared" si="54"/>
        <v>47</v>
      </c>
      <c r="G130">
        <f t="shared" si="55"/>
        <v>0.70700000000000007</v>
      </c>
      <c r="H130" s="3">
        <f t="shared" si="60"/>
        <v>0.05</v>
      </c>
      <c r="I130" s="2">
        <v>2</v>
      </c>
      <c r="J130" s="2">
        <v>0</v>
      </c>
      <c r="K130" s="2">
        <v>1</v>
      </c>
      <c r="L130" s="16">
        <v>2</v>
      </c>
      <c r="M130" s="5">
        <f t="shared" si="56"/>
        <v>500</v>
      </c>
      <c r="N130" s="6">
        <f t="shared" si="57"/>
        <v>34.890450000000008</v>
      </c>
      <c r="O130">
        <f t="shared" si="58"/>
        <v>478.8</v>
      </c>
      <c r="P130" s="7">
        <f t="shared" si="61"/>
        <v>13.722952842396699</v>
      </c>
      <c r="Q130">
        <f>ROUNDUP(몬스터!$P$11/F130, 0)</f>
        <v>10</v>
      </c>
      <c r="R130" s="6">
        <f t="shared" si="59"/>
        <v>14.144271570014142</v>
      </c>
      <c r="S130" s="7">
        <f>B130/몬스터!$C$11*R130</f>
        <v>206.62935858803269</v>
      </c>
      <c r="U130">
        <f>ROUNDDOWN(R130*몬스터!$H$11, 0)*몬스터!$G$11*(1+몬스터!$I$11)</f>
        <v>349.92</v>
      </c>
      <c r="V130" s="2">
        <f t="shared" si="62"/>
        <v>0.73082706766917294</v>
      </c>
    </row>
    <row r="131" spans="1:22" x14ac:dyDescent="0.4">
      <c r="A131">
        <v>22</v>
      </c>
      <c r="B131" s="4">
        <f>160*A131</f>
        <v>3520</v>
      </c>
      <c r="C131">
        <f t="shared" si="52"/>
        <v>390</v>
      </c>
      <c r="D131">
        <f t="shared" si="53"/>
        <v>26</v>
      </c>
      <c r="E131" s="2">
        <v>0</v>
      </c>
      <c r="F131">
        <f t="shared" si="54"/>
        <v>48</v>
      </c>
      <c r="G131">
        <f t="shared" si="55"/>
        <v>0.70900000000000007</v>
      </c>
      <c r="H131" s="3">
        <f t="shared" si="60"/>
        <v>0.05</v>
      </c>
      <c r="I131" s="2">
        <v>2</v>
      </c>
      <c r="J131" s="2">
        <v>0</v>
      </c>
      <c r="K131" s="2">
        <v>1</v>
      </c>
      <c r="L131" s="16">
        <v>2</v>
      </c>
      <c r="M131" s="5">
        <f t="shared" si="56"/>
        <v>510</v>
      </c>
      <c r="N131" s="6">
        <f t="shared" si="57"/>
        <v>35.733600000000003</v>
      </c>
      <c r="O131">
        <f t="shared" si="58"/>
        <v>491.4</v>
      </c>
      <c r="P131" s="7">
        <f t="shared" si="61"/>
        <v>13.751763046544427</v>
      </c>
      <c r="Q131">
        <f>ROUNDUP(몬스터!$P$11/F131, 0)</f>
        <v>9</v>
      </c>
      <c r="R131" s="6">
        <f t="shared" si="59"/>
        <v>12.693935119887163</v>
      </c>
      <c r="S131" s="7">
        <f>B131/몬스터!$C$11*R131</f>
        <v>194.27239835653398</v>
      </c>
      <c r="U131">
        <f>ROUNDDOWN(R131*몬스터!$H$11, 0)*몬스터!$G$11*(1+몬스터!$I$11)</f>
        <v>311.04000000000002</v>
      </c>
      <c r="V131" s="2">
        <f t="shared" si="62"/>
        <v>0.63296703296703305</v>
      </c>
    </row>
    <row r="132" spans="1:22" x14ac:dyDescent="0.4">
      <c r="A132">
        <v>23</v>
      </c>
      <c r="B132" s="4">
        <f>160*A132</f>
        <v>3680</v>
      </c>
      <c r="C132">
        <f t="shared" si="52"/>
        <v>405</v>
      </c>
      <c r="D132">
        <f t="shared" si="53"/>
        <v>26</v>
      </c>
      <c r="E132" s="2">
        <v>0</v>
      </c>
      <c r="F132">
        <f t="shared" si="54"/>
        <v>49</v>
      </c>
      <c r="G132">
        <f t="shared" si="55"/>
        <v>0.71100000000000008</v>
      </c>
      <c r="H132" s="3">
        <f t="shared" si="60"/>
        <v>0.05</v>
      </c>
      <c r="I132" s="2">
        <v>2</v>
      </c>
      <c r="J132" s="2">
        <v>0</v>
      </c>
      <c r="K132" s="2">
        <v>1</v>
      </c>
      <c r="L132" s="16">
        <v>2</v>
      </c>
      <c r="M132" s="5">
        <f t="shared" si="56"/>
        <v>520</v>
      </c>
      <c r="N132" s="6">
        <f t="shared" si="57"/>
        <v>36.580950000000009</v>
      </c>
      <c r="O132">
        <f t="shared" si="58"/>
        <v>510.3</v>
      </c>
      <c r="P132" s="7">
        <f t="shared" si="61"/>
        <v>13.949883750968739</v>
      </c>
      <c r="Q132">
        <f>ROUNDUP(몬스터!$P$11/F132, 0)</f>
        <v>9</v>
      </c>
      <c r="R132" s="6">
        <f t="shared" si="59"/>
        <v>12.658227848101264</v>
      </c>
      <c r="S132" s="7">
        <f>B132/몬스터!$C$11*R132</f>
        <v>202.53164556962022</v>
      </c>
      <c r="U132">
        <f>ROUNDDOWN(R132*몬스터!$H$11, 0)*몬스터!$G$11*(1+몬스터!$I$11)</f>
        <v>311.04000000000002</v>
      </c>
      <c r="V132" s="2">
        <f t="shared" si="62"/>
        <v>0.60952380952380958</v>
      </c>
    </row>
    <row r="133" spans="1:22" x14ac:dyDescent="0.4">
      <c r="A133">
        <v>24</v>
      </c>
      <c r="B133" s="4">
        <f>160*A133</f>
        <v>3840</v>
      </c>
      <c r="C133">
        <f t="shared" si="52"/>
        <v>415</v>
      </c>
      <c r="D133">
        <f t="shared" si="53"/>
        <v>27</v>
      </c>
      <c r="E133" s="2">
        <v>0</v>
      </c>
      <c r="F133">
        <f t="shared" si="54"/>
        <v>51</v>
      </c>
      <c r="G133">
        <f t="shared" si="55"/>
        <v>0.71300000000000008</v>
      </c>
      <c r="H133" s="3">
        <f t="shared" si="60"/>
        <v>0.05</v>
      </c>
      <c r="I133" s="2">
        <v>2</v>
      </c>
      <c r="J133" s="2">
        <v>0</v>
      </c>
      <c r="K133" s="2">
        <v>1</v>
      </c>
      <c r="L133" s="16">
        <v>2</v>
      </c>
      <c r="M133" s="5">
        <f t="shared" si="56"/>
        <v>530</v>
      </c>
      <c r="N133" s="6">
        <f t="shared" si="57"/>
        <v>38.181150000000009</v>
      </c>
      <c r="O133">
        <f t="shared" si="58"/>
        <v>527.04999999999995</v>
      </c>
      <c r="P133" s="7">
        <f t="shared" si="61"/>
        <v>13.803932045001259</v>
      </c>
      <c r="Q133">
        <f>ROUNDUP(몬스터!$P$11/F133, 0)</f>
        <v>9</v>
      </c>
      <c r="R133" s="6">
        <f t="shared" si="59"/>
        <v>12.622720897615707</v>
      </c>
      <c r="S133" s="7">
        <f>B133/몬스터!$C$11*R133</f>
        <v>210.74455759497528</v>
      </c>
      <c r="U133">
        <f>ROUNDDOWN(R133*몬스터!$H$11, 0)*몬스터!$G$11*(1+몬스터!$I$11)</f>
        <v>311.04000000000002</v>
      </c>
      <c r="V133" s="2">
        <f t="shared" si="62"/>
        <v>0.59015273693198</v>
      </c>
    </row>
    <row r="134" spans="1:22" x14ac:dyDescent="0.4">
      <c r="A134">
        <v>25</v>
      </c>
      <c r="B134" s="4">
        <f>160*A134</f>
        <v>4000</v>
      </c>
      <c r="C134">
        <f t="shared" si="52"/>
        <v>425</v>
      </c>
      <c r="D134">
        <f t="shared" si="53"/>
        <v>27</v>
      </c>
      <c r="E134" s="2">
        <v>0</v>
      </c>
      <c r="F134">
        <f t="shared" si="54"/>
        <v>52</v>
      </c>
      <c r="G134">
        <f t="shared" si="55"/>
        <v>0.71500000000000008</v>
      </c>
      <c r="H134" s="3">
        <f t="shared" si="60"/>
        <v>0.05</v>
      </c>
      <c r="I134" s="2">
        <v>2</v>
      </c>
      <c r="J134" s="2">
        <v>0</v>
      </c>
      <c r="K134" s="2">
        <v>1</v>
      </c>
      <c r="L134" s="16">
        <v>2</v>
      </c>
      <c r="M134" s="5">
        <f t="shared" si="56"/>
        <v>540</v>
      </c>
      <c r="N134" s="6">
        <f t="shared" si="57"/>
        <v>39.039000000000009</v>
      </c>
      <c r="O134">
        <f t="shared" si="58"/>
        <v>539.75</v>
      </c>
      <c r="P134" s="7">
        <f t="shared" si="61"/>
        <v>13.825917672071515</v>
      </c>
      <c r="Q134">
        <f>ROUNDUP(몬스터!$P$11/F134, 0)</f>
        <v>9</v>
      </c>
      <c r="R134" s="6">
        <f t="shared" si="59"/>
        <v>12.587412587412587</v>
      </c>
      <c r="S134" s="7">
        <f>B134/몬스터!$C$11*R134</f>
        <v>218.91152325934931</v>
      </c>
      <c r="T134" s="7">
        <f t="shared" ref="T134" si="65">SUM(S130:S134)</f>
        <v>1033.0894833685115</v>
      </c>
      <c r="U134">
        <f>ROUNDDOWN(R134*몬스터!$H$11, 0)*몬스터!$G$11*(1+몬스터!$I$11)</f>
        <v>311.04000000000002</v>
      </c>
      <c r="V134" s="2">
        <f t="shared" si="62"/>
        <v>0.5762667901806392</v>
      </c>
    </row>
    <row r="135" spans="1:22" x14ac:dyDescent="0.4">
      <c r="A135">
        <v>26</v>
      </c>
      <c r="B135" s="4">
        <f>170*A135</f>
        <v>4420</v>
      </c>
      <c r="C135">
        <f t="shared" si="52"/>
        <v>435</v>
      </c>
      <c r="D135">
        <f t="shared" si="53"/>
        <v>27</v>
      </c>
      <c r="E135" s="2">
        <v>0</v>
      </c>
      <c r="F135">
        <f t="shared" si="54"/>
        <v>53</v>
      </c>
      <c r="G135">
        <f t="shared" si="55"/>
        <v>0.71700000000000008</v>
      </c>
      <c r="H135" s="3">
        <f t="shared" si="60"/>
        <v>0.05</v>
      </c>
      <c r="I135" s="2">
        <v>2</v>
      </c>
      <c r="J135" s="2">
        <v>0</v>
      </c>
      <c r="K135" s="2">
        <v>1</v>
      </c>
      <c r="L135" s="16">
        <v>2</v>
      </c>
      <c r="M135" s="5">
        <f t="shared" si="56"/>
        <v>550</v>
      </c>
      <c r="N135" s="6">
        <f t="shared" si="57"/>
        <v>39.901050000000005</v>
      </c>
      <c r="O135">
        <f t="shared" si="58"/>
        <v>552.45000000000005</v>
      </c>
      <c r="P135" s="7">
        <f t="shared" si="61"/>
        <v>13.845500306382915</v>
      </c>
      <c r="Q135">
        <f>ROUNDUP(몬스터!$P$12/F135, 0)</f>
        <v>10</v>
      </c>
      <c r="R135" s="6">
        <f t="shared" si="59"/>
        <v>13.947001394700138</v>
      </c>
      <c r="S135" s="7">
        <f>B135/몬스터!$C$12*R135</f>
        <v>220.16337915919505</v>
      </c>
      <c r="U135">
        <f>ROUNDDOWN(R135*몬스터!$H$12, 0)*몬스터!$G$12*(1+몬스터!$I$12)</f>
        <v>420.86249999999995</v>
      </c>
      <c r="V135" s="2">
        <f t="shared" si="62"/>
        <v>0.76181102362204711</v>
      </c>
    </row>
    <row r="136" spans="1:22" x14ac:dyDescent="0.4">
      <c r="A136">
        <v>27</v>
      </c>
      <c r="B136" s="4">
        <f>170*A136</f>
        <v>4590</v>
      </c>
      <c r="C136">
        <f t="shared" si="52"/>
        <v>445</v>
      </c>
      <c r="D136">
        <f t="shared" si="53"/>
        <v>28</v>
      </c>
      <c r="E136" s="2">
        <v>0</v>
      </c>
      <c r="F136">
        <f t="shared" si="54"/>
        <v>55</v>
      </c>
      <c r="G136">
        <f t="shared" si="55"/>
        <v>0.71900000000000008</v>
      </c>
      <c r="H136" s="3">
        <f t="shared" si="60"/>
        <v>0.05</v>
      </c>
      <c r="I136" s="2">
        <v>2</v>
      </c>
      <c r="J136" s="2">
        <v>0</v>
      </c>
      <c r="K136" s="2">
        <v>1</v>
      </c>
      <c r="L136" s="16">
        <v>2</v>
      </c>
      <c r="M136" s="5">
        <f t="shared" si="56"/>
        <v>560</v>
      </c>
      <c r="N136" s="6">
        <f t="shared" si="57"/>
        <v>41.522250000000007</v>
      </c>
      <c r="O136">
        <f t="shared" si="58"/>
        <v>569.6</v>
      </c>
      <c r="P136" s="7">
        <f t="shared" si="61"/>
        <v>13.717946402230128</v>
      </c>
      <c r="Q136">
        <f>ROUNDUP(몬스터!$P$12/F136, 0)</f>
        <v>10</v>
      </c>
      <c r="R136" s="6">
        <f t="shared" si="59"/>
        <v>13.908205841446453</v>
      </c>
      <c r="S136" s="7">
        <f>B136/몬스터!$C$12*R136</f>
        <v>227.99523147228291</v>
      </c>
      <c r="U136">
        <f>ROUNDDOWN(R136*몬스터!$H$12, 0)*몬스터!$G$12*(1+몬스터!$I$12)</f>
        <v>420.86249999999995</v>
      </c>
      <c r="V136" s="2">
        <f t="shared" si="62"/>
        <v>0.73887377106741559</v>
      </c>
    </row>
    <row r="137" spans="1:22" x14ac:dyDescent="0.4">
      <c r="A137">
        <v>28</v>
      </c>
      <c r="B137" s="4">
        <f>170*A137</f>
        <v>4760</v>
      </c>
      <c r="C137">
        <f t="shared" si="52"/>
        <v>460</v>
      </c>
      <c r="D137">
        <f t="shared" si="53"/>
        <v>28</v>
      </c>
      <c r="E137" s="2">
        <v>0</v>
      </c>
      <c r="F137">
        <f t="shared" si="54"/>
        <v>56</v>
      </c>
      <c r="G137">
        <f t="shared" si="55"/>
        <v>0.72100000000000009</v>
      </c>
      <c r="H137" s="3">
        <f t="shared" si="60"/>
        <v>0.05</v>
      </c>
      <c r="I137" s="2">
        <v>2</v>
      </c>
      <c r="J137" s="2">
        <v>0</v>
      </c>
      <c r="K137" s="2">
        <v>1</v>
      </c>
      <c r="L137" s="16">
        <v>2</v>
      </c>
      <c r="M137" s="5">
        <f t="shared" si="56"/>
        <v>570</v>
      </c>
      <c r="N137" s="6">
        <f t="shared" si="57"/>
        <v>42.394800000000004</v>
      </c>
      <c r="O137">
        <f t="shared" si="58"/>
        <v>588.80000000000007</v>
      </c>
      <c r="P137" s="7">
        <f t="shared" si="61"/>
        <v>13.88849575891383</v>
      </c>
      <c r="Q137">
        <f>ROUNDUP(몬스터!$P$12/F137, 0)</f>
        <v>10</v>
      </c>
      <c r="R137" s="6">
        <f t="shared" si="59"/>
        <v>13.869625520110956</v>
      </c>
      <c r="S137" s="7">
        <f>B137/몬스터!$C$12*R137</f>
        <v>235.78363384188626</v>
      </c>
      <c r="U137">
        <f>ROUNDDOWN(R137*몬스터!$H$12, 0)*몬스터!$G$12*(1+몬스터!$I$12)</f>
        <v>420.86249999999995</v>
      </c>
      <c r="V137" s="2">
        <f t="shared" si="62"/>
        <v>0.71478006114130421</v>
      </c>
    </row>
    <row r="138" spans="1:22" x14ac:dyDescent="0.4">
      <c r="A138">
        <v>29</v>
      </c>
      <c r="B138" s="4">
        <f>170*A138</f>
        <v>4930</v>
      </c>
      <c r="C138">
        <f t="shared" si="52"/>
        <v>470</v>
      </c>
      <c r="D138">
        <f t="shared" si="53"/>
        <v>28</v>
      </c>
      <c r="E138" s="2">
        <v>0</v>
      </c>
      <c r="F138">
        <f t="shared" si="54"/>
        <v>57</v>
      </c>
      <c r="G138">
        <f t="shared" si="55"/>
        <v>0.72300000000000009</v>
      </c>
      <c r="H138" s="3">
        <f t="shared" si="60"/>
        <v>0.05</v>
      </c>
      <c r="I138" s="2">
        <v>2</v>
      </c>
      <c r="J138" s="2">
        <v>0</v>
      </c>
      <c r="K138" s="2">
        <v>1</v>
      </c>
      <c r="L138" s="16">
        <v>2</v>
      </c>
      <c r="M138" s="5">
        <f t="shared" si="56"/>
        <v>580</v>
      </c>
      <c r="N138" s="6">
        <f t="shared" si="57"/>
        <v>43.271550000000005</v>
      </c>
      <c r="O138">
        <f t="shared" si="58"/>
        <v>601.6</v>
      </c>
      <c r="P138" s="7">
        <f t="shared" si="61"/>
        <v>13.902899249044694</v>
      </c>
      <c r="Q138">
        <f>ROUNDUP(몬스터!$P$12/F138, 0)</f>
        <v>10</v>
      </c>
      <c r="R138" s="6">
        <f t="shared" si="59"/>
        <v>13.831258644536652</v>
      </c>
      <c r="S138" s="7">
        <f>B138/몬스터!$C$12*R138</f>
        <v>243.5289468484489</v>
      </c>
      <c r="U138">
        <f>ROUNDDOWN(R138*몬스터!$H$12, 0)*몬스터!$G$12*(1+몬스터!$I$12)</f>
        <v>420.86249999999995</v>
      </c>
      <c r="V138" s="2">
        <f t="shared" si="62"/>
        <v>0.69957197473404242</v>
      </c>
    </row>
    <row r="139" spans="1:22" x14ac:dyDescent="0.4">
      <c r="A139">
        <v>30</v>
      </c>
      <c r="B139" s="4">
        <f>170*A139</f>
        <v>5100</v>
      </c>
      <c r="C139">
        <f t="shared" si="52"/>
        <v>480</v>
      </c>
      <c r="D139">
        <f t="shared" si="53"/>
        <v>29</v>
      </c>
      <c r="E139" s="2">
        <v>0</v>
      </c>
      <c r="F139">
        <f t="shared" si="54"/>
        <v>59</v>
      </c>
      <c r="G139">
        <f t="shared" si="55"/>
        <v>0.72500000000000009</v>
      </c>
      <c r="H139" s="3">
        <f t="shared" si="60"/>
        <v>0.05</v>
      </c>
      <c r="I139" s="2">
        <v>2</v>
      </c>
      <c r="J139" s="2">
        <v>0</v>
      </c>
      <c r="K139" s="2">
        <v>1</v>
      </c>
      <c r="L139" s="16">
        <v>2</v>
      </c>
      <c r="M139" s="5">
        <f t="shared" si="56"/>
        <v>590</v>
      </c>
      <c r="N139" s="6">
        <f t="shared" si="57"/>
        <v>44.913750000000007</v>
      </c>
      <c r="O139">
        <f t="shared" si="58"/>
        <v>619.20000000000005</v>
      </c>
      <c r="P139" s="7">
        <f t="shared" si="61"/>
        <v>13.786423979293644</v>
      </c>
      <c r="Q139">
        <f>ROUNDUP(몬스터!$P$12/F139, 0)</f>
        <v>9</v>
      </c>
      <c r="R139" s="6">
        <f t="shared" si="59"/>
        <v>12.413793103448274</v>
      </c>
      <c r="S139" s="7">
        <f>B139/몬스터!$C$12*R139</f>
        <v>226.10837438423644</v>
      </c>
      <c r="T139" s="7">
        <f t="shared" ref="T139" si="66">SUM(S135:S139)</f>
        <v>1153.5795657060496</v>
      </c>
      <c r="U139">
        <f>ROUNDDOWN(R139*몬스터!$H$12, 0)*몬스터!$G$12*(1+몬스터!$I$12)</f>
        <v>374.09999999999997</v>
      </c>
      <c r="V139" s="2">
        <f t="shared" si="62"/>
        <v>0.60416666666666652</v>
      </c>
    </row>
    <row r="140" spans="1:22" x14ac:dyDescent="0.4">
      <c r="A140">
        <v>31</v>
      </c>
      <c r="B140" s="4">
        <f>160*A140</f>
        <v>4960</v>
      </c>
      <c r="C140">
        <f t="shared" si="52"/>
        <v>490</v>
      </c>
      <c r="D140">
        <f t="shared" si="53"/>
        <v>29</v>
      </c>
      <c r="E140" s="2">
        <v>0</v>
      </c>
      <c r="F140">
        <f t="shared" si="54"/>
        <v>60</v>
      </c>
      <c r="G140">
        <f t="shared" si="55"/>
        <v>0.72700000000000009</v>
      </c>
      <c r="H140" s="3">
        <f t="shared" si="60"/>
        <v>0.05</v>
      </c>
      <c r="I140" s="2">
        <v>2</v>
      </c>
      <c r="J140" s="2">
        <v>0</v>
      </c>
      <c r="K140" s="2">
        <v>1</v>
      </c>
      <c r="L140" s="16">
        <v>2</v>
      </c>
      <c r="M140" s="5">
        <f t="shared" si="56"/>
        <v>600</v>
      </c>
      <c r="N140" s="6">
        <f t="shared" si="57"/>
        <v>45.801000000000009</v>
      </c>
      <c r="O140">
        <f t="shared" si="58"/>
        <v>632.1</v>
      </c>
      <c r="P140" s="7">
        <f t="shared" si="61"/>
        <v>13.801008711600181</v>
      </c>
      <c r="Q140">
        <f>ROUNDUP(몬스터!$P$13/F140, 0)</f>
        <v>11</v>
      </c>
      <c r="R140" s="6">
        <f t="shared" si="59"/>
        <v>15.13067400275103</v>
      </c>
      <c r="S140" s="7">
        <f>B140/몬스터!$C$13*R140</f>
        <v>227.41861531407611</v>
      </c>
      <c r="U140">
        <f>ROUNDDOWN(R140*몬스터!$H$13, 0)*몬스터!$G$13*(1+몬스터!$I$13)</f>
        <v>558.44999999999993</v>
      </c>
      <c r="V140" s="2">
        <f t="shared" si="62"/>
        <v>0.8834836260085428</v>
      </c>
    </row>
    <row r="141" spans="1:22" x14ac:dyDescent="0.4">
      <c r="A141">
        <v>32</v>
      </c>
      <c r="B141" s="4">
        <f>160*A141</f>
        <v>5120</v>
      </c>
      <c r="C141">
        <f t="shared" si="52"/>
        <v>500</v>
      </c>
      <c r="D141">
        <f t="shared" si="53"/>
        <v>29</v>
      </c>
      <c r="E141" s="2">
        <v>0</v>
      </c>
      <c r="F141">
        <f t="shared" si="54"/>
        <v>61</v>
      </c>
      <c r="G141">
        <f t="shared" si="55"/>
        <v>0.72900000000000009</v>
      </c>
      <c r="H141" s="3">
        <f t="shared" si="60"/>
        <v>0.05</v>
      </c>
      <c r="I141" s="2">
        <v>2</v>
      </c>
      <c r="J141" s="2">
        <v>0</v>
      </c>
      <c r="K141" s="2">
        <v>1</v>
      </c>
      <c r="L141" s="16">
        <v>2</v>
      </c>
      <c r="M141" s="5">
        <f t="shared" si="56"/>
        <v>610</v>
      </c>
      <c r="N141" s="6">
        <f t="shared" si="57"/>
        <v>46.692450000000008</v>
      </c>
      <c r="O141">
        <f t="shared" si="58"/>
        <v>645</v>
      </c>
      <c r="P141" s="7">
        <f t="shared" si="61"/>
        <v>13.813796448890557</v>
      </c>
      <c r="Q141">
        <f>ROUNDUP(몬스터!$P$13/F141, 0)</f>
        <v>11</v>
      </c>
      <c r="R141" s="6">
        <f t="shared" si="59"/>
        <v>15.089163237311384</v>
      </c>
      <c r="S141" s="7">
        <f>B141/몬스터!$C$13*R141</f>
        <v>234.11065386374025</v>
      </c>
      <c r="U141">
        <f>ROUNDDOWN(R141*몬스터!$H$13, 0)*몬스터!$G$13*(1+몬스터!$I$13)</f>
        <v>558.44999999999993</v>
      </c>
      <c r="V141" s="2">
        <f t="shared" si="62"/>
        <v>0.86581395348837198</v>
      </c>
    </row>
    <row r="142" spans="1:22" x14ac:dyDescent="0.4">
      <c r="A142">
        <v>33</v>
      </c>
      <c r="B142" s="4">
        <f>160*A142</f>
        <v>5280</v>
      </c>
      <c r="C142">
        <f t="shared" ref="C142:C173" si="67">MROUND(150+A142*11,5)</f>
        <v>515</v>
      </c>
      <c r="D142">
        <f t="shared" ref="D142:D173" si="68">ROUNDDOWN((20+A142*0.3), 0)</f>
        <v>29</v>
      </c>
      <c r="E142" s="2">
        <v>0</v>
      </c>
      <c r="F142">
        <f t="shared" ref="F142:F173" si="69">ROUND((28+A142*2)*2/3, 0)</f>
        <v>63</v>
      </c>
      <c r="G142">
        <f t="shared" ref="G142:G173" si="70">0.665+0.002*A142</f>
        <v>0.73100000000000009</v>
      </c>
      <c r="H142" s="3">
        <f t="shared" si="60"/>
        <v>0.05</v>
      </c>
      <c r="I142" s="2">
        <v>2</v>
      </c>
      <c r="J142" s="2">
        <v>0</v>
      </c>
      <c r="K142" s="2">
        <v>1</v>
      </c>
      <c r="L142" s="16">
        <v>2</v>
      </c>
      <c r="M142" s="5">
        <f t="shared" ref="M142:M173" si="71">290+10*A142</f>
        <v>620</v>
      </c>
      <c r="N142" s="6">
        <f t="shared" ref="N142:N173" si="72">F142*G142*(1+H142)</f>
        <v>48.355650000000004</v>
      </c>
      <c r="O142">
        <f t="shared" ref="O142:O173" si="73">C142*(1+D142/100)*(1+E142)</f>
        <v>664.35</v>
      </c>
      <c r="P142" s="7">
        <f t="shared" si="61"/>
        <v>13.738828864879284</v>
      </c>
      <c r="Q142">
        <f>ROUNDUP(몬스터!$P$13/F142, 0)</f>
        <v>10</v>
      </c>
      <c r="R142" s="6">
        <f t="shared" ref="R142:R173" si="74">Q142/G142</f>
        <v>13.679890560875512</v>
      </c>
      <c r="S142" s="7">
        <f>B142/몬스터!$C$13*R142</f>
        <v>218.87824897400819</v>
      </c>
      <c r="U142">
        <f>ROUNDDOWN(R142*몬스터!$H$13, 0)*몬스터!$G$13*(1+몬스터!$I$13)</f>
        <v>502.60499999999996</v>
      </c>
      <c r="V142" s="2">
        <f t="shared" si="62"/>
        <v>0.75653646421314058</v>
      </c>
    </row>
    <row r="143" spans="1:22" x14ac:dyDescent="0.4">
      <c r="A143">
        <v>34</v>
      </c>
      <c r="B143" s="4">
        <f>160*A143</f>
        <v>5440</v>
      </c>
      <c r="C143">
        <f t="shared" si="67"/>
        <v>525</v>
      </c>
      <c r="D143">
        <f t="shared" si="68"/>
        <v>30</v>
      </c>
      <c r="E143" s="2">
        <v>0</v>
      </c>
      <c r="F143">
        <f t="shared" si="69"/>
        <v>64</v>
      </c>
      <c r="G143">
        <f t="shared" si="70"/>
        <v>0.7330000000000001</v>
      </c>
      <c r="H143" s="3">
        <f t="shared" si="60"/>
        <v>0.05</v>
      </c>
      <c r="I143" s="2">
        <v>2</v>
      </c>
      <c r="J143" s="2">
        <v>0</v>
      </c>
      <c r="K143" s="2">
        <v>1</v>
      </c>
      <c r="L143" s="16">
        <v>2</v>
      </c>
      <c r="M143" s="5">
        <f t="shared" si="71"/>
        <v>630</v>
      </c>
      <c r="N143" s="6">
        <f t="shared" si="72"/>
        <v>49.257600000000011</v>
      </c>
      <c r="O143">
        <f t="shared" si="73"/>
        <v>682.5</v>
      </c>
      <c r="P143" s="7">
        <f t="shared" si="61"/>
        <v>13.855729877216914</v>
      </c>
      <c r="Q143">
        <f>ROUNDUP(몬스터!$P$13/F143, 0)</f>
        <v>10</v>
      </c>
      <c r="R143" s="6">
        <f t="shared" si="74"/>
        <v>13.642564802182809</v>
      </c>
      <c r="S143" s="7">
        <f>B143/몬스터!$C$13*R143</f>
        <v>224.89561370871056</v>
      </c>
      <c r="U143">
        <f>ROUNDDOWN(R143*몬스터!$H$13, 0)*몬스터!$G$13*(1+몬스터!$I$13)</f>
        <v>502.60499999999996</v>
      </c>
      <c r="V143" s="2">
        <f t="shared" si="62"/>
        <v>0.73641758241758237</v>
      </c>
    </row>
    <row r="144" spans="1:22" x14ac:dyDescent="0.4">
      <c r="A144">
        <v>35</v>
      </c>
      <c r="B144" s="4">
        <f>160*A144</f>
        <v>5600</v>
      </c>
      <c r="C144">
        <f t="shared" si="67"/>
        <v>535</v>
      </c>
      <c r="D144">
        <f t="shared" si="68"/>
        <v>30</v>
      </c>
      <c r="E144" s="2">
        <v>0</v>
      </c>
      <c r="F144">
        <f t="shared" si="69"/>
        <v>65</v>
      </c>
      <c r="G144">
        <f t="shared" si="70"/>
        <v>0.7350000000000001</v>
      </c>
      <c r="H144" s="3">
        <f t="shared" si="60"/>
        <v>0.05</v>
      </c>
      <c r="I144" s="2">
        <v>2</v>
      </c>
      <c r="J144" s="2">
        <v>0</v>
      </c>
      <c r="K144" s="2">
        <v>1</v>
      </c>
      <c r="L144" s="16">
        <v>2</v>
      </c>
      <c r="M144" s="5">
        <f t="shared" si="71"/>
        <v>640</v>
      </c>
      <c r="N144" s="6">
        <f t="shared" si="72"/>
        <v>50.163750000000007</v>
      </c>
      <c r="O144">
        <f t="shared" si="73"/>
        <v>695.5</v>
      </c>
      <c r="P144" s="7">
        <f t="shared" si="61"/>
        <v>13.864593456430189</v>
      </c>
      <c r="Q144">
        <f>ROUNDUP(몬스터!$P$13/F144, 0)</f>
        <v>10</v>
      </c>
      <c r="R144" s="6">
        <f t="shared" si="74"/>
        <v>13.605442176870746</v>
      </c>
      <c r="S144" s="7">
        <f>B144/몬스터!$C$13*R144</f>
        <v>230.88023088023081</v>
      </c>
      <c r="T144" s="7">
        <f t="shared" ref="T144" si="75">SUM(S140:S144)</f>
        <v>1136.1833627407659</v>
      </c>
      <c r="U144">
        <f>ROUNDDOWN(R144*몬스터!$H$13, 0)*몬스터!$G$13*(1+몬스터!$I$13)</f>
        <v>502.60499999999996</v>
      </c>
      <c r="V144" s="2">
        <f t="shared" si="62"/>
        <v>0.72265276779295462</v>
      </c>
    </row>
    <row r="145" spans="1:22" x14ac:dyDescent="0.4">
      <c r="A145">
        <v>36</v>
      </c>
      <c r="B145" s="4">
        <f>170*A145</f>
        <v>6120</v>
      </c>
      <c r="C145">
        <f t="shared" si="67"/>
        <v>545</v>
      </c>
      <c r="D145">
        <f t="shared" si="68"/>
        <v>30</v>
      </c>
      <c r="E145" s="2">
        <v>0</v>
      </c>
      <c r="F145">
        <f t="shared" si="69"/>
        <v>67</v>
      </c>
      <c r="G145">
        <f t="shared" si="70"/>
        <v>0.7370000000000001</v>
      </c>
      <c r="H145" s="3">
        <f t="shared" si="60"/>
        <v>0.05</v>
      </c>
      <c r="I145" s="2">
        <v>2</v>
      </c>
      <c r="J145" s="2">
        <v>0</v>
      </c>
      <c r="K145" s="2">
        <v>1</v>
      </c>
      <c r="L145" s="16">
        <v>2</v>
      </c>
      <c r="M145" s="5">
        <f t="shared" si="71"/>
        <v>650</v>
      </c>
      <c r="N145" s="6">
        <f t="shared" si="72"/>
        <v>51.847950000000004</v>
      </c>
      <c r="O145">
        <f t="shared" si="73"/>
        <v>708.5</v>
      </c>
      <c r="P145" s="7">
        <f t="shared" si="61"/>
        <v>13.664956859432243</v>
      </c>
      <c r="Q145">
        <f>ROUNDUP(몬스터!$P$14/F145, 0)</f>
        <v>10</v>
      </c>
      <c r="R145" s="6">
        <f t="shared" si="74"/>
        <v>13.568521031207597</v>
      </c>
      <c r="S145" s="7">
        <f>B145/몬스터!$C$14*R145</f>
        <v>218.52460187102761</v>
      </c>
      <c r="U145">
        <f>ROUNDDOWN(R145*몬스터!$H$14, 0)*몬스터!$G$14*(1+몬스터!$I$14)</f>
        <v>575.505</v>
      </c>
      <c r="V145" s="2">
        <f t="shared" si="62"/>
        <v>0.81228652081863095</v>
      </c>
    </row>
    <row r="146" spans="1:22" x14ac:dyDescent="0.4">
      <c r="A146">
        <v>37</v>
      </c>
      <c r="B146" s="4">
        <f>170*A146</f>
        <v>6290</v>
      </c>
      <c r="C146">
        <f t="shared" si="67"/>
        <v>555</v>
      </c>
      <c r="D146">
        <f t="shared" si="68"/>
        <v>31</v>
      </c>
      <c r="E146" s="2">
        <v>0</v>
      </c>
      <c r="F146">
        <f t="shared" si="69"/>
        <v>68</v>
      </c>
      <c r="G146">
        <f t="shared" si="70"/>
        <v>0.73899999999999999</v>
      </c>
      <c r="H146" s="3">
        <f t="shared" si="60"/>
        <v>0.05</v>
      </c>
      <c r="I146" s="2">
        <v>2</v>
      </c>
      <c r="J146" s="2">
        <v>0</v>
      </c>
      <c r="K146" s="2">
        <v>1</v>
      </c>
      <c r="L146" s="16">
        <v>2</v>
      </c>
      <c r="M146" s="5">
        <f t="shared" si="71"/>
        <v>660</v>
      </c>
      <c r="N146" s="6">
        <f t="shared" si="72"/>
        <v>52.764600000000002</v>
      </c>
      <c r="O146">
        <f t="shared" si="73"/>
        <v>727.05000000000007</v>
      </c>
      <c r="P146" s="7">
        <f t="shared" si="61"/>
        <v>13.779124640383895</v>
      </c>
      <c r="Q146">
        <f>ROUNDUP(몬스터!$P$14/F146, 0)</f>
        <v>10</v>
      </c>
      <c r="R146" s="6">
        <f t="shared" si="74"/>
        <v>13.531799729364005</v>
      </c>
      <c r="S146" s="7">
        <f>B146/몬스터!$C$14*R146</f>
        <v>223.9868955202621</v>
      </c>
      <c r="U146">
        <f>ROUNDDOWN(R146*몬스터!$H$14, 0)*몬스터!$G$14*(1+몬스터!$I$14)</f>
        <v>575.505</v>
      </c>
      <c r="V146" s="2">
        <f t="shared" si="62"/>
        <v>0.79156179079843192</v>
      </c>
    </row>
    <row r="147" spans="1:22" x14ac:dyDescent="0.4">
      <c r="A147">
        <v>38</v>
      </c>
      <c r="B147" s="4">
        <f>170*A147</f>
        <v>6460</v>
      </c>
      <c r="C147">
        <f t="shared" si="67"/>
        <v>570</v>
      </c>
      <c r="D147">
        <f t="shared" si="68"/>
        <v>31</v>
      </c>
      <c r="E147" s="2">
        <v>0</v>
      </c>
      <c r="F147">
        <f t="shared" si="69"/>
        <v>69</v>
      </c>
      <c r="G147">
        <f t="shared" si="70"/>
        <v>0.74099999999999999</v>
      </c>
      <c r="H147" s="3">
        <f t="shared" si="60"/>
        <v>0.05</v>
      </c>
      <c r="I147" s="2">
        <v>2</v>
      </c>
      <c r="J147" s="2">
        <v>0</v>
      </c>
      <c r="K147" s="2">
        <v>1</v>
      </c>
      <c r="L147" s="16">
        <v>2</v>
      </c>
      <c r="M147" s="5">
        <f t="shared" si="71"/>
        <v>670</v>
      </c>
      <c r="N147" s="6">
        <f t="shared" si="72"/>
        <v>53.685450000000003</v>
      </c>
      <c r="O147">
        <f t="shared" si="73"/>
        <v>746.7</v>
      </c>
      <c r="P147" s="7">
        <f t="shared" si="61"/>
        <v>13.908796517492171</v>
      </c>
      <c r="Q147">
        <f>ROUNDUP(몬스터!$P$14/F147, 0)</f>
        <v>10</v>
      </c>
      <c r="R147" s="6">
        <f t="shared" si="74"/>
        <v>13.495276653171389</v>
      </c>
      <c r="S147" s="7">
        <f>B147/몬스터!$C$14*R147</f>
        <v>229.41970310391363</v>
      </c>
      <c r="U147">
        <f>ROUNDDOWN(R147*몬스터!$H$14, 0)*몬스터!$G$14*(1+몬스터!$I$14)</f>
        <v>575.505</v>
      </c>
      <c r="V147" s="2">
        <f t="shared" si="62"/>
        <v>0.77073121735636796</v>
      </c>
    </row>
    <row r="148" spans="1:22" x14ac:dyDescent="0.4">
      <c r="A148">
        <v>39</v>
      </c>
      <c r="B148" s="4">
        <f>170*A148</f>
        <v>6630</v>
      </c>
      <c r="C148">
        <f t="shared" si="67"/>
        <v>580</v>
      </c>
      <c r="D148">
        <f t="shared" si="68"/>
        <v>31</v>
      </c>
      <c r="E148" s="2">
        <v>0</v>
      </c>
      <c r="F148">
        <f t="shared" si="69"/>
        <v>71</v>
      </c>
      <c r="G148">
        <f t="shared" si="70"/>
        <v>0.74299999999999999</v>
      </c>
      <c r="H148" s="3">
        <f t="shared" si="60"/>
        <v>0.05</v>
      </c>
      <c r="I148" s="2">
        <v>2</v>
      </c>
      <c r="J148" s="2">
        <v>0</v>
      </c>
      <c r="K148" s="2">
        <v>1</v>
      </c>
      <c r="L148" s="16">
        <v>2</v>
      </c>
      <c r="M148" s="5">
        <f t="shared" si="71"/>
        <v>680</v>
      </c>
      <c r="N148" s="6">
        <f t="shared" si="72"/>
        <v>55.390650000000001</v>
      </c>
      <c r="O148">
        <f t="shared" si="73"/>
        <v>759.80000000000007</v>
      </c>
      <c r="P148" s="7">
        <f t="shared" si="61"/>
        <v>13.717116516957285</v>
      </c>
      <c r="Q148">
        <f>ROUNDUP(몬스터!$P$14/F148, 0)</f>
        <v>10</v>
      </c>
      <c r="R148" s="6">
        <f t="shared" si="74"/>
        <v>13.458950201884253</v>
      </c>
      <c r="S148" s="7">
        <f>B148/몬스터!$C$14*R148</f>
        <v>234.82326273287524</v>
      </c>
      <c r="U148">
        <f>ROUNDDOWN(R148*몬스터!$H$14, 0)*몬스터!$G$14*(1+몬스터!$I$14)</f>
        <v>575.505</v>
      </c>
      <c r="V148" s="2">
        <f t="shared" si="62"/>
        <v>0.75744274809160295</v>
      </c>
    </row>
    <row r="149" spans="1:22" x14ac:dyDescent="0.4">
      <c r="A149">
        <v>40</v>
      </c>
      <c r="B149" s="4">
        <f>170*A149</f>
        <v>6800</v>
      </c>
      <c r="C149">
        <f t="shared" si="67"/>
        <v>590</v>
      </c>
      <c r="D149">
        <f t="shared" si="68"/>
        <v>32</v>
      </c>
      <c r="E149" s="2">
        <v>0</v>
      </c>
      <c r="F149">
        <f t="shared" si="69"/>
        <v>72</v>
      </c>
      <c r="G149">
        <f t="shared" si="70"/>
        <v>0.745</v>
      </c>
      <c r="H149" s="3">
        <f t="shared" si="60"/>
        <v>0.05</v>
      </c>
      <c r="I149" s="2">
        <v>2</v>
      </c>
      <c r="J149" s="2">
        <v>0</v>
      </c>
      <c r="K149" s="2">
        <v>1</v>
      </c>
      <c r="L149" s="16">
        <v>2</v>
      </c>
      <c r="M149" s="5">
        <f t="shared" si="71"/>
        <v>690</v>
      </c>
      <c r="N149" s="6">
        <f t="shared" si="72"/>
        <v>56.322000000000003</v>
      </c>
      <c r="O149">
        <f t="shared" si="73"/>
        <v>778.80000000000007</v>
      </c>
      <c r="P149" s="7">
        <f t="shared" si="61"/>
        <v>13.82763396186215</v>
      </c>
      <c r="Q149">
        <f>ROUNDUP(몬스터!$P$14/F149, 0)</f>
        <v>10</v>
      </c>
      <c r="R149" s="6">
        <f t="shared" si="74"/>
        <v>13.422818791946309</v>
      </c>
      <c r="S149" s="7">
        <f>B149/몬스터!$C$14*R149</f>
        <v>240.19780996114449</v>
      </c>
      <c r="T149" s="7">
        <f t="shared" ref="T149" si="76">SUM(S145:S149)</f>
        <v>1146.9522731892232</v>
      </c>
      <c r="U149">
        <f>ROUNDDOWN(R149*몬스터!$H$14, 0)*몬스터!$G$14*(1+몬스터!$I$14)</f>
        <v>575.505</v>
      </c>
      <c r="V149" s="2">
        <f t="shared" si="62"/>
        <v>0.73896379044684124</v>
      </c>
    </row>
    <row r="150" spans="1:22" x14ac:dyDescent="0.4">
      <c r="A150">
        <v>41</v>
      </c>
      <c r="B150" s="4">
        <f>160*A150</f>
        <v>6560</v>
      </c>
      <c r="C150">
        <f t="shared" si="67"/>
        <v>600</v>
      </c>
      <c r="D150">
        <f t="shared" si="68"/>
        <v>32</v>
      </c>
      <c r="E150" s="2">
        <v>0</v>
      </c>
      <c r="F150">
        <f t="shared" si="69"/>
        <v>73</v>
      </c>
      <c r="G150">
        <f t="shared" si="70"/>
        <v>0.747</v>
      </c>
      <c r="H150" s="3">
        <f t="shared" si="60"/>
        <v>0.05</v>
      </c>
      <c r="I150" s="2">
        <v>2</v>
      </c>
      <c r="J150" s="2">
        <v>0</v>
      </c>
      <c r="K150" s="2">
        <v>1</v>
      </c>
      <c r="L150" s="16">
        <v>2</v>
      </c>
      <c r="M150" s="5">
        <f t="shared" si="71"/>
        <v>700</v>
      </c>
      <c r="N150" s="6">
        <f t="shared" si="72"/>
        <v>57.257550000000002</v>
      </c>
      <c r="O150">
        <f t="shared" si="73"/>
        <v>792</v>
      </c>
      <c r="P150" s="7">
        <f t="shared" si="61"/>
        <v>13.832236971368841</v>
      </c>
      <c r="Q150">
        <f>ROUNDUP(몬스터!$P$17/F150, 0)</f>
        <v>12</v>
      </c>
      <c r="R150" s="6">
        <f t="shared" si="74"/>
        <v>16.064257028112451</v>
      </c>
      <c r="S150" s="7">
        <f>B150/몬스터!$C$17*R150</f>
        <v>245.07331652190157</v>
      </c>
      <c r="U150">
        <f>ROUNDDOWN(R150*몬스터!$H$17, 0)*몬스터!$G$17*(1+몬스터!$I$17)</f>
        <v>805.86000000000013</v>
      </c>
      <c r="V150" s="2">
        <f t="shared" si="62"/>
        <v>1.0175000000000001</v>
      </c>
    </row>
    <row r="151" spans="1:22" x14ac:dyDescent="0.4">
      <c r="A151">
        <v>42</v>
      </c>
      <c r="B151" s="4">
        <f>160*A151</f>
        <v>6720</v>
      </c>
      <c r="C151">
        <f t="shared" si="67"/>
        <v>610</v>
      </c>
      <c r="D151">
        <f t="shared" si="68"/>
        <v>32</v>
      </c>
      <c r="E151" s="2">
        <v>0</v>
      </c>
      <c r="F151">
        <f t="shared" si="69"/>
        <v>75</v>
      </c>
      <c r="G151">
        <f t="shared" si="70"/>
        <v>0.749</v>
      </c>
      <c r="H151" s="3">
        <f t="shared" si="60"/>
        <v>0.05</v>
      </c>
      <c r="I151" s="2">
        <v>2</v>
      </c>
      <c r="J151" s="2">
        <v>0</v>
      </c>
      <c r="K151" s="2">
        <v>1</v>
      </c>
      <c r="L151" s="16">
        <v>2</v>
      </c>
      <c r="M151" s="5">
        <f t="shared" si="71"/>
        <v>710</v>
      </c>
      <c r="N151" s="6">
        <f t="shared" si="72"/>
        <v>58.983750000000001</v>
      </c>
      <c r="O151">
        <f t="shared" si="73"/>
        <v>805.2</v>
      </c>
      <c r="P151" s="7">
        <f t="shared" si="61"/>
        <v>13.651217496344334</v>
      </c>
      <c r="Q151">
        <f>ROUNDUP(몬스터!$P$17/F151, 0)</f>
        <v>12</v>
      </c>
      <c r="R151" s="6">
        <f t="shared" si="74"/>
        <v>16.021361815754339</v>
      </c>
      <c r="S151" s="7">
        <f>B151/몬스터!$C$17*R151</f>
        <v>250.38035209737012</v>
      </c>
      <c r="U151">
        <f>ROUNDDOWN(R151*몬스터!$H$17, 0)*몬스터!$G$17*(1+몬스터!$I$17)</f>
        <v>805.86000000000013</v>
      </c>
      <c r="V151" s="2">
        <f t="shared" si="62"/>
        <v>1.0008196721311478</v>
      </c>
    </row>
    <row r="152" spans="1:22" x14ac:dyDescent="0.4">
      <c r="A152">
        <v>43</v>
      </c>
      <c r="B152" s="4">
        <f>160*A152</f>
        <v>6880</v>
      </c>
      <c r="C152">
        <f t="shared" si="67"/>
        <v>625</v>
      </c>
      <c r="D152">
        <f t="shared" si="68"/>
        <v>32</v>
      </c>
      <c r="E152" s="2">
        <v>0</v>
      </c>
      <c r="F152">
        <f t="shared" si="69"/>
        <v>76</v>
      </c>
      <c r="G152">
        <f t="shared" si="70"/>
        <v>0.751</v>
      </c>
      <c r="H152" s="3">
        <f t="shared" si="60"/>
        <v>0.05</v>
      </c>
      <c r="I152" s="2">
        <v>2</v>
      </c>
      <c r="J152" s="2">
        <v>0</v>
      </c>
      <c r="K152" s="2">
        <v>1</v>
      </c>
      <c r="L152" s="16">
        <v>2</v>
      </c>
      <c r="M152" s="5">
        <f t="shared" si="71"/>
        <v>720</v>
      </c>
      <c r="N152" s="6">
        <f t="shared" si="72"/>
        <v>59.9298</v>
      </c>
      <c r="O152">
        <f t="shared" si="73"/>
        <v>825</v>
      </c>
      <c r="P152" s="7">
        <f t="shared" si="61"/>
        <v>13.766106344422974</v>
      </c>
      <c r="Q152">
        <f>ROUNDUP(몬스터!$P$17/F152, 0)</f>
        <v>11</v>
      </c>
      <c r="R152" s="6">
        <f t="shared" si="74"/>
        <v>14.647137150466046</v>
      </c>
      <c r="S152" s="7">
        <f>B152/몬스터!$C$17*R152</f>
        <v>234.35419440745673</v>
      </c>
      <c r="U152">
        <f>ROUNDDOWN(R152*몬스터!$H$17, 0)*몬스터!$G$17*(1+몬스터!$I$17)</f>
        <v>732.6</v>
      </c>
      <c r="V152" s="2">
        <f t="shared" si="62"/>
        <v>0.88800000000000001</v>
      </c>
    </row>
    <row r="153" spans="1:22" x14ac:dyDescent="0.4">
      <c r="A153">
        <v>44</v>
      </c>
      <c r="B153" s="4">
        <f>160*A153</f>
        <v>7040</v>
      </c>
      <c r="C153">
        <f t="shared" si="67"/>
        <v>635</v>
      </c>
      <c r="D153">
        <f t="shared" si="68"/>
        <v>33</v>
      </c>
      <c r="E153" s="2">
        <v>0</v>
      </c>
      <c r="F153">
        <f t="shared" si="69"/>
        <v>77</v>
      </c>
      <c r="G153">
        <f t="shared" si="70"/>
        <v>0.753</v>
      </c>
      <c r="H153" s="3">
        <f t="shared" si="60"/>
        <v>0.05</v>
      </c>
      <c r="I153" s="2">
        <v>2</v>
      </c>
      <c r="J153" s="2">
        <v>0</v>
      </c>
      <c r="K153" s="2">
        <v>1</v>
      </c>
      <c r="L153" s="16">
        <v>2</v>
      </c>
      <c r="M153" s="5">
        <f t="shared" si="71"/>
        <v>730</v>
      </c>
      <c r="N153" s="6">
        <f t="shared" si="72"/>
        <v>60.880050000000004</v>
      </c>
      <c r="O153">
        <f t="shared" si="73"/>
        <v>844.55000000000007</v>
      </c>
      <c r="P153" s="7">
        <f t="shared" si="61"/>
        <v>13.872360485906302</v>
      </c>
      <c r="Q153">
        <f>ROUNDUP(몬스터!$P$17/F153, 0)</f>
        <v>11</v>
      </c>
      <c r="R153" s="6">
        <f t="shared" si="74"/>
        <v>14.608233731739707</v>
      </c>
      <c r="S153" s="7">
        <f>B153/몬스터!$C$17*R153</f>
        <v>239.16736156150591</v>
      </c>
      <c r="U153">
        <f>ROUNDDOWN(R153*몬스터!$H$17, 0)*몬스터!$G$17*(1+몬스터!$I$17)</f>
        <v>732.6</v>
      </c>
      <c r="V153" s="2">
        <f t="shared" si="62"/>
        <v>0.86744420105381559</v>
      </c>
    </row>
    <row r="154" spans="1:22" x14ac:dyDescent="0.4">
      <c r="A154">
        <v>45</v>
      </c>
      <c r="B154" s="4">
        <f>160*A154</f>
        <v>7200</v>
      </c>
      <c r="C154">
        <f t="shared" si="67"/>
        <v>645</v>
      </c>
      <c r="D154">
        <f t="shared" si="68"/>
        <v>33</v>
      </c>
      <c r="E154" s="2">
        <v>0</v>
      </c>
      <c r="F154">
        <f t="shared" si="69"/>
        <v>79</v>
      </c>
      <c r="G154">
        <f t="shared" si="70"/>
        <v>0.755</v>
      </c>
      <c r="H154" s="3">
        <f t="shared" si="60"/>
        <v>0.05</v>
      </c>
      <c r="I154" s="2">
        <v>2</v>
      </c>
      <c r="J154" s="2">
        <v>0</v>
      </c>
      <c r="K154" s="2">
        <v>1</v>
      </c>
      <c r="L154" s="16">
        <v>2</v>
      </c>
      <c r="M154" s="5">
        <f t="shared" si="71"/>
        <v>740</v>
      </c>
      <c r="N154" s="6">
        <f t="shared" si="72"/>
        <v>62.627250000000004</v>
      </c>
      <c r="O154">
        <f t="shared" si="73"/>
        <v>857.85</v>
      </c>
      <c r="P154" s="7">
        <f t="shared" si="61"/>
        <v>13.697711459468522</v>
      </c>
      <c r="Q154">
        <f>ROUNDUP(몬스터!$P$17/F154, 0)</f>
        <v>11</v>
      </c>
      <c r="R154" s="6">
        <f t="shared" si="74"/>
        <v>14.569536423841059</v>
      </c>
      <c r="S154" s="7">
        <f>B154/몬스터!$C$17*R154</f>
        <v>243.9550284922224</v>
      </c>
      <c r="T154" s="7">
        <f t="shared" ref="T154" si="77">SUM(S150:S154)</f>
        <v>1212.9302530804569</v>
      </c>
      <c r="U154">
        <f>ROUNDDOWN(R154*몬스터!$H$17, 0)*몬스터!$G$17*(1+몬스터!$I$17)</f>
        <v>732.6</v>
      </c>
      <c r="V154" s="2">
        <f t="shared" si="62"/>
        <v>0.85399545375065566</v>
      </c>
    </row>
    <row r="155" spans="1:22" x14ac:dyDescent="0.4">
      <c r="A155">
        <v>46</v>
      </c>
      <c r="B155" s="4">
        <f>170*A155-620</f>
        <v>7200</v>
      </c>
      <c r="C155">
        <f t="shared" si="67"/>
        <v>655</v>
      </c>
      <c r="D155">
        <f t="shared" si="68"/>
        <v>33</v>
      </c>
      <c r="E155" s="2">
        <v>0</v>
      </c>
      <c r="F155">
        <f t="shared" si="69"/>
        <v>80</v>
      </c>
      <c r="G155">
        <f t="shared" si="70"/>
        <v>0.75700000000000001</v>
      </c>
      <c r="H155" s="3">
        <f t="shared" si="60"/>
        <v>0.05</v>
      </c>
      <c r="I155" s="2">
        <v>2</v>
      </c>
      <c r="J155" s="2">
        <v>0</v>
      </c>
      <c r="K155" s="2">
        <v>1</v>
      </c>
      <c r="L155" s="16">
        <v>2</v>
      </c>
      <c r="M155" s="5">
        <f t="shared" si="71"/>
        <v>750</v>
      </c>
      <c r="N155" s="6">
        <f t="shared" si="72"/>
        <v>63.588000000000008</v>
      </c>
      <c r="O155">
        <f t="shared" si="73"/>
        <v>871.15000000000009</v>
      </c>
      <c r="P155" s="7">
        <f t="shared" si="61"/>
        <v>13.699911933069131</v>
      </c>
      <c r="Q155">
        <f>ROUNDUP(몬스터!$P$18/F155, 0)</f>
        <v>12</v>
      </c>
      <c r="R155" s="6">
        <f t="shared" si="74"/>
        <v>15.852047556142669</v>
      </c>
      <c r="S155" s="7">
        <f>B155/몬스터!$C$18*R155</f>
        <v>237.78071334214002</v>
      </c>
      <c r="U155">
        <f>ROUNDDOWN(R155*몬스터!$H$18, 0)*몬스터!$G$18*(1+몬스터!$I$18)</f>
        <v>897.35249999999996</v>
      </c>
      <c r="V155" s="2">
        <f t="shared" si="62"/>
        <v>1.030078057739769</v>
      </c>
    </row>
    <row r="156" spans="1:22" x14ac:dyDescent="0.4">
      <c r="A156">
        <v>47</v>
      </c>
      <c r="B156" s="4">
        <f>170*A156</f>
        <v>7990</v>
      </c>
      <c r="C156">
        <f t="shared" si="67"/>
        <v>665</v>
      </c>
      <c r="D156">
        <f t="shared" si="68"/>
        <v>34</v>
      </c>
      <c r="E156" s="2">
        <v>0</v>
      </c>
      <c r="F156">
        <f t="shared" si="69"/>
        <v>81</v>
      </c>
      <c r="G156">
        <f t="shared" si="70"/>
        <v>0.75900000000000001</v>
      </c>
      <c r="H156" s="3">
        <f t="shared" si="60"/>
        <v>0.05</v>
      </c>
      <c r="I156" s="2">
        <v>2</v>
      </c>
      <c r="J156" s="2">
        <v>0</v>
      </c>
      <c r="K156" s="2">
        <v>1</v>
      </c>
      <c r="L156" s="16">
        <v>2</v>
      </c>
      <c r="M156" s="5">
        <f t="shared" si="71"/>
        <v>760</v>
      </c>
      <c r="N156" s="6">
        <f t="shared" si="72"/>
        <v>64.552949999999996</v>
      </c>
      <c r="O156">
        <f t="shared" si="73"/>
        <v>891.1</v>
      </c>
      <c r="P156" s="7">
        <f t="shared" si="61"/>
        <v>13.804171614155512</v>
      </c>
      <c r="Q156">
        <f>ROUNDUP(몬스터!$P$18/F156, 0)</f>
        <v>12</v>
      </c>
      <c r="R156" s="6">
        <f t="shared" si="74"/>
        <v>15.810276679841897</v>
      </c>
      <c r="S156" s="7">
        <f>B156/몬스터!$C$18*R156</f>
        <v>263.17523056653488</v>
      </c>
      <c r="U156">
        <f>ROUNDDOWN(R156*몬스터!$H$18, 0)*몬스터!$G$18*(1+몬스터!$I$18)</f>
        <v>897.35249999999996</v>
      </c>
      <c r="V156" s="2">
        <f t="shared" si="62"/>
        <v>1.0070166086858938</v>
      </c>
    </row>
    <row r="157" spans="1:22" x14ac:dyDescent="0.4">
      <c r="A157">
        <v>48</v>
      </c>
      <c r="B157" s="4">
        <f>170*A157</f>
        <v>8160</v>
      </c>
      <c r="C157">
        <f t="shared" si="67"/>
        <v>680</v>
      </c>
      <c r="D157">
        <f t="shared" si="68"/>
        <v>34</v>
      </c>
      <c r="E157" s="2">
        <v>0</v>
      </c>
      <c r="F157">
        <f t="shared" si="69"/>
        <v>83</v>
      </c>
      <c r="G157">
        <f t="shared" si="70"/>
        <v>0.76100000000000001</v>
      </c>
      <c r="H157" s="3">
        <f t="shared" si="60"/>
        <v>0.05</v>
      </c>
      <c r="I157" s="2">
        <v>2</v>
      </c>
      <c r="J157" s="2">
        <v>0</v>
      </c>
      <c r="K157" s="2">
        <v>1</v>
      </c>
      <c r="L157" s="16">
        <v>2</v>
      </c>
      <c r="M157" s="5">
        <f t="shared" si="71"/>
        <v>770</v>
      </c>
      <c r="N157" s="6">
        <f t="shared" si="72"/>
        <v>66.321150000000003</v>
      </c>
      <c r="O157">
        <f t="shared" si="73"/>
        <v>911.2</v>
      </c>
      <c r="P157" s="7">
        <f t="shared" si="61"/>
        <v>13.739206874428444</v>
      </c>
      <c r="Q157">
        <f>ROUNDUP(몬스터!$P$18/F157, 0)</f>
        <v>12</v>
      </c>
      <c r="R157" s="6">
        <f t="shared" si="74"/>
        <v>15.768725361366622</v>
      </c>
      <c r="S157" s="7">
        <f>B157/몬스터!$C$18*R157</f>
        <v>268.06833114323257</v>
      </c>
      <c r="U157">
        <f>ROUNDDOWN(R157*몬스터!$H$18, 0)*몬스터!$G$18*(1+몬스터!$I$18)</f>
        <v>897.35249999999996</v>
      </c>
      <c r="V157" s="2">
        <f t="shared" si="62"/>
        <v>0.98480300702370493</v>
      </c>
    </row>
    <row r="158" spans="1:22" x14ac:dyDescent="0.4">
      <c r="A158">
        <v>49</v>
      </c>
      <c r="B158" s="4">
        <f>170*A158</f>
        <v>8330</v>
      </c>
      <c r="C158">
        <f t="shared" si="67"/>
        <v>690</v>
      </c>
      <c r="D158">
        <f t="shared" si="68"/>
        <v>34</v>
      </c>
      <c r="E158" s="2">
        <v>0</v>
      </c>
      <c r="F158">
        <f t="shared" si="69"/>
        <v>84</v>
      </c>
      <c r="G158">
        <f t="shared" si="70"/>
        <v>0.76300000000000001</v>
      </c>
      <c r="H158" s="3">
        <f t="shared" si="60"/>
        <v>0.05</v>
      </c>
      <c r="I158" s="2">
        <v>2</v>
      </c>
      <c r="J158" s="2">
        <v>0</v>
      </c>
      <c r="K158" s="2">
        <v>1</v>
      </c>
      <c r="L158" s="16">
        <v>2</v>
      </c>
      <c r="M158" s="5">
        <f t="shared" si="71"/>
        <v>780</v>
      </c>
      <c r="N158" s="6">
        <f t="shared" si="72"/>
        <v>67.296599999999998</v>
      </c>
      <c r="O158">
        <f t="shared" si="73"/>
        <v>924.6</v>
      </c>
      <c r="P158" s="7">
        <f t="shared" si="61"/>
        <v>13.739178502331471</v>
      </c>
      <c r="Q158">
        <f>ROUNDUP(몬스터!$P$18/F158, 0)</f>
        <v>12</v>
      </c>
      <c r="R158" s="6">
        <f t="shared" si="74"/>
        <v>15.727391874180865</v>
      </c>
      <c r="S158" s="7">
        <f>B158/몬스터!$C$18*R158</f>
        <v>272.93577981651379</v>
      </c>
      <c r="U158">
        <f>ROUNDDOWN(R158*몬스터!$H$18, 0)*몬스터!$G$18*(1+몬스터!$I$18)</f>
        <v>897.35249999999996</v>
      </c>
      <c r="V158" s="2">
        <f t="shared" si="62"/>
        <v>0.97053049967553529</v>
      </c>
    </row>
    <row r="159" spans="1:22" x14ac:dyDescent="0.4">
      <c r="A159">
        <v>50</v>
      </c>
      <c r="B159" s="4">
        <f>170*A159</f>
        <v>8500</v>
      </c>
      <c r="C159">
        <f t="shared" si="67"/>
        <v>700</v>
      </c>
      <c r="D159">
        <f t="shared" si="68"/>
        <v>35</v>
      </c>
      <c r="E159" s="2">
        <v>0</v>
      </c>
      <c r="F159">
        <f t="shared" si="69"/>
        <v>85</v>
      </c>
      <c r="G159">
        <f t="shared" si="70"/>
        <v>0.76500000000000001</v>
      </c>
      <c r="H159" s="3">
        <f t="shared" si="60"/>
        <v>0.05</v>
      </c>
      <c r="I159" s="2">
        <v>2</v>
      </c>
      <c r="J159" s="2">
        <v>0</v>
      </c>
      <c r="K159" s="2">
        <v>1</v>
      </c>
      <c r="L159" s="16">
        <v>2</v>
      </c>
      <c r="M159" s="5">
        <f t="shared" si="71"/>
        <v>790</v>
      </c>
      <c r="N159" s="6">
        <f t="shared" si="72"/>
        <v>68.276250000000005</v>
      </c>
      <c r="O159">
        <f t="shared" si="73"/>
        <v>945.00000000000011</v>
      </c>
      <c r="P159" s="7">
        <f t="shared" si="61"/>
        <v>13.84083044982699</v>
      </c>
      <c r="Q159">
        <f>ROUNDUP(몬스터!$P$18/F159, 0)</f>
        <v>12</v>
      </c>
      <c r="R159" s="6">
        <f t="shared" si="74"/>
        <v>15.686274509803921</v>
      </c>
      <c r="S159" s="7">
        <f>B159/몬스터!$C$18*R159</f>
        <v>277.77777777777777</v>
      </c>
      <c r="T159" s="7">
        <f t="shared" ref="T159" si="78">SUM(S155:S159)</f>
        <v>1319.737832646199</v>
      </c>
      <c r="U159">
        <f>ROUNDDOWN(R159*몬스터!$H$18, 0)*몬스터!$G$18*(1+몬스터!$I$18)</f>
        <v>897.35249999999996</v>
      </c>
      <c r="V159" s="2">
        <f t="shared" si="62"/>
        <v>0.94957936507936491</v>
      </c>
    </row>
    <row r="160" spans="1:22" x14ac:dyDescent="0.4">
      <c r="A160">
        <v>51</v>
      </c>
      <c r="B160" s="4">
        <f>160*A160</f>
        <v>8160</v>
      </c>
      <c r="C160">
        <f t="shared" si="67"/>
        <v>710</v>
      </c>
      <c r="D160">
        <f t="shared" si="68"/>
        <v>35</v>
      </c>
      <c r="E160" s="2">
        <v>0</v>
      </c>
      <c r="F160">
        <f t="shared" si="69"/>
        <v>87</v>
      </c>
      <c r="G160">
        <f t="shared" si="70"/>
        <v>0.76700000000000002</v>
      </c>
      <c r="H160" s="3">
        <f t="shared" si="60"/>
        <v>0.05</v>
      </c>
      <c r="I160" s="2">
        <v>2</v>
      </c>
      <c r="J160" s="2">
        <v>0</v>
      </c>
      <c r="K160" s="2">
        <v>1</v>
      </c>
      <c r="L160" s="16">
        <v>2</v>
      </c>
      <c r="M160" s="5">
        <f t="shared" si="71"/>
        <v>800</v>
      </c>
      <c r="N160" s="6">
        <f t="shared" si="72"/>
        <v>70.065449999999998</v>
      </c>
      <c r="O160">
        <f t="shared" si="73"/>
        <v>958.50000000000011</v>
      </c>
      <c r="P160" s="7">
        <f t="shared" si="61"/>
        <v>13.680066280884517</v>
      </c>
      <c r="Q160">
        <f>ROUNDUP(몬스터!$P$19/F160, 0)</f>
        <v>13</v>
      </c>
      <c r="R160" s="6">
        <f t="shared" si="74"/>
        <v>16.949152542372882</v>
      </c>
      <c r="S160" s="7">
        <f>B160/몬스터!$C$19*R160</f>
        <v>260.95299008634476</v>
      </c>
      <c r="U160">
        <f>ROUNDDOWN(R160*몬스터!$H$19, 0)*몬스터!$G$19*(1+몬스터!$I$19)</f>
        <v>1093.5</v>
      </c>
      <c r="V160" s="2">
        <f t="shared" si="62"/>
        <v>1.140845070422535</v>
      </c>
    </row>
    <row r="161" spans="1:22" x14ac:dyDescent="0.4">
      <c r="A161">
        <v>52</v>
      </c>
      <c r="B161" s="4">
        <f>160*A161</f>
        <v>8320</v>
      </c>
      <c r="C161">
        <f t="shared" si="67"/>
        <v>720</v>
      </c>
      <c r="D161">
        <f t="shared" si="68"/>
        <v>35</v>
      </c>
      <c r="E161" s="2">
        <v>0</v>
      </c>
      <c r="F161">
        <f t="shared" si="69"/>
        <v>88</v>
      </c>
      <c r="G161">
        <f t="shared" si="70"/>
        <v>0.76900000000000002</v>
      </c>
      <c r="H161" s="3">
        <f t="shared" si="60"/>
        <v>0.05</v>
      </c>
      <c r="I161" s="2">
        <v>2</v>
      </c>
      <c r="J161" s="2">
        <v>0</v>
      </c>
      <c r="K161" s="2">
        <v>1</v>
      </c>
      <c r="L161" s="16">
        <v>2</v>
      </c>
      <c r="M161" s="5">
        <f t="shared" si="71"/>
        <v>810</v>
      </c>
      <c r="N161" s="6">
        <f t="shared" si="72"/>
        <v>71.055599999999998</v>
      </c>
      <c r="O161">
        <f t="shared" si="73"/>
        <v>972.00000000000011</v>
      </c>
      <c r="P161" s="7">
        <f t="shared" si="61"/>
        <v>13.67942850387584</v>
      </c>
      <c r="Q161">
        <f>ROUNDUP(몬스터!$P$19/F161, 0)</f>
        <v>13</v>
      </c>
      <c r="R161" s="6">
        <f t="shared" si="74"/>
        <v>16.905071521456435</v>
      </c>
      <c r="S161" s="7">
        <f>B161/몬스터!$C$19*R161</f>
        <v>265.37772652550478</v>
      </c>
      <c r="U161">
        <f>ROUNDDOWN(R161*몬스터!$H$19, 0)*몬스터!$G$19*(1+몬스터!$I$19)</f>
        <v>1093.5</v>
      </c>
      <c r="V161" s="2">
        <f t="shared" si="62"/>
        <v>1.1249999999999998</v>
      </c>
    </row>
    <row r="162" spans="1:22" x14ac:dyDescent="0.4">
      <c r="A162">
        <v>53</v>
      </c>
      <c r="B162" s="4">
        <f>160*A162</f>
        <v>8480</v>
      </c>
      <c r="C162">
        <f t="shared" si="67"/>
        <v>735</v>
      </c>
      <c r="D162">
        <f t="shared" si="68"/>
        <v>35</v>
      </c>
      <c r="E162" s="2">
        <v>0</v>
      </c>
      <c r="F162">
        <f t="shared" si="69"/>
        <v>89</v>
      </c>
      <c r="G162">
        <f t="shared" si="70"/>
        <v>0.77100000000000002</v>
      </c>
      <c r="H162" s="3">
        <f t="shared" si="60"/>
        <v>0.05</v>
      </c>
      <c r="I162" s="2">
        <v>2</v>
      </c>
      <c r="J162" s="2">
        <v>0</v>
      </c>
      <c r="K162" s="2">
        <v>1</v>
      </c>
      <c r="L162" s="16">
        <v>2</v>
      </c>
      <c r="M162" s="5">
        <f t="shared" si="71"/>
        <v>820</v>
      </c>
      <c r="N162" s="6">
        <f t="shared" si="72"/>
        <v>72.04995000000001</v>
      </c>
      <c r="O162">
        <f t="shared" si="73"/>
        <v>992.25000000000011</v>
      </c>
      <c r="P162" s="7">
        <f t="shared" si="61"/>
        <v>13.771695885979101</v>
      </c>
      <c r="Q162">
        <f>ROUNDUP(몬스터!$P$19/F162, 0)</f>
        <v>13</v>
      </c>
      <c r="R162" s="6">
        <f t="shared" si="74"/>
        <v>16.861219195849547</v>
      </c>
      <c r="S162" s="7">
        <f>B162/몬스터!$C$19*R162</f>
        <v>269.77950713359274</v>
      </c>
      <c r="U162">
        <f>ROUNDDOWN(R162*몬스터!$H$19, 0)*몬스터!$G$19*(1+몬스터!$I$19)</f>
        <v>1093.5</v>
      </c>
      <c r="V162" s="2">
        <f t="shared" si="62"/>
        <v>1.1020408163265305</v>
      </c>
    </row>
    <row r="163" spans="1:22" x14ac:dyDescent="0.4">
      <c r="A163">
        <v>54</v>
      </c>
      <c r="B163" s="4">
        <f>160*A163</f>
        <v>8640</v>
      </c>
      <c r="C163">
        <f t="shared" si="67"/>
        <v>745</v>
      </c>
      <c r="D163">
        <f t="shared" si="68"/>
        <v>36</v>
      </c>
      <c r="E163" s="2">
        <v>0</v>
      </c>
      <c r="F163">
        <f t="shared" si="69"/>
        <v>91</v>
      </c>
      <c r="G163">
        <f t="shared" si="70"/>
        <v>0.77300000000000002</v>
      </c>
      <c r="H163" s="3">
        <f t="shared" si="60"/>
        <v>0.05</v>
      </c>
      <c r="I163" s="2">
        <v>2</v>
      </c>
      <c r="J163" s="2">
        <v>0</v>
      </c>
      <c r="K163" s="2">
        <v>1</v>
      </c>
      <c r="L163" s="16">
        <v>2</v>
      </c>
      <c r="M163" s="5">
        <f t="shared" si="71"/>
        <v>830</v>
      </c>
      <c r="N163" s="6">
        <f t="shared" si="72"/>
        <v>73.860150000000004</v>
      </c>
      <c r="O163">
        <f t="shared" si="73"/>
        <v>1013.1999999999999</v>
      </c>
      <c r="P163" s="7">
        <f t="shared" si="61"/>
        <v>13.717816711718022</v>
      </c>
      <c r="Q163">
        <f>ROUNDUP(몬스터!$P$19/F163, 0)</f>
        <v>12</v>
      </c>
      <c r="R163" s="6">
        <f t="shared" si="74"/>
        <v>15.523932729624837</v>
      </c>
      <c r="S163" s="7">
        <f>B163/몬스터!$C$19*R163</f>
        <v>253.06939393199735</v>
      </c>
      <c r="U163">
        <f>ROUNDDOWN(R163*몬스터!$H$19, 0)*몬스터!$G$19*(1+몬스터!$I$19)</f>
        <v>1002.375</v>
      </c>
      <c r="V163" s="2">
        <f t="shared" si="62"/>
        <v>0.98931602842479283</v>
      </c>
    </row>
    <row r="164" spans="1:22" x14ac:dyDescent="0.4">
      <c r="A164">
        <v>55</v>
      </c>
      <c r="B164" s="4">
        <f>160*A164</f>
        <v>8800</v>
      </c>
      <c r="C164">
        <f t="shared" si="67"/>
        <v>755</v>
      </c>
      <c r="D164">
        <f t="shared" si="68"/>
        <v>36</v>
      </c>
      <c r="E164" s="2">
        <v>0</v>
      </c>
      <c r="F164">
        <f t="shared" si="69"/>
        <v>92</v>
      </c>
      <c r="G164">
        <f t="shared" si="70"/>
        <v>0.77500000000000002</v>
      </c>
      <c r="H164" s="3">
        <f t="shared" si="60"/>
        <v>0.05</v>
      </c>
      <c r="I164" s="2">
        <v>2</v>
      </c>
      <c r="J164" s="2">
        <v>0</v>
      </c>
      <c r="K164" s="2">
        <v>1</v>
      </c>
      <c r="L164" s="16">
        <v>2</v>
      </c>
      <c r="M164" s="5">
        <f t="shared" si="71"/>
        <v>840</v>
      </c>
      <c r="N164" s="6">
        <f t="shared" si="72"/>
        <v>74.864999999999995</v>
      </c>
      <c r="O164">
        <f t="shared" si="73"/>
        <v>1026.8</v>
      </c>
      <c r="P164" s="7">
        <f t="shared" si="61"/>
        <v>13.715354304414614</v>
      </c>
      <c r="Q164">
        <f>ROUNDUP(몬스터!$P$19/F164, 0)</f>
        <v>12</v>
      </c>
      <c r="R164" s="6">
        <f t="shared" si="74"/>
        <v>15.483870967741934</v>
      </c>
      <c r="S164" s="7">
        <f>B164/몬스터!$C$19*R164</f>
        <v>257.09068776628118</v>
      </c>
      <c r="T164" s="7">
        <f t="shared" ref="T164" si="79">SUM(S160:S164)</f>
        <v>1306.2703054437209</v>
      </c>
      <c r="U164">
        <f>ROUNDDOWN(R164*몬스터!$H$19, 0)*몬스터!$G$19*(1+몬스터!$I$19)</f>
        <v>1002.375</v>
      </c>
      <c r="V164" s="2">
        <f t="shared" si="62"/>
        <v>0.97621250486949751</v>
      </c>
    </row>
    <row r="165" spans="1:22" x14ac:dyDescent="0.4">
      <c r="A165">
        <v>56</v>
      </c>
      <c r="B165" s="4">
        <f>170*A165</f>
        <v>9520</v>
      </c>
      <c r="C165">
        <f t="shared" si="67"/>
        <v>765</v>
      </c>
      <c r="D165">
        <f t="shared" si="68"/>
        <v>36</v>
      </c>
      <c r="E165" s="2">
        <v>0</v>
      </c>
      <c r="F165">
        <f t="shared" si="69"/>
        <v>93</v>
      </c>
      <c r="G165">
        <f t="shared" si="70"/>
        <v>0.77700000000000002</v>
      </c>
      <c r="H165" s="3">
        <f t="shared" si="60"/>
        <v>0.05</v>
      </c>
      <c r="I165" s="2">
        <v>2</v>
      </c>
      <c r="J165" s="2">
        <v>0</v>
      </c>
      <c r="K165" s="2">
        <v>1</v>
      </c>
      <c r="L165" s="16">
        <v>2</v>
      </c>
      <c r="M165" s="5">
        <f t="shared" si="71"/>
        <v>850</v>
      </c>
      <c r="N165" s="6">
        <f t="shared" si="72"/>
        <v>75.874049999999997</v>
      </c>
      <c r="O165">
        <f t="shared" si="73"/>
        <v>1040.3999999999999</v>
      </c>
      <c r="P165" s="7">
        <f t="shared" si="61"/>
        <v>13.712198043995278</v>
      </c>
      <c r="Q165">
        <f>ROUNDUP(몬스터!$P$20/F165, 0)</f>
        <v>13</v>
      </c>
      <c r="R165" s="6">
        <f t="shared" si="74"/>
        <v>16.73101673101673</v>
      </c>
      <c r="S165" s="7">
        <f>B165/몬스터!$C$20*R165</f>
        <v>274.61944703324014</v>
      </c>
      <c r="U165">
        <f>ROUNDDOWN(R165*몬스터!$H$20, 0)*몬스터!$G$20*(1+몬스터!$I$20)</f>
        <v>1195.92</v>
      </c>
      <c r="V165" s="2">
        <f t="shared" si="62"/>
        <v>1.1494809688581318</v>
      </c>
    </row>
    <row r="166" spans="1:22" x14ac:dyDescent="0.4">
      <c r="A166">
        <v>57</v>
      </c>
      <c r="B166" s="4">
        <f>170*A166</f>
        <v>9690</v>
      </c>
      <c r="C166">
        <f t="shared" si="67"/>
        <v>775</v>
      </c>
      <c r="D166">
        <f t="shared" si="68"/>
        <v>37</v>
      </c>
      <c r="E166" s="2">
        <v>0</v>
      </c>
      <c r="F166">
        <f t="shared" si="69"/>
        <v>95</v>
      </c>
      <c r="G166">
        <f t="shared" si="70"/>
        <v>0.77900000000000003</v>
      </c>
      <c r="H166" s="3">
        <f t="shared" si="60"/>
        <v>0.05</v>
      </c>
      <c r="I166" s="2">
        <v>2</v>
      </c>
      <c r="J166" s="2">
        <v>0</v>
      </c>
      <c r="K166" s="2">
        <v>1</v>
      </c>
      <c r="L166" s="16">
        <v>2</v>
      </c>
      <c r="M166" s="5">
        <f t="shared" si="71"/>
        <v>860</v>
      </c>
      <c r="N166" s="6">
        <f t="shared" si="72"/>
        <v>77.705249999999992</v>
      </c>
      <c r="O166">
        <f t="shared" si="73"/>
        <v>1061.75</v>
      </c>
      <c r="P166" s="7">
        <f t="shared" si="61"/>
        <v>13.663812934132508</v>
      </c>
      <c r="Q166">
        <f>ROUNDUP(몬스터!$P$20/F166, 0)</f>
        <v>13</v>
      </c>
      <c r="R166" s="6">
        <f t="shared" si="74"/>
        <v>16.688061617458278</v>
      </c>
      <c r="S166" s="7">
        <f>B166/몬스터!$C$20*R166</f>
        <v>278.80571909167367</v>
      </c>
      <c r="U166">
        <f>ROUNDDOWN(R166*몬스터!$H$20, 0)*몬스터!$G$20*(1+몬스터!$I$20)</f>
        <v>1195.92</v>
      </c>
      <c r="V166" s="2">
        <f t="shared" si="62"/>
        <v>1.1263668471862491</v>
      </c>
    </row>
    <row r="167" spans="1:22" x14ac:dyDescent="0.4">
      <c r="A167">
        <v>58</v>
      </c>
      <c r="B167" s="4">
        <f>170*A167</f>
        <v>9860</v>
      </c>
      <c r="C167">
        <f t="shared" si="67"/>
        <v>790</v>
      </c>
      <c r="D167">
        <f t="shared" si="68"/>
        <v>37</v>
      </c>
      <c r="E167" s="2">
        <v>0</v>
      </c>
      <c r="F167">
        <f t="shared" si="69"/>
        <v>96</v>
      </c>
      <c r="G167">
        <f t="shared" si="70"/>
        <v>0.78100000000000003</v>
      </c>
      <c r="H167" s="3">
        <f t="shared" si="60"/>
        <v>0.05</v>
      </c>
      <c r="I167" s="2">
        <v>2</v>
      </c>
      <c r="J167" s="2">
        <v>0</v>
      </c>
      <c r="K167" s="2">
        <v>1</v>
      </c>
      <c r="L167" s="16">
        <v>2</v>
      </c>
      <c r="M167" s="5">
        <f t="shared" si="71"/>
        <v>870</v>
      </c>
      <c r="N167" s="6">
        <f t="shared" si="72"/>
        <v>78.724800000000002</v>
      </c>
      <c r="O167">
        <f t="shared" si="73"/>
        <v>1082.3000000000002</v>
      </c>
      <c r="P167" s="7">
        <f t="shared" si="61"/>
        <v>13.747891388736461</v>
      </c>
      <c r="Q167">
        <f>ROUNDUP(몬스터!$P$20/F167, 0)</f>
        <v>13</v>
      </c>
      <c r="R167" s="6">
        <f t="shared" si="74"/>
        <v>16.645326504481435</v>
      </c>
      <c r="S167" s="7">
        <f>B167/몬스터!$C$20*R167</f>
        <v>282.97055057618439</v>
      </c>
      <c r="U167">
        <f>ROUNDDOWN(R167*몬스터!$H$20, 0)*몬스터!$G$20*(1+몬스터!$I$20)</f>
        <v>1195.92</v>
      </c>
      <c r="V167" s="2">
        <f t="shared" si="62"/>
        <v>1.1049801348979025</v>
      </c>
    </row>
    <row r="168" spans="1:22" x14ac:dyDescent="0.4">
      <c r="A168">
        <v>59</v>
      </c>
      <c r="B168" s="4">
        <f>170*A168</f>
        <v>10030</v>
      </c>
      <c r="C168">
        <f t="shared" si="67"/>
        <v>800</v>
      </c>
      <c r="D168">
        <f t="shared" si="68"/>
        <v>37</v>
      </c>
      <c r="E168" s="2">
        <v>0</v>
      </c>
      <c r="F168">
        <f t="shared" si="69"/>
        <v>97</v>
      </c>
      <c r="G168">
        <f t="shared" si="70"/>
        <v>0.78300000000000003</v>
      </c>
      <c r="H168" s="3">
        <f t="shared" si="60"/>
        <v>0.05</v>
      </c>
      <c r="I168" s="2">
        <v>2</v>
      </c>
      <c r="J168" s="2">
        <v>0</v>
      </c>
      <c r="K168" s="2">
        <v>1</v>
      </c>
      <c r="L168" s="16">
        <v>2</v>
      </c>
      <c r="M168" s="5">
        <f t="shared" si="71"/>
        <v>880</v>
      </c>
      <c r="N168" s="6">
        <f t="shared" si="72"/>
        <v>79.748550000000009</v>
      </c>
      <c r="O168">
        <f t="shared" si="73"/>
        <v>1096</v>
      </c>
      <c r="P168" s="7">
        <f t="shared" si="61"/>
        <v>13.743196584765489</v>
      </c>
      <c r="Q168">
        <f>ROUNDUP(몬스터!$P$20/F168, 0)</f>
        <v>13</v>
      </c>
      <c r="R168" s="6">
        <f t="shared" si="74"/>
        <v>16.602809706257982</v>
      </c>
      <c r="S168" s="7">
        <f>B168/몬스터!$C$20*R168</f>
        <v>287.11410578235785</v>
      </c>
      <c r="U168">
        <f>ROUNDDOWN(R168*몬스터!$H$20, 0)*몬스터!$G$20*(1+몬스터!$I$20)</f>
        <v>1195.92</v>
      </c>
      <c r="V168" s="2">
        <f t="shared" si="62"/>
        <v>1.0911678832116789</v>
      </c>
    </row>
    <row r="169" spans="1:22" x14ac:dyDescent="0.4">
      <c r="A169">
        <v>60</v>
      </c>
      <c r="B169" s="4">
        <f>170*A169</f>
        <v>10200</v>
      </c>
      <c r="C169">
        <f t="shared" si="67"/>
        <v>810</v>
      </c>
      <c r="D169">
        <f t="shared" si="68"/>
        <v>38</v>
      </c>
      <c r="E169" s="2">
        <v>0</v>
      </c>
      <c r="F169">
        <f t="shared" si="69"/>
        <v>99</v>
      </c>
      <c r="G169">
        <f t="shared" si="70"/>
        <v>0.78500000000000003</v>
      </c>
      <c r="H169" s="3">
        <f t="shared" si="60"/>
        <v>0.05</v>
      </c>
      <c r="I169" s="2">
        <v>2</v>
      </c>
      <c r="J169" s="2">
        <v>0</v>
      </c>
      <c r="K169" s="2">
        <v>1</v>
      </c>
      <c r="L169" s="16">
        <v>2</v>
      </c>
      <c r="M169" s="5">
        <f t="shared" si="71"/>
        <v>890</v>
      </c>
      <c r="N169" s="6">
        <f t="shared" si="72"/>
        <v>81.600750000000005</v>
      </c>
      <c r="O169">
        <f t="shared" si="73"/>
        <v>1117.8</v>
      </c>
      <c r="P169" s="7">
        <f t="shared" si="61"/>
        <v>13.698403507320704</v>
      </c>
      <c r="Q169">
        <f>ROUNDUP(몬스터!$P$20/F169, 0)</f>
        <v>13</v>
      </c>
      <c r="R169" s="6">
        <f t="shared" si="74"/>
        <v>16.560509554140125</v>
      </c>
      <c r="S169" s="7">
        <f>B169/몬스터!$C$20*R169</f>
        <v>291.23654733142979</v>
      </c>
      <c r="T169" s="7">
        <f t="shared" ref="T169" si="80">SUM(S165:S169)</f>
        <v>1414.7463698148861</v>
      </c>
      <c r="U169">
        <f>ROUNDDOWN(R169*몬스터!$H$20, 0)*몬스터!$G$20*(1+몬스터!$I$20)</f>
        <v>1195.92</v>
      </c>
      <c r="V169" s="2">
        <f t="shared" si="62"/>
        <v>1.0698872785829308</v>
      </c>
    </row>
    <row r="170" spans="1:22" x14ac:dyDescent="0.4">
      <c r="A170">
        <v>61</v>
      </c>
      <c r="B170" s="4">
        <f>160*A170-320</f>
        <v>9440</v>
      </c>
      <c r="C170">
        <f t="shared" si="67"/>
        <v>820</v>
      </c>
      <c r="D170">
        <f t="shared" si="68"/>
        <v>38</v>
      </c>
      <c r="E170" s="2">
        <v>0</v>
      </c>
      <c r="F170">
        <f t="shared" si="69"/>
        <v>100</v>
      </c>
      <c r="G170">
        <f t="shared" si="70"/>
        <v>0.78700000000000003</v>
      </c>
      <c r="H170" s="3">
        <f t="shared" si="60"/>
        <v>0.05</v>
      </c>
      <c r="I170" s="2">
        <v>2</v>
      </c>
      <c r="J170" s="2">
        <v>0</v>
      </c>
      <c r="K170" s="2">
        <v>1</v>
      </c>
      <c r="L170" s="16">
        <v>2</v>
      </c>
      <c r="M170" s="5">
        <f t="shared" si="71"/>
        <v>900</v>
      </c>
      <c r="N170" s="6">
        <f t="shared" si="72"/>
        <v>82.635000000000005</v>
      </c>
      <c r="O170">
        <f t="shared" si="73"/>
        <v>1131.5999999999999</v>
      </c>
      <c r="P170" s="7">
        <f t="shared" si="61"/>
        <v>13.693955345797784</v>
      </c>
      <c r="Q170">
        <f>ROUNDUP(몬스터!$P$23/F170, 0)</f>
        <v>14</v>
      </c>
      <c r="R170" s="6">
        <f t="shared" si="74"/>
        <v>17.789072426937736</v>
      </c>
      <c r="S170" s="7">
        <f>B170/몬스터!$C$23*R170</f>
        <v>266.55372017506704</v>
      </c>
      <c r="U170">
        <f>ROUNDDOWN(R170*몬스터!$H$23, 0)*몬스터!$G$23*(1+몬스터!$I$23)</f>
        <v>1532.16</v>
      </c>
      <c r="V170" s="2">
        <f t="shared" si="62"/>
        <v>1.3539766702014848</v>
      </c>
    </row>
    <row r="171" spans="1:22" x14ac:dyDescent="0.4">
      <c r="A171">
        <v>62</v>
      </c>
      <c r="B171" s="4">
        <f>160*A171</f>
        <v>9920</v>
      </c>
      <c r="C171">
        <f t="shared" si="67"/>
        <v>830</v>
      </c>
      <c r="D171">
        <f t="shared" si="68"/>
        <v>38</v>
      </c>
      <c r="E171" s="2">
        <v>0</v>
      </c>
      <c r="F171">
        <f t="shared" si="69"/>
        <v>101</v>
      </c>
      <c r="G171">
        <f t="shared" si="70"/>
        <v>0.78900000000000003</v>
      </c>
      <c r="H171" s="3">
        <f t="shared" si="60"/>
        <v>0.05</v>
      </c>
      <c r="I171" s="2">
        <v>2</v>
      </c>
      <c r="J171" s="2">
        <v>0</v>
      </c>
      <c r="K171" s="2">
        <v>1</v>
      </c>
      <c r="L171" s="16">
        <v>2</v>
      </c>
      <c r="M171" s="5">
        <f t="shared" si="71"/>
        <v>910</v>
      </c>
      <c r="N171" s="6">
        <f t="shared" si="72"/>
        <v>83.673450000000017</v>
      </c>
      <c r="O171">
        <f t="shared" si="73"/>
        <v>1145.3999999999999</v>
      </c>
      <c r="P171" s="7">
        <f t="shared" si="61"/>
        <v>13.688930001093533</v>
      </c>
      <c r="Q171">
        <f>ROUNDUP(몬스터!$P$23/F171, 0)</f>
        <v>14</v>
      </c>
      <c r="R171" s="6">
        <f t="shared" si="74"/>
        <v>17.743979721166031</v>
      </c>
      <c r="S171" s="7">
        <f>B171/몬스터!$C$23*R171</f>
        <v>279.39726799042387</v>
      </c>
      <c r="U171">
        <f>ROUNDDOWN(R171*몬스터!$H$23, 0)*몬스터!$G$23*(1+몬스터!$I$23)</f>
        <v>1532.16</v>
      </c>
      <c r="V171" s="2">
        <f t="shared" si="62"/>
        <v>1.3376636982713466</v>
      </c>
    </row>
    <row r="172" spans="1:22" x14ac:dyDescent="0.4">
      <c r="A172">
        <v>63</v>
      </c>
      <c r="B172" s="4">
        <f>160*A172</f>
        <v>10080</v>
      </c>
      <c r="C172">
        <f t="shared" si="67"/>
        <v>845</v>
      </c>
      <c r="D172">
        <f t="shared" si="68"/>
        <v>38</v>
      </c>
      <c r="E172" s="2">
        <v>0</v>
      </c>
      <c r="F172">
        <f t="shared" si="69"/>
        <v>103</v>
      </c>
      <c r="G172">
        <f t="shared" si="70"/>
        <v>0.79100000000000004</v>
      </c>
      <c r="H172" s="3">
        <f t="shared" si="60"/>
        <v>0.05</v>
      </c>
      <c r="I172" s="2">
        <v>2</v>
      </c>
      <c r="J172" s="2">
        <v>0</v>
      </c>
      <c r="K172" s="2">
        <v>1</v>
      </c>
      <c r="L172" s="16">
        <v>2</v>
      </c>
      <c r="M172" s="5">
        <f t="shared" si="71"/>
        <v>920</v>
      </c>
      <c r="N172" s="6">
        <f t="shared" si="72"/>
        <v>85.54665</v>
      </c>
      <c r="O172">
        <f t="shared" si="73"/>
        <v>1166.0999999999999</v>
      </c>
      <c r="P172" s="7">
        <f t="shared" si="61"/>
        <v>13.631159139487051</v>
      </c>
      <c r="Q172">
        <f>ROUNDUP(몬스터!$P$23/F172, 0)</f>
        <v>14</v>
      </c>
      <c r="R172" s="6">
        <f t="shared" si="74"/>
        <v>17.699115044247787</v>
      </c>
      <c r="S172" s="7">
        <f>B172/몬스터!$C$23*R172</f>
        <v>283.18584070796459</v>
      </c>
      <c r="U172">
        <f>ROUNDDOWN(R172*몬스터!$H$23, 0)*몬스터!$G$23*(1+몬스터!$I$23)</f>
        <v>1532.16</v>
      </c>
      <c r="V172" s="2">
        <f t="shared" si="62"/>
        <v>1.313918188834577</v>
      </c>
    </row>
    <row r="173" spans="1:22" x14ac:dyDescent="0.4">
      <c r="A173">
        <v>64</v>
      </c>
      <c r="B173" s="4">
        <f>160*A173</f>
        <v>10240</v>
      </c>
      <c r="C173">
        <f t="shared" si="67"/>
        <v>855</v>
      </c>
      <c r="D173">
        <f t="shared" si="68"/>
        <v>39</v>
      </c>
      <c r="E173" s="2">
        <v>0</v>
      </c>
      <c r="F173">
        <f t="shared" si="69"/>
        <v>104</v>
      </c>
      <c r="G173">
        <f t="shared" si="70"/>
        <v>0.79300000000000004</v>
      </c>
      <c r="H173" s="3">
        <f t="shared" si="60"/>
        <v>0.05</v>
      </c>
      <c r="I173" s="2">
        <v>2</v>
      </c>
      <c r="J173" s="2">
        <v>0</v>
      </c>
      <c r="K173" s="2">
        <v>1</v>
      </c>
      <c r="L173" s="16">
        <v>2</v>
      </c>
      <c r="M173" s="5">
        <f t="shared" si="71"/>
        <v>930</v>
      </c>
      <c r="N173" s="6">
        <f t="shared" si="72"/>
        <v>86.595600000000019</v>
      </c>
      <c r="O173">
        <f t="shared" si="73"/>
        <v>1188.45</v>
      </c>
      <c r="P173" s="7">
        <f t="shared" si="61"/>
        <v>13.724138408879895</v>
      </c>
      <c r="Q173">
        <f>ROUNDUP(몬스터!$P$23/F173, 0)</f>
        <v>13</v>
      </c>
      <c r="R173" s="6">
        <f t="shared" si="74"/>
        <v>16.393442622950818</v>
      </c>
      <c r="S173" s="7">
        <f>B173/몬스터!$C$23*R173</f>
        <v>266.45849596669262</v>
      </c>
      <c r="U173">
        <f>ROUNDDOWN(R173*몬스터!$H$23, 0)*몬스터!$G$23*(1+몬스터!$I$23)</f>
        <v>1313.2800000000002</v>
      </c>
      <c r="V173" s="2">
        <f t="shared" si="62"/>
        <v>1.1050359712230218</v>
      </c>
    </row>
    <row r="174" spans="1:22" x14ac:dyDescent="0.4">
      <c r="A174">
        <v>65</v>
      </c>
      <c r="B174" s="4">
        <f>160*A174</f>
        <v>10400</v>
      </c>
      <c r="C174">
        <f t="shared" ref="C174:C209" si="81">MROUND(150+A174*11,5)</f>
        <v>865</v>
      </c>
      <c r="D174">
        <f t="shared" ref="D174:D209" si="82">ROUNDDOWN((20+A174*0.3), 0)</f>
        <v>39</v>
      </c>
      <c r="E174" s="2">
        <v>0</v>
      </c>
      <c r="F174">
        <f t="shared" ref="F174:F209" si="83">ROUND((28+A174*2)*2/3, 0)</f>
        <v>105</v>
      </c>
      <c r="G174">
        <f t="shared" ref="G174:G209" si="84">0.665+0.002*A174</f>
        <v>0.79500000000000004</v>
      </c>
      <c r="H174" s="3">
        <f t="shared" si="60"/>
        <v>0.05</v>
      </c>
      <c r="I174" s="2">
        <v>2</v>
      </c>
      <c r="J174" s="2">
        <v>0</v>
      </c>
      <c r="K174" s="2">
        <v>1</v>
      </c>
      <c r="L174" s="16">
        <v>2</v>
      </c>
      <c r="M174" s="5">
        <f t="shared" ref="M174:M209" si="85">290+10*A174</f>
        <v>940</v>
      </c>
      <c r="N174" s="6">
        <f t="shared" ref="N174:N209" si="86">F174*G174*(1+H174)</f>
        <v>87.648750000000007</v>
      </c>
      <c r="O174">
        <f t="shared" ref="O174:O209" si="87">C174*(1+D174/100)*(1+E174)</f>
        <v>1202.3500000000001</v>
      </c>
      <c r="P174" s="7">
        <f t="shared" si="61"/>
        <v>13.717822558792911</v>
      </c>
      <c r="Q174">
        <f>ROUNDUP(몬스터!$P$23/F174, 0)</f>
        <v>13</v>
      </c>
      <c r="R174" s="6">
        <f t="shared" ref="R174:R205" si="88">Q174/G174</f>
        <v>16.352201257861633</v>
      </c>
      <c r="S174" s="7">
        <f>B174/몬스터!$C$23*R174</f>
        <v>269.94110012977939</v>
      </c>
      <c r="T174" s="7">
        <f t="shared" ref="T174" si="89">SUM(S170:S174)</f>
        <v>1365.5364249699276</v>
      </c>
      <c r="U174">
        <f>ROUNDDOWN(R174*몬스터!$H$23, 0)*몬스터!$G$23*(1+몬스터!$I$23)</f>
        <v>1313.2800000000002</v>
      </c>
      <c r="V174" s="2">
        <f t="shared" si="62"/>
        <v>1.0922609888967438</v>
      </c>
    </row>
    <row r="175" spans="1:22" x14ac:dyDescent="0.4">
      <c r="A175">
        <v>66</v>
      </c>
      <c r="B175" s="4">
        <f>170*A175-680</f>
        <v>10540</v>
      </c>
      <c r="C175">
        <f t="shared" si="81"/>
        <v>875</v>
      </c>
      <c r="D175">
        <f t="shared" si="82"/>
        <v>39</v>
      </c>
      <c r="E175" s="2">
        <v>0</v>
      </c>
      <c r="F175">
        <f t="shared" si="83"/>
        <v>107</v>
      </c>
      <c r="G175">
        <f t="shared" si="84"/>
        <v>0.79700000000000004</v>
      </c>
      <c r="H175" s="3">
        <f t="shared" ref="H175:H209" si="90">0.05</f>
        <v>0.05</v>
      </c>
      <c r="I175" s="2">
        <v>2</v>
      </c>
      <c r="J175" s="2">
        <v>0</v>
      </c>
      <c r="K175" s="2">
        <v>1</v>
      </c>
      <c r="L175" s="16">
        <v>2</v>
      </c>
      <c r="M175" s="5">
        <f t="shared" si="85"/>
        <v>950</v>
      </c>
      <c r="N175" s="6">
        <f t="shared" si="86"/>
        <v>89.542950000000019</v>
      </c>
      <c r="O175">
        <f t="shared" si="87"/>
        <v>1216.25</v>
      </c>
      <c r="P175" s="7">
        <f t="shared" ref="P175:P209" si="91">O175/N175</f>
        <v>13.582867216235334</v>
      </c>
      <c r="Q175">
        <f>ROUNDUP(몬스터!$P$24/F175, 0)</f>
        <v>14</v>
      </c>
      <c r="R175" s="6">
        <f t="shared" si="88"/>
        <v>17.565872020075282</v>
      </c>
      <c r="S175" s="7">
        <f>B175/몬스터!$C$24*R175</f>
        <v>272.27101631116687</v>
      </c>
      <c r="U175">
        <f>ROUNDDOWN(R175*몬스터!$H$24, 0)*몬스터!$G$24*(1+몬스터!$I$24)</f>
        <v>1654.6949999999999</v>
      </c>
      <c r="V175" s="2">
        <f t="shared" ref="V175:V209" si="92">U175/O175</f>
        <v>1.3604892086330935</v>
      </c>
    </row>
    <row r="176" spans="1:22" x14ac:dyDescent="0.4">
      <c r="A176">
        <v>67</v>
      </c>
      <c r="B176" s="4">
        <f>170*A176</f>
        <v>11390</v>
      </c>
      <c r="C176">
        <f t="shared" si="81"/>
        <v>885</v>
      </c>
      <c r="D176">
        <f t="shared" si="82"/>
        <v>40</v>
      </c>
      <c r="E176" s="2">
        <v>0</v>
      </c>
      <c r="F176">
        <f t="shared" si="83"/>
        <v>108</v>
      </c>
      <c r="G176">
        <f t="shared" si="84"/>
        <v>0.79900000000000004</v>
      </c>
      <c r="H176" s="3">
        <f t="shared" si="90"/>
        <v>0.05</v>
      </c>
      <c r="I176" s="2">
        <v>2</v>
      </c>
      <c r="J176" s="2">
        <v>0</v>
      </c>
      <c r="K176" s="2">
        <v>1</v>
      </c>
      <c r="L176" s="16">
        <v>2</v>
      </c>
      <c r="M176" s="5">
        <f t="shared" si="85"/>
        <v>960</v>
      </c>
      <c r="N176" s="6">
        <f t="shared" si="86"/>
        <v>90.6066</v>
      </c>
      <c r="O176">
        <f t="shared" si="87"/>
        <v>1239</v>
      </c>
      <c r="P176" s="7">
        <f t="shared" si="91"/>
        <v>13.674500533073749</v>
      </c>
      <c r="Q176">
        <f>ROUNDUP(몬스터!$P$24/F176, 0)</f>
        <v>14</v>
      </c>
      <c r="R176" s="6">
        <f t="shared" si="88"/>
        <v>17.521902377972463</v>
      </c>
      <c r="S176" s="7">
        <f>B176/몬스터!$C$24*R176</f>
        <v>293.49186483103875</v>
      </c>
      <c r="U176">
        <f>ROUNDDOWN(R176*몬스터!$H$24, 0)*몬스터!$G$24*(1+몬스터!$I$24)</f>
        <v>1654.6949999999999</v>
      </c>
      <c r="V176" s="2">
        <f t="shared" si="92"/>
        <v>1.3355084745762711</v>
      </c>
    </row>
    <row r="177" spans="1:22" x14ac:dyDescent="0.4">
      <c r="A177">
        <v>68</v>
      </c>
      <c r="B177" s="4">
        <f>170*A177</f>
        <v>11560</v>
      </c>
      <c r="C177">
        <f t="shared" si="81"/>
        <v>900</v>
      </c>
      <c r="D177">
        <f t="shared" si="82"/>
        <v>40</v>
      </c>
      <c r="E177" s="2">
        <v>0</v>
      </c>
      <c r="F177">
        <f t="shared" si="83"/>
        <v>109</v>
      </c>
      <c r="G177">
        <f t="shared" si="84"/>
        <v>0.80100000000000005</v>
      </c>
      <c r="H177" s="3">
        <f t="shared" si="90"/>
        <v>0.05</v>
      </c>
      <c r="I177" s="2">
        <v>2</v>
      </c>
      <c r="J177" s="2">
        <v>0</v>
      </c>
      <c r="K177" s="2">
        <v>1</v>
      </c>
      <c r="L177" s="16">
        <v>2</v>
      </c>
      <c r="M177" s="5">
        <f t="shared" si="85"/>
        <v>970</v>
      </c>
      <c r="N177" s="6">
        <f t="shared" si="86"/>
        <v>91.674450000000022</v>
      </c>
      <c r="O177">
        <f t="shared" si="87"/>
        <v>1260</v>
      </c>
      <c r="P177" s="7">
        <f t="shared" si="91"/>
        <v>13.744287530495134</v>
      </c>
      <c r="Q177">
        <f>ROUNDUP(몬스터!$P$24/F177, 0)</f>
        <v>14</v>
      </c>
      <c r="R177" s="6">
        <f t="shared" si="88"/>
        <v>17.478152309612984</v>
      </c>
      <c r="S177" s="7">
        <f>B177/몬스터!$C$24*R177</f>
        <v>297.12858926342074</v>
      </c>
      <c r="U177">
        <f>ROUNDDOWN(R177*몬스터!$H$24, 0)*몬스터!$G$24*(1+몬스터!$I$24)</f>
        <v>1654.6949999999999</v>
      </c>
      <c r="V177" s="2">
        <f t="shared" si="92"/>
        <v>1.31325</v>
      </c>
    </row>
    <row r="178" spans="1:22" x14ac:dyDescent="0.4">
      <c r="A178">
        <v>69</v>
      </c>
      <c r="B178" s="4">
        <f>170*A178</f>
        <v>11730</v>
      </c>
      <c r="C178">
        <f t="shared" si="81"/>
        <v>910</v>
      </c>
      <c r="D178">
        <f t="shared" si="82"/>
        <v>40</v>
      </c>
      <c r="E178" s="2">
        <v>0</v>
      </c>
      <c r="F178">
        <f t="shared" si="83"/>
        <v>111</v>
      </c>
      <c r="G178">
        <f t="shared" si="84"/>
        <v>0.80300000000000005</v>
      </c>
      <c r="H178" s="3">
        <f t="shared" si="90"/>
        <v>0.05</v>
      </c>
      <c r="I178" s="2">
        <v>2</v>
      </c>
      <c r="J178" s="2">
        <v>0</v>
      </c>
      <c r="K178" s="2">
        <v>1</v>
      </c>
      <c r="L178" s="16">
        <v>2</v>
      </c>
      <c r="M178" s="5">
        <f t="shared" si="85"/>
        <v>980</v>
      </c>
      <c r="N178" s="6">
        <f t="shared" si="86"/>
        <v>93.58965000000002</v>
      </c>
      <c r="O178">
        <f t="shared" si="87"/>
        <v>1274</v>
      </c>
      <c r="P178" s="7">
        <f t="shared" si="91"/>
        <v>13.612616352342377</v>
      </c>
      <c r="Q178">
        <f>ROUNDUP(몬스터!$P$24/F178, 0)</f>
        <v>14</v>
      </c>
      <c r="R178" s="6">
        <f t="shared" si="88"/>
        <v>17.4346201743462</v>
      </c>
      <c r="S178" s="7">
        <f>B178/몬스터!$C$24*R178</f>
        <v>300.74719800747198</v>
      </c>
      <c r="U178">
        <f>ROUNDDOWN(R178*몬스터!$H$24, 0)*몬스터!$G$24*(1+몬스터!$I$24)</f>
        <v>1654.6949999999999</v>
      </c>
      <c r="V178" s="2">
        <f t="shared" si="92"/>
        <v>1.2988186813186813</v>
      </c>
    </row>
    <row r="179" spans="1:22" x14ac:dyDescent="0.4">
      <c r="A179">
        <v>70</v>
      </c>
      <c r="B179" s="4">
        <f>170*A179</f>
        <v>11900</v>
      </c>
      <c r="C179">
        <f t="shared" si="81"/>
        <v>920</v>
      </c>
      <c r="D179">
        <f t="shared" si="82"/>
        <v>41</v>
      </c>
      <c r="E179" s="2">
        <v>0</v>
      </c>
      <c r="F179">
        <f t="shared" si="83"/>
        <v>112</v>
      </c>
      <c r="G179">
        <f t="shared" si="84"/>
        <v>0.80500000000000005</v>
      </c>
      <c r="H179" s="3">
        <f t="shared" si="90"/>
        <v>0.05</v>
      </c>
      <c r="I179" s="2">
        <v>2</v>
      </c>
      <c r="J179" s="2">
        <v>0</v>
      </c>
      <c r="K179" s="2">
        <v>1</v>
      </c>
      <c r="L179" s="16">
        <v>2</v>
      </c>
      <c r="M179" s="5">
        <f t="shared" si="85"/>
        <v>990</v>
      </c>
      <c r="N179" s="6">
        <f t="shared" si="86"/>
        <v>94.668000000000021</v>
      </c>
      <c r="O179">
        <f t="shared" si="87"/>
        <v>1297.1999999999998</v>
      </c>
      <c r="P179" s="7">
        <f t="shared" si="91"/>
        <v>13.702623906705535</v>
      </c>
      <c r="Q179">
        <f>ROUNDUP(몬스터!$P$24/F179, 0)</f>
        <v>14</v>
      </c>
      <c r="R179" s="6">
        <f t="shared" si="88"/>
        <v>17.391304347826086</v>
      </c>
      <c r="S179" s="7">
        <f>B179/몬스터!$C$24*R179</f>
        <v>304.3478260869565</v>
      </c>
      <c r="T179" s="7">
        <f t="shared" ref="T179" si="93">SUM(S175:S179)</f>
        <v>1467.986494500055</v>
      </c>
      <c r="U179">
        <f>ROUNDDOWN(R179*몬스터!$H$24, 0)*몬스터!$G$24*(1+몬스터!$I$24)</f>
        <v>1654.6949999999999</v>
      </c>
      <c r="V179" s="2">
        <f t="shared" si="92"/>
        <v>1.2755897317298799</v>
      </c>
    </row>
    <row r="180" spans="1:22" x14ac:dyDescent="0.4">
      <c r="A180">
        <v>71</v>
      </c>
      <c r="B180" s="4">
        <f>160*A180</f>
        <v>11360</v>
      </c>
      <c r="C180">
        <f t="shared" si="81"/>
        <v>930</v>
      </c>
      <c r="D180">
        <f t="shared" si="82"/>
        <v>41</v>
      </c>
      <c r="E180" s="2">
        <v>0</v>
      </c>
      <c r="F180">
        <f t="shared" si="83"/>
        <v>113</v>
      </c>
      <c r="G180">
        <f t="shared" si="84"/>
        <v>0.80700000000000005</v>
      </c>
      <c r="H180" s="3">
        <f t="shared" si="90"/>
        <v>0.05</v>
      </c>
      <c r="I180" s="2">
        <v>2</v>
      </c>
      <c r="J180" s="2">
        <v>0</v>
      </c>
      <c r="K180" s="2">
        <v>1</v>
      </c>
      <c r="L180" s="16">
        <v>2</v>
      </c>
      <c r="M180" s="5">
        <f t="shared" si="85"/>
        <v>1000</v>
      </c>
      <c r="N180" s="6">
        <f t="shared" si="86"/>
        <v>95.750550000000004</v>
      </c>
      <c r="O180">
        <f t="shared" si="87"/>
        <v>1311.3</v>
      </c>
      <c r="P180" s="7">
        <f t="shared" si="91"/>
        <v>13.694960498921414</v>
      </c>
      <c r="Q180">
        <f>ROUNDUP(몬스터!$P$25/F180, 0)</f>
        <v>15</v>
      </c>
      <c r="R180" s="6">
        <f t="shared" si="88"/>
        <v>18.587360594795538</v>
      </c>
      <c r="S180" s="7">
        <f>B180/몬스터!$C$25*R180</f>
        <v>289.24988542037988</v>
      </c>
      <c r="U180">
        <f>ROUNDDOWN(R180*몬스터!$H$25, 0)*몬스터!$G$25*(1+몬스터!$I$25)</f>
        <v>1923.075</v>
      </c>
      <c r="V180" s="2">
        <f t="shared" si="92"/>
        <v>1.4665408373369939</v>
      </c>
    </row>
    <row r="181" spans="1:22" x14ac:dyDescent="0.4">
      <c r="A181">
        <v>72</v>
      </c>
      <c r="B181" s="4">
        <f>160*A181</f>
        <v>11520</v>
      </c>
      <c r="C181">
        <f t="shared" si="81"/>
        <v>940</v>
      </c>
      <c r="D181">
        <f t="shared" si="82"/>
        <v>41</v>
      </c>
      <c r="E181" s="2">
        <v>0</v>
      </c>
      <c r="F181">
        <f t="shared" si="83"/>
        <v>115</v>
      </c>
      <c r="G181">
        <f t="shared" si="84"/>
        <v>0.80900000000000005</v>
      </c>
      <c r="H181" s="3">
        <f t="shared" si="90"/>
        <v>0.05</v>
      </c>
      <c r="I181" s="2">
        <v>2</v>
      </c>
      <c r="J181" s="2">
        <v>0</v>
      </c>
      <c r="K181" s="2">
        <v>1</v>
      </c>
      <c r="L181" s="16">
        <v>2</v>
      </c>
      <c r="M181" s="5">
        <f t="shared" si="85"/>
        <v>1010</v>
      </c>
      <c r="N181" s="6">
        <f t="shared" si="86"/>
        <v>97.686750000000018</v>
      </c>
      <c r="O181">
        <f t="shared" si="87"/>
        <v>1325.3999999999999</v>
      </c>
      <c r="P181" s="7">
        <f t="shared" si="91"/>
        <v>13.567858486437512</v>
      </c>
      <c r="Q181">
        <f>ROUNDUP(몬스터!$P$25/F181, 0)</f>
        <v>15</v>
      </c>
      <c r="R181" s="6">
        <f t="shared" si="88"/>
        <v>18.541409147095177</v>
      </c>
      <c r="S181" s="7">
        <f>B181/몬스터!$C$25*R181</f>
        <v>292.59867585552934</v>
      </c>
      <c r="U181">
        <f>ROUNDDOWN(R181*몬스터!$H$25, 0)*몬스터!$G$25*(1+몬스터!$I$25)</f>
        <v>1923.075</v>
      </c>
      <c r="V181" s="2">
        <f t="shared" si="92"/>
        <v>1.4509393390674514</v>
      </c>
    </row>
    <row r="182" spans="1:22" x14ac:dyDescent="0.4">
      <c r="A182">
        <v>73</v>
      </c>
      <c r="B182" s="4">
        <f>160*A182</f>
        <v>11680</v>
      </c>
      <c r="C182">
        <f t="shared" si="81"/>
        <v>955</v>
      </c>
      <c r="D182">
        <f t="shared" si="82"/>
        <v>41</v>
      </c>
      <c r="E182" s="2">
        <v>0</v>
      </c>
      <c r="F182">
        <f t="shared" si="83"/>
        <v>116</v>
      </c>
      <c r="G182">
        <f t="shared" si="84"/>
        <v>0.81100000000000005</v>
      </c>
      <c r="H182" s="3">
        <f t="shared" si="90"/>
        <v>0.05</v>
      </c>
      <c r="I182" s="2">
        <v>2</v>
      </c>
      <c r="J182" s="2">
        <v>0</v>
      </c>
      <c r="K182" s="2">
        <v>1</v>
      </c>
      <c r="L182" s="16">
        <v>2</v>
      </c>
      <c r="M182" s="5">
        <f t="shared" si="85"/>
        <v>1020</v>
      </c>
      <c r="N182" s="6">
        <f t="shared" si="86"/>
        <v>98.779800000000009</v>
      </c>
      <c r="O182">
        <f t="shared" si="87"/>
        <v>1346.55</v>
      </c>
      <c r="P182" s="7">
        <f t="shared" si="91"/>
        <v>13.631835658707548</v>
      </c>
      <c r="Q182">
        <f>ROUNDUP(몬스터!$P$25/F182, 0)</f>
        <v>15</v>
      </c>
      <c r="R182" s="6">
        <f t="shared" si="88"/>
        <v>18.49568434032059</v>
      </c>
      <c r="S182" s="7">
        <f>B182/몬스터!$C$25*R182</f>
        <v>295.93094944512944</v>
      </c>
      <c r="U182">
        <f>ROUNDDOWN(R182*몬스터!$H$25, 0)*몬스터!$G$25*(1+몬스터!$I$25)</f>
        <v>1923.075</v>
      </c>
      <c r="V182" s="2">
        <f t="shared" si="92"/>
        <v>1.4281497159407375</v>
      </c>
    </row>
    <row r="183" spans="1:22" x14ac:dyDescent="0.4">
      <c r="A183">
        <v>74</v>
      </c>
      <c r="B183" s="4">
        <f>160*A183</f>
        <v>11840</v>
      </c>
      <c r="C183">
        <f t="shared" si="81"/>
        <v>965</v>
      </c>
      <c r="D183">
        <f t="shared" si="82"/>
        <v>42</v>
      </c>
      <c r="E183" s="2">
        <v>0</v>
      </c>
      <c r="F183">
        <f t="shared" si="83"/>
        <v>117</v>
      </c>
      <c r="G183">
        <f t="shared" si="84"/>
        <v>0.81300000000000006</v>
      </c>
      <c r="H183" s="3">
        <f t="shared" si="90"/>
        <v>0.05</v>
      </c>
      <c r="I183" s="2">
        <v>2</v>
      </c>
      <c r="J183" s="2">
        <v>0</v>
      </c>
      <c r="K183" s="2">
        <v>1</v>
      </c>
      <c r="L183" s="16">
        <v>2</v>
      </c>
      <c r="M183" s="5">
        <f t="shared" si="85"/>
        <v>1030</v>
      </c>
      <c r="N183" s="6">
        <f t="shared" si="86"/>
        <v>99.877050000000011</v>
      </c>
      <c r="O183">
        <f t="shared" si="87"/>
        <v>1370.3</v>
      </c>
      <c r="P183" s="7">
        <f t="shared" si="91"/>
        <v>13.719868578417161</v>
      </c>
      <c r="Q183">
        <f>ROUNDUP(몬스터!$P$25/F183, 0)</f>
        <v>15</v>
      </c>
      <c r="R183" s="6">
        <f t="shared" si="88"/>
        <v>18.450184501845015</v>
      </c>
      <c r="S183" s="7">
        <f>B183/몬스터!$C$25*R183</f>
        <v>299.2468280847192</v>
      </c>
      <c r="U183">
        <f>ROUNDDOWN(R183*몬스터!$H$25, 0)*몬스터!$G$25*(1+몬스터!$I$25)</f>
        <v>1923.075</v>
      </c>
      <c r="V183" s="2">
        <f t="shared" si="92"/>
        <v>1.403397066335839</v>
      </c>
    </row>
    <row r="184" spans="1:22" x14ac:dyDescent="0.4">
      <c r="A184">
        <v>75</v>
      </c>
      <c r="B184" s="4">
        <f>160*A184</f>
        <v>12000</v>
      </c>
      <c r="C184">
        <f t="shared" si="81"/>
        <v>975</v>
      </c>
      <c r="D184">
        <f t="shared" si="82"/>
        <v>42</v>
      </c>
      <c r="E184" s="2">
        <v>0</v>
      </c>
      <c r="F184">
        <f t="shared" si="83"/>
        <v>119</v>
      </c>
      <c r="G184">
        <f t="shared" si="84"/>
        <v>0.81500000000000006</v>
      </c>
      <c r="H184" s="3">
        <f t="shared" si="90"/>
        <v>0.05</v>
      </c>
      <c r="I184" s="2">
        <v>2</v>
      </c>
      <c r="J184" s="2">
        <v>0</v>
      </c>
      <c r="K184" s="2">
        <v>1</v>
      </c>
      <c r="L184" s="16">
        <v>2</v>
      </c>
      <c r="M184" s="5">
        <f t="shared" si="85"/>
        <v>1040</v>
      </c>
      <c r="N184" s="6">
        <f t="shared" si="86"/>
        <v>101.83425000000003</v>
      </c>
      <c r="O184">
        <f t="shared" si="87"/>
        <v>1384.5</v>
      </c>
      <c r="P184" s="7">
        <f t="shared" si="91"/>
        <v>13.595622297998951</v>
      </c>
      <c r="Q184">
        <f>ROUNDUP(몬스터!$P$25/F184, 0)</f>
        <v>14</v>
      </c>
      <c r="R184" s="6">
        <f t="shared" si="88"/>
        <v>17.177914110429448</v>
      </c>
      <c r="S184" s="7">
        <f>B184/몬스터!$C$25*R184</f>
        <v>282.37667030842931</v>
      </c>
      <c r="T184" s="7">
        <f t="shared" ref="T184" si="94">SUM(S180:S184)</f>
        <v>1459.4030091141872</v>
      </c>
      <c r="U184">
        <f>ROUNDDOWN(R184*몬스터!$H$25, 0)*몬스터!$G$25*(1+몬스터!$I$25)</f>
        <v>1794.8700000000001</v>
      </c>
      <c r="V184" s="2">
        <f t="shared" si="92"/>
        <v>1.2964030335861323</v>
      </c>
    </row>
    <row r="185" spans="1:22" x14ac:dyDescent="0.4">
      <c r="A185">
        <v>76</v>
      </c>
      <c r="B185" s="4">
        <f>170*A185</f>
        <v>12920</v>
      </c>
      <c r="C185">
        <f t="shared" si="81"/>
        <v>985</v>
      </c>
      <c r="D185">
        <f t="shared" si="82"/>
        <v>42</v>
      </c>
      <c r="E185" s="2">
        <v>0</v>
      </c>
      <c r="F185">
        <f t="shared" si="83"/>
        <v>120</v>
      </c>
      <c r="G185">
        <f t="shared" si="84"/>
        <v>0.81700000000000006</v>
      </c>
      <c r="H185" s="3">
        <f t="shared" si="90"/>
        <v>0.05</v>
      </c>
      <c r="I185" s="2">
        <v>2</v>
      </c>
      <c r="J185" s="2">
        <v>0</v>
      </c>
      <c r="K185" s="2">
        <v>1</v>
      </c>
      <c r="L185" s="16">
        <v>2</v>
      </c>
      <c r="M185" s="5">
        <f t="shared" si="85"/>
        <v>1050</v>
      </c>
      <c r="N185" s="6">
        <f t="shared" si="86"/>
        <v>102.94200000000001</v>
      </c>
      <c r="O185">
        <f t="shared" si="87"/>
        <v>1398.6999999999998</v>
      </c>
      <c r="P185" s="7">
        <f t="shared" si="91"/>
        <v>13.587262730469583</v>
      </c>
      <c r="Q185">
        <f>ROUNDUP(몬스터!$P$26/F185, 0)</f>
        <v>16</v>
      </c>
      <c r="R185" s="6">
        <f t="shared" si="88"/>
        <v>19.583843329253366</v>
      </c>
      <c r="S185" s="7">
        <f>B185/몬스터!$C$26*R185</f>
        <v>324.38878950506859</v>
      </c>
      <c r="U185">
        <f>ROUNDDOWN(R185*몬스터!$H$26, 0)*몬스터!$G$26*(1+몬스터!$I$26)</f>
        <v>2194.8000000000002</v>
      </c>
      <c r="V185" s="2">
        <f t="shared" si="92"/>
        <v>1.5691713734181743</v>
      </c>
    </row>
    <row r="186" spans="1:22" x14ac:dyDescent="0.4">
      <c r="A186">
        <v>77</v>
      </c>
      <c r="B186" s="4">
        <f>170*A186</f>
        <v>13090</v>
      </c>
      <c r="C186">
        <f t="shared" si="81"/>
        <v>995</v>
      </c>
      <c r="D186">
        <f t="shared" si="82"/>
        <v>43</v>
      </c>
      <c r="E186" s="2">
        <v>0</v>
      </c>
      <c r="F186">
        <f t="shared" si="83"/>
        <v>121</v>
      </c>
      <c r="G186">
        <f t="shared" si="84"/>
        <v>0.81900000000000006</v>
      </c>
      <c r="H186" s="3">
        <f t="shared" si="90"/>
        <v>0.05</v>
      </c>
      <c r="I186" s="2">
        <v>2</v>
      </c>
      <c r="J186" s="2">
        <v>0</v>
      </c>
      <c r="K186" s="2">
        <v>1</v>
      </c>
      <c r="L186" s="16">
        <v>2</v>
      </c>
      <c r="M186" s="5">
        <f t="shared" si="85"/>
        <v>1060</v>
      </c>
      <c r="N186" s="6">
        <f t="shared" si="86"/>
        <v>104.05395000000001</v>
      </c>
      <c r="O186">
        <f t="shared" si="87"/>
        <v>1422.85</v>
      </c>
      <c r="P186" s="7">
        <f t="shared" si="91"/>
        <v>13.674156531299385</v>
      </c>
      <c r="Q186">
        <f>ROUNDUP(몬스터!$P$26/F186, 0)</f>
        <v>15</v>
      </c>
      <c r="R186" s="6">
        <f t="shared" si="88"/>
        <v>18.315018315018314</v>
      </c>
      <c r="S186" s="7">
        <f>B186/몬스터!$C$26*R186</f>
        <v>307.36357659434577</v>
      </c>
      <c r="U186">
        <f>ROUNDDOWN(R186*몬스터!$H$26, 0)*몬스터!$G$26*(1+몬스터!$I$26)</f>
        <v>2057.625</v>
      </c>
      <c r="V186" s="2">
        <f t="shared" si="92"/>
        <v>1.4461292476367855</v>
      </c>
    </row>
    <row r="187" spans="1:22" x14ac:dyDescent="0.4">
      <c r="A187">
        <v>78</v>
      </c>
      <c r="B187" s="4">
        <f>170*A187</f>
        <v>13260</v>
      </c>
      <c r="C187">
        <f t="shared" si="81"/>
        <v>1010</v>
      </c>
      <c r="D187">
        <f t="shared" si="82"/>
        <v>43</v>
      </c>
      <c r="E187" s="2">
        <v>0</v>
      </c>
      <c r="F187">
        <f t="shared" si="83"/>
        <v>123</v>
      </c>
      <c r="G187">
        <f t="shared" si="84"/>
        <v>0.82100000000000006</v>
      </c>
      <c r="H187" s="3">
        <f t="shared" si="90"/>
        <v>0.05</v>
      </c>
      <c r="I187" s="2">
        <v>2</v>
      </c>
      <c r="J187" s="2">
        <v>0</v>
      </c>
      <c r="K187" s="2">
        <v>1</v>
      </c>
      <c r="L187" s="16">
        <v>2</v>
      </c>
      <c r="M187" s="5">
        <f t="shared" si="85"/>
        <v>1070</v>
      </c>
      <c r="N187" s="6">
        <f t="shared" si="86"/>
        <v>106.03215000000002</v>
      </c>
      <c r="O187">
        <f t="shared" si="87"/>
        <v>1444.3</v>
      </c>
      <c r="P187" s="7">
        <f t="shared" si="91"/>
        <v>13.621340319893539</v>
      </c>
      <c r="Q187">
        <f>ROUNDUP(몬스터!$P$26/F187, 0)</f>
        <v>15</v>
      </c>
      <c r="R187" s="6">
        <f t="shared" si="88"/>
        <v>18.270401948842874</v>
      </c>
      <c r="S187" s="7">
        <f>B187/몬스터!$C$26*R187</f>
        <v>310.59683313032883</v>
      </c>
      <c r="U187">
        <f>ROUNDDOWN(R187*몬스터!$H$26, 0)*몬스터!$G$26*(1+몬스터!$I$26)</f>
        <v>2057.625</v>
      </c>
      <c r="V187" s="2">
        <f t="shared" si="92"/>
        <v>1.4246520805926748</v>
      </c>
    </row>
    <row r="188" spans="1:22" x14ac:dyDescent="0.4">
      <c r="A188">
        <v>79</v>
      </c>
      <c r="B188" s="4">
        <f>170*A188</f>
        <v>13430</v>
      </c>
      <c r="C188">
        <f t="shared" si="81"/>
        <v>1020</v>
      </c>
      <c r="D188">
        <f t="shared" si="82"/>
        <v>43</v>
      </c>
      <c r="E188" s="2">
        <v>0</v>
      </c>
      <c r="F188">
        <f t="shared" si="83"/>
        <v>124</v>
      </c>
      <c r="G188">
        <f t="shared" si="84"/>
        <v>0.82300000000000006</v>
      </c>
      <c r="H188" s="3">
        <f t="shared" si="90"/>
        <v>0.05</v>
      </c>
      <c r="I188" s="2">
        <v>2</v>
      </c>
      <c r="J188" s="2">
        <v>0</v>
      </c>
      <c r="K188" s="2">
        <v>1</v>
      </c>
      <c r="L188" s="16">
        <v>2</v>
      </c>
      <c r="M188" s="5">
        <f t="shared" si="85"/>
        <v>1080</v>
      </c>
      <c r="N188" s="6">
        <f t="shared" si="86"/>
        <v>107.15460000000002</v>
      </c>
      <c r="O188">
        <f t="shared" si="87"/>
        <v>1458.6</v>
      </c>
      <c r="P188" s="7">
        <f t="shared" si="91"/>
        <v>13.612108112950818</v>
      </c>
      <c r="Q188">
        <f>ROUNDUP(몬스터!$P$26/F188, 0)</f>
        <v>15</v>
      </c>
      <c r="R188" s="6">
        <f t="shared" si="88"/>
        <v>18.226002430133654</v>
      </c>
      <c r="S188" s="7">
        <f>B188/몬스터!$C$26*R188</f>
        <v>313.81437517525001</v>
      </c>
      <c r="U188">
        <f>ROUNDDOWN(R188*몬스터!$H$26, 0)*몬스터!$G$26*(1+몬스터!$I$26)</f>
        <v>2057.625</v>
      </c>
      <c r="V188" s="2">
        <f t="shared" si="92"/>
        <v>1.4106849033319622</v>
      </c>
    </row>
    <row r="189" spans="1:22" x14ac:dyDescent="0.4">
      <c r="A189">
        <v>80</v>
      </c>
      <c r="B189" s="4">
        <f>170*A189</f>
        <v>13600</v>
      </c>
      <c r="C189">
        <f t="shared" si="81"/>
        <v>1030</v>
      </c>
      <c r="D189">
        <f t="shared" si="82"/>
        <v>44</v>
      </c>
      <c r="E189" s="2">
        <v>0</v>
      </c>
      <c r="F189">
        <f t="shared" si="83"/>
        <v>125</v>
      </c>
      <c r="G189">
        <f t="shared" si="84"/>
        <v>0.82500000000000007</v>
      </c>
      <c r="H189" s="3">
        <f t="shared" si="90"/>
        <v>0.05</v>
      </c>
      <c r="I189" s="2">
        <v>2</v>
      </c>
      <c r="J189" s="2">
        <v>0</v>
      </c>
      <c r="K189" s="2">
        <v>1</v>
      </c>
      <c r="L189" s="16">
        <v>2</v>
      </c>
      <c r="M189" s="5">
        <f t="shared" si="85"/>
        <v>1090</v>
      </c>
      <c r="N189" s="6">
        <f t="shared" si="86"/>
        <v>108.28125000000001</v>
      </c>
      <c r="O189">
        <f t="shared" si="87"/>
        <v>1483.2</v>
      </c>
      <c r="P189" s="7">
        <f t="shared" si="91"/>
        <v>13.697662337662337</v>
      </c>
      <c r="Q189">
        <f>ROUNDUP(몬스터!$P$26/F189, 0)</f>
        <v>15</v>
      </c>
      <c r="R189" s="6">
        <f t="shared" si="88"/>
        <v>18.18181818181818</v>
      </c>
      <c r="S189" s="7">
        <f>B189/몬스터!$C$26*R189</f>
        <v>317.01631701631698</v>
      </c>
      <c r="T189" s="7">
        <f t="shared" ref="T189" si="95">SUM(S185:S189)</f>
        <v>1573.17989142131</v>
      </c>
      <c r="U189">
        <f>ROUNDDOWN(R189*몬스터!$H$26, 0)*몬스터!$G$26*(1+몬스터!$I$26)</f>
        <v>2057.625</v>
      </c>
      <c r="V189" s="2">
        <f t="shared" si="92"/>
        <v>1.3872876213592233</v>
      </c>
    </row>
    <row r="190" spans="1:22" x14ac:dyDescent="0.4">
      <c r="A190">
        <v>81</v>
      </c>
      <c r="B190" s="4">
        <f>160*A190</f>
        <v>12960</v>
      </c>
      <c r="C190">
        <f t="shared" si="81"/>
        <v>1040</v>
      </c>
      <c r="D190">
        <f t="shared" si="82"/>
        <v>44</v>
      </c>
      <c r="E190" s="2">
        <v>0</v>
      </c>
      <c r="F190">
        <f t="shared" si="83"/>
        <v>127</v>
      </c>
      <c r="G190">
        <f t="shared" si="84"/>
        <v>0.82700000000000007</v>
      </c>
      <c r="H190" s="3">
        <f t="shared" si="90"/>
        <v>0.05</v>
      </c>
      <c r="I190" s="2">
        <v>2</v>
      </c>
      <c r="J190" s="2">
        <v>0</v>
      </c>
      <c r="K190" s="2">
        <v>1</v>
      </c>
      <c r="L190" s="16">
        <v>2</v>
      </c>
      <c r="M190" s="5">
        <f t="shared" si="85"/>
        <v>1100</v>
      </c>
      <c r="N190" s="6">
        <f t="shared" si="86"/>
        <v>110.28045000000002</v>
      </c>
      <c r="O190">
        <f t="shared" si="87"/>
        <v>1497.6</v>
      </c>
      <c r="P190" s="7">
        <f t="shared" si="91"/>
        <v>13.579922824036352</v>
      </c>
      <c r="Q190">
        <f>ROUNDUP(몬스터!$P$29/F190, 0)</f>
        <v>16</v>
      </c>
      <c r="R190" s="6">
        <f t="shared" si="88"/>
        <v>19.347037484885124</v>
      </c>
      <c r="S190" s="7">
        <f>B190/몬스터!$C$29*R190</f>
        <v>302.09350096880871</v>
      </c>
      <c r="U190">
        <f>ROUNDDOWN(R190*몬스터!$H$29, 0)*몬스터!$G$29*(1+몬스터!$I$29)</f>
        <v>2358.7199999999998</v>
      </c>
      <c r="V190" s="2">
        <f t="shared" si="92"/>
        <v>1.575</v>
      </c>
    </row>
    <row r="191" spans="1:22" x14ac:dyDescent="0.4">
      <c r="A191">
        <v>82</v>
      </c>
      <c r="B191" s="4">
        <f>160*A191</f>
        <v>13120</v>
      </c>
      <c r="C191">
        <f t="shared" si="81"/>
        <v>1050</v>
      </c>
      <c r="D191">
        <f t="shared" si="82"/>
        <v>44</v>
      </c>
      <c r="E191" s="2">
        <v>0</v>
      </c>
      <c r="F191">
        <f t="shared" si="83"/>
        <v>128</v>
      </c>
      <c r="G191">
        <f t="shared" si="84"/>
        <v>0.82900000000000007</v>
      </c>
      <c r="H191" s="3">
        <f t="shared" si="90"/>
        <v>0.05</v>
      </c>
      <c r="I191" s="2">
        <v>2</v>
      </c>
      <c r="J191" s="2">
        <v>0</v>
      </c>
      <c r="K191" s="2">
        <v>1</v>
      </c>
      <c r="L191" s="16">
        <v>2</v>
      </c>
      <c r="M191" s="5">
        <f t="shared" si="85"/>
        <v>1110</v>
      </c>
      <c r="N191" s="6">
        <f t="shared" si="86"/>
        <v>111.41760000000001</v>
      </c>
      <c r="O191">
        <f t="shared" si="87"/>
        <v>1512</v>
      </c>
      <c r="P191" s="7">
        <f t="shared" si="91"/>
        <v>13.570566948130276</v>
      </c>
      <c r="Q191">
        <f>ROUNDUP(몬스터!$P$29/F191, 0)</f>
        <v>16</v>
      </c>
      <c r="R191" s="6">
        <f t="shared" si="88"/>
        <v>19.300361881785282</v>
      </c>
      <c r="S191" s="7">
        <f>B191/몬스터!$C$29*R191</f>
        <v>305.08523842050948</v>
      </c>
      <c r="U191">
        <f>ROUNDDOWN(R191*몬스터!$H$29, 0)*몬스터!$G$29*(1+몬스터!$I$29)</f>
        <v>2358.7199999999998</v>
      </c>
      <c r="V191" s="2">
        <f t="shared" si="92"/>
        <v>1.5599999999999998</v>
      </c>
    </row>
    <row r="192" spans="1:22" x14ac:dyDescent="0.4">
      <c r="A192">
        <v>83</v>
      </c>
      <c r="B192" s="4">
        <f>160*A192</f>
        <v>13280</v>
      </c>
      <c r="C192">
        <f t="shared" si="81"/>
        <v>1065</v>
      </c>
      <c r="D192">
        <f t="shared" si="82"/>
        <v>44</v>
      </c>
      <c r="E192" s="2">
        <v>0</v>
      </c>
      <c r="F192">
        <f t="shared" si="83"/>
        <v>129</v>
      </c>
      <c r="G192">
        <f t="shared" si="84"/>
        <v>0.83100000000000007</v>
      </c>
      <c r="H192" s="3">
        <f t="shared" si="90"/>
        <v>0.05</v>
      </c>
      <c r="I192" s="2">
        <v>2</v>
      </c>
      <c r="J192" s="2">
        <v>0</v>
      </c>
      <c r="K192" s="2">
        <v>1</v>
      </c>
      <c r="L192" s="16">
        <v>2</v>
      </c>
      <c r="M192" s="5">
        <f t="shared" si="85"/>
        <v>1120</v>
      </c>
      <c r="N192" s="6">
        <f t="shared" si="86"/>
        <v>112.55895000000002</v>
      </c>
      <c r="O192">
        <f t="shared" si="87"/>
        <v>1533.6</v>
      </c>
      <c r="P192" s="7">
        <f t="shared" si="91"/>
        <v>13.624860573059713</v>
      </c>
      <c r="Q192">
        <f>ROUNDUP(몬스터!$P$29/F192, 0)</f>
        <v>16</v>
      </c>
      <c r="R192" s="6">
        <f t="shared" si="88"/>
        <v>19.253910950661851</v>
      </c>
      <c r="S192" s="7">
        <f>B192/몬스터!$C$29*R192</f>
        <v>308.06257521058961</v>
      </c>
      <c r="U192">
        <f>ROUNDDOWN(R192*몬스터!$H$29, 0)*몬스터!$G$29*(1+몬스터!$I$29)</f>
        <v>2358.7199999999998</v>
      </c>
      <c r="V192" s="2">
        <f t="shared" si="92"/>
        <v>1.5380281690140845</v>
      </c>
    </row>
    <row r="193" spans="1:22" x14ac:dyDescent="0.4">
      <c r="A193">
        <v>84</v>
      </c>
      <c r="B193" s="4">
        <f>160*A193</f>
        <v>13440</v>
      </c>
      <c r="C193">
        <f t="shared" si="81"/>
        <v>1075</v>
      </c>
      <c r="D193">
        <f t="shared" si="82"/>
        <v>45</v>
      </c>
      <c r="E193" s="2">
        <v>0</v>
      </c>
      <c r="F193">
        <f t="shared" si="83"/>
        <v>131</v>
      </c>
      <c r="G193">
        <f t="shared" si="84"/>
        <v>0.83300000000000007</v>
      </c>
      <c r="H193" s="3">
        <f t="shared" si="90"/>
        <v>0.05</v>
      </c>
      <c r="I193" s="2">
        <v>2</v>
      </c>
      <c r="J193" s="2">
        <v>0</v>
      </c>
      <c r="K193" s="2">
        <v>1</v>
      </c>
      <c r="L193" s="16">
        <v>2</v>
      </c>
      <c r="M193" s="5">
        <f t="shared" si="85"/>
        <v>1130</v>
      </c>
      <c r="N193" s="6">
        <f t="shared" si="86"/>
        <v>114.57915000000001</v>
      </c>
      <c r="O193">
        <f t="shared" si="87"/>
        <v>1558.75</v>
      </c>
      <c r="P193" s="7">
        <f t="shared" si="91"/>
        <v>13.604133038166191</v>
      </c>
      <c r="Q193">
        <f>ROUNDUP(몬스터!$P$29/F193, 0)</f>
        <v>16</v>
      </c>
      <c r="R193" s="6">
        <f t="shared" si="88"/>
        <v>19.20768307322929</v>
      </c>
      <c r="S193" s="7">
        <f>B193/몬스터!$C$29*R193</f>
        <v>311.02561506530321</v>
      </c>
      <c r="U193">
        <f>ROUNDDOWN(R193*몬스터!$H$29, 0)*몬스터!$G$29*(1+몬스터!$I$29)</f>
        <v>2358.7199999999998</v>
      </c>
      <c r="V193" s="2">
        <f t="shared" si="92"/>
        <v>1.5132125100240577</v>
      </c>
    </row>
    <row r="194" spans="1:22" x14ac:dyDescent="0.4">
      <c r="A194">
        <v>85</v>
      </c>
      <c r="B194" s="4">
        <f>160*A194</f>
        <v>13600</v>
      </c>
      <c r="C194">
        <f t="shared" si="81"/>
        <v>1085</v>
      </c>
      <c r="D194">
        <f t="shared" si="82"/>
        <v>45</v>
      </c>
      <c r="E194" s="2">
        <v>0</v>
      </c>
      <c r="F194">
        <f t="shared" si="83"/>
        <v>132</v>
      </c>
      <c r="G194">
        <f t="shared" si="84"/>
        <v>0.83500000000000008</v>
      </c>
      <c r="H194" s="3">
        <f t="shared" si="90"/>
        <v>0.05</v>
      </c>
      <c r="I194" s="2">
        <v>2</v>
      </c>
      <c r="J194" s="2">
        <v>0</v>
      </c>
      <c r="K194" s="2">
        <v>1</v>
      </c>
      <c r="L194" s="16">
        <v>2</v>
      </c>
      <c r="M194" s="5">
        <f t="shared" si="85"/>
        <v>1140</v>
      </c>
      <c r="N194" s="6">
        <f t="shared" si="86"/>
        <v>115.73100000000002</v>
      </c>
      <c r="O194">
        <f t="shared" si="87"/>
        <v>1573.25</v>
      </c>
      <c r="P194" s="7">
        <f t="shared" si="91"/>
        <v>13.594024073065986</v>
      </c>
      <c r="Q194">
        <f>ROUNDUP(몬스터!$P$29/F194, 0)</f>
        <v>15</v>
      </c>
      <c r="R194" s="6">
        <f t="shared" si="88"/>
        <v>17.964071856287422</v>
      </c>
      <c r="S194" s="7">
        <f>B194/몬스터!$C$29*R194</f>
        <v>294.35105692229996</v>
      </c>
      <c r="T194" s="7">
        <f t="shared" ref="T194" si="96">SUM(S190:S194)</f>
        <v>1520.617986587511</v>
      </c>
      <c r="U194">
        <f>ROUNDDOWN(R194*몬스터!$H$29, 0)*몬스터!$G$29*(1+몬스터!$I$29)</f>
        <v>2211.2999999999997</v>
      </c>
      <c r="V194" s="2">
        <f t="shared" si="92"/>
        <v>1.4055617352614014</v>
      </c>
    </row>
    <row r="195" spans="1:22" x14ac:dyDescent="0.4">
      <c r="A195">
        <v>86</v>
      </c>
      <c r="B195" s="4">
        <f>170*A195</f>
        <v>14620</v>
      </c>
      <c r="C195">
        <f t="shared" si="81"/>
        <v>1095</v>
      </c>
      <c r="D195">
        <f t="shared" si="82"/>
        <v>45</v>
      </c>
      <c r="E195" s="2">
        <v>0</v>
      </c>
      <c r="F195">
        <f t="shared" si="83"/>
        <v>133</v>
      </c>
      <c r="G195">
        <f t="shared" si="84"/>
        <v>0.83700000000000008</v>
      </c>
      <c r="H195" s="3">
        <f t="shared" si="90"/>
        <v>0.05</v>
      </c>
      <c r="I195" s="2">
        <v>2</v>
      </c>
      <c r="J195" s="2">
        <v>0</v>
      </c>
      <c r="K195" s="2">
        <v>1</v>
      </c>
      <c r="L195" s="16">
        <v>2</v>
      </c>
      <c r="M195" s="5">
        <f t="shared" si="85"/>
        <v>1150</v>
      </c>
      <c r="N195" s="6">
        <f t="shared" si="86"/>
        <v>116.88705000000002</v>
      </c>
      <c r="O195">
        <f t="shared" si="87"/>
        <v>1587.75</v>
      </c>
      <c r="P195" s="7">
        <f t="shared" si="91"/>
        <v>13.58362624431021</v>
      </c>
      <c r="Q195">
        <f>ROUNDUP(몬스터!$P$30/F195, 0)</f>
        <v>17</v>
      </c>
      <c r="R195" s="6">
        <f t="shared" si="88"/>
        <v>20.310633213859017</v>
      </c>
      <c r="S195" s="7">
        <f>B195/몬스터!$C$30*R195</f>
        <v>337.43347453024865</v>
      </c>
      <c r="U195">
        <f>ROUNDDOWN(R195*몬스터!$H$30, 0)*몬스터!$G$30*(1+몬스터!$I$30)</f>
        <v>2662.3274999999999</v>
      </c>
      <c r="V195" s="2">
        <f t="shared" si="92"/>
        <v>1.6767926310817194</v>
      </c>
    </row>
    <row r="196" spans="1:22" x14ac:dyDescent="0.4">
      <c r="A196">
        <v>87</v>
      </c>
      <c r="B196" s="4">
        <f>170*A196</f>
        <v>14790</v>
      </c>
      <c r="C196">
        <f t="shared" si="81"/>
        <v>1105</v>
      </c>
      <c r="D196">
        <f t="shared" si="82"/>
        <v>46</v>
      </c>
      <c r="E196" s="2">
        <v>0</v>
      </c>
      <c r="F196">
        <f t="shared" si="83"/>
        <v>135</v>
      </c>
      <c r="G196">
        <f t="shared" si="84"/>
        <v>0.83900000000000008</v>
      </c>
      <c r="H196" s="3">
        <f t="shared" si="90"/>
        <v>0.05</v>
      </c>
      <c r="I196" s="2">
        <v>2</v>
      </c>
      <c r="J196" s="2">
        <v>0</v>
      </c>
      <c r="K196" s="2">
        <v>1</v>
      </c>
      <c r="L196" s="16">
        <v>2</v>
      </c>
      <c r="M196" s="5">
        <f t="shared" si="85"/>
        <v>1160</v>
      </c>
      <c r="N196" s="6">
        <f t="shared" si="86"/>
        <v>118.92825000000002</v>
      </c>
      <c r="O196">
        <f t="shared" si="87"/>
        <v>1613.3</v>
      </c>
      <c r="P196" s="7">
        <f t="shared" si="91"/>
        <v>13.565321948317575</v>
      </c>
      <c r="Q196">
        <f>ROUNDUP(몬스터!$P$30/F196, 0)</f>
        <v>16</v>
      </c>
      <c r="R196" s="6">
        <f t="shared" si="88"/>
        <v>19.070321811680571</v>
      </c>
      <c r="S196" s="7">
        <f>B196/몬스터!$C$30*R196</f>
        <v>320.51143135767688</v>
      </c>
      <c r="U196">
        <f>ROUNDDOWN(R196*몬스터!$H$30, 0)*몬스터!$G$30*(1+몬스터!$I$30)</f>
        <v>2505.7199999999998</v>
      </c>
      <c r="V196" s="2">
        <f t="shared" si="92"/>
        <v>1.553164321576892</v>
      </c>
    </row>
    <row r="197" spans="1:22" x14ac:dyDescent="0.4">
      <c r="A197">
        <v>88</v>
      </c>
      <c r="B197" s="4">
        <f>170*A197</f>
        <v>14960</v>
      </c>
      <c r="C197">
        <f t="shared" si="81"/>
        <v>1120</v>
      </c>
      <c r="D197">
        <f t="shared" si="82"/>
        <v>46</v>
      </c>
      <c r="E197" s="2">
        <v>0</v>
      </c>
      <c r="F197">
        <f t="shared" si="83"/>
        <v>136</v>
      </c>
      <c r="G197">
        <f t="shared" si="84"/>
        <v>0.84099999999999997</v>
      </c>
      <c r="H197" s="3">
        <f t="shared" si="90"/>
        <v>0.05</v>
      </c>
      <c r="I197" s="2">
        <v>2</v>
      </c>
      <c r="J197" s="2">
        <v>0</v>
      </c>
      <c r="K197" s="2">
        <v>1</v>
      </c>
      <c r="L197" s="16">
        <v>2</v>
      </c>
      <c r="M197" s="5">
        <f t="shared" si="85"/>
        <v>1170</v>
      </c>
      <c r="N197" s="6">
        <f t="shared" si="86"/>
        <v>120.09479999999999</v>
      </c>
      <c r="O197">
        <f t="shared" si="87"/>
        <v>1635.2</v>
      </c>
      <c r="P197" s="7">
        <f t="shared" si="91"/>
        <v>13.615910097689493</v>
      </c>
      <c r="Q197">
        <f>ROUNDUP(몬스터!$P$30/F197, 0)</f>
        <v>16</v>
      </c>
      <c r="R197" s="6">
        <f t="shared" si="88"/>
        <v>19.024970273483948</v>
      </c>
      <c r="S197" s="7">
        <f>B197/몬스터!$C$30*R197</f>
        <v>323.42449464922714</v>
      </c>
      <c r="U197">
        <f>ROUNDDOWN(R197*몬스터!$H$30, 0)*몬스터!$G$30*(1+몬스터!$I$30)</f>
        <v>2505.7199999999998</v>
      </c>
      <c r="V197" s="2">
        <f t="shared" si="92"/>
        <v>1.5323630136986299</v>
      </c>
    </row>
    <row r="198" spans="1:22" x14ac:dyDescent="0.4">
      <c r="A198">
        <v>89</v>
      </c>
      <c r="B198" s="4">
        <f>170*A198</f>
        <v>15130</v>
      </c>
      <c r="C198">
        <f t="shared" si="81"/>
        <v>1130</v>
      </c>
      <c r="D198">
        <f t="shared" si="82"/>
        <v>46</v>
      </c>
      <c r="E198" s="2">
        <v>0</v>
      </c>
      <c r="F198">
        <f t="shared" si="83"/>
        <v>137</v>
      </c>
      <c r="G198">
        <f t="shared" si="84"/>
        <v>0.84299999999999997</v>
      </c>
      <c r="H198" s="3">
        <f t="shared" si="90"/>
        <v>0.05</v>
      </c>
      <c r="I198" s="2">
        <v>2</v>
      </c>
      <c r="J198" s="2">
        <v>0</v>
      </c>
      <c r="K198" s="2">
        <v>1</v>
      </c>
      <c r="L198" s="16">
        <v>2</v>
      </c>
      <c r="M198" s="5">
        <f t="shared" si="85"/>
        <v>1180</v>
      </c>
      <c r="N198" s="6">
        <f t="shared" si="86"/>
        <v>121.26555</v>
      </c>
      <c r="O198">
        <f t="shared" si="87"/>
        <v>1649.8</v>
      </c>
      <c r="P198" s="7">
        <f t="shared" si="91"/>
        <v>13.604853150791794</v>
      </c>
      <c r="Q198">
        <f>ROUNDUP(몬스터!$P$30/F198, 0)</f>
        <v>16</v>
      </c>
      <c r="R198" s="6">
        <f t="shared" si="88"/>
        <v>18.979833926453143</v>
      </c>
      <c r="S198" s="7">
        <f>B198/몬스터!$C$30*R198</f>
        <v>326.32373557640454</v>
      </c>
      <c r="U198">
        <f>ROUNDDOWN(R198*몬스터!$H$30, 0)*몬스터!$G$30*(1+몬스터!$I$30)</f>
        <v>2505.7199999999998</v>
      </c>
      <c r="V198" s="2">
        <f t="shared" si="92"/>
        <v>1.5188022790641289</v>
      </c>
    </row>
    <row r="199" spans="1:22" x14ac:dyDescent="0.4">
      <c r="A199">
        <v>90</v>
      </c>
      <c r="B199" s="4">
        <f>170*A199</f>
        <v>15300</v>
      </c>
      <c r="C199">
        <f t="shared" si="81"/>
        <v>1140</v>
      </c>
      <c r="D199">
        <f t="shared" si="82"/>
        <v>47</v>
      </c>
      <c r="E199" s="2">
        <v>0</v>
      </c>
      <c r="F199">
        <f t="shared" si="83"/>
        <v>139</v>
      </c>
      <c r="G199">
        <f t="shared" si="84"/>
        <v>0.84499999999999997</v>
      </c>
      <c r="H199" s="3">
        <f t="shared" si="90"/>
        <v>0.05</v>
      </c>
      <c r="I199" s="2">
        <v>2</v>
      </c>
      <c r="J199" s="2">
        <v>0</v>
      </c>
      <c r="K199" s="2">
        <v>1</v>
      </c>
      <c r="L199" s="16">
        <v>2</v>
      </c>
      <c r="M199" s="5">
        <f t="shared" si="85"/>
        <v>1190</v>
      </c>
      <c r="N199" s="6">
        <f t="shared" si="86"/>
        <v>123.32775000000001</v>
      </c>
      <c r="O199">
        <f t="shared" si="87"/>
        <v>1675.8</v>
      </c>
      <c r="P199" s="7">
        <f t="shared" si="91"/>
        <v>13.588182708271251</v>
      </c>
      <c r="Q199">
        <f>ROUNDUP(몬스터!$P$30/F199, 0)</f>
        <v>16</v>
      </c>
      <c r="R199" s="6">
        <f t="shared" si="88"/>
        <v>18.934911242603551</v>
      </c>
      <c r="S199" s="7">
        <f>B199/몬스터!$C$30*R199</f>
        <v>329.2092522861754</v>
      </c>
      <c r="T199" s="7">
        <f t="shared" ref="T199" si="97">SUM(S195:S199)</f>
        <v>1636.9023883997324</v>
      </c>
      <c r="U199">
        <f>ROUNDDOWN(R199*몬스터!$H$30, 0)*몬스터!$G$30*(1+몬스터!$I$30)</f>
        <v>2505.7199999999998</v>
      </c>
      <c r="V199" s="2">
        <f t="shared" si="92"/>
        <v>1.4952380952380953</v>
      </c>
    </row>
    <row r="200" spans="1:22" x14ac:dyDescent="0.4">
      <c r="A200">
        <v>91</v>
      </c>
      <c r="B200" s="4">
        <f>160*A200</f>
        <v>14560</v>
      </c>
      <c r="C200">
        <f t="shared" si="81"/>
        <v>1150</v>
      </c>
      <c r="D200">
        <f t="shared" si="82"/>
        <v>47</v>
      </c>
      <c r="E200" s="2">
        <v>0</v>
      </c>
      <c r="F200">
        <f t="shared" si="83"/>
        <v>140</v>
      </c>
      <c r="G200">
        <f t="shared" si="84"/>
        <v>0.84699999999999998</v>
      </c>
      <c r="H200" s="3">
        <f t="shared" si="90"/>
        <v>0.05</v>
      </c>
      <c r="I200" s="2">
        <v>2</v>
      </c>
      <c r="J200" s="2">
        <v>0</v>
      </c>
      <c r="K200" s="2">
        <v>1</v>
      </c>
      <c r="L200" s="16">
        <v>2</v>
      </c>
      <c r="M200" s="5">
        <f t="shared" si="85"/>
        <v>1200</v>
      </c>
      <c r="N200" s="6">
        <f t="shared" si="86"/>
        <v>124.509</v>
      </c>
      <c r="O200">
        <f t="shared" si="87"/>
        <v>1690.5</v>
      </c>
      <c r="P200" s="7">
        <f t="shared" si="91"/>
        <v>13.57733175914994</v>
      </c>
      <c r="Q200">
        <f>ROUNDUP(몬스터!$P$31/F200, 0)</f>
        <v>17</v>
      </c>
      <c r="R200" s="6">
        <f t="shared" si="88"/>
        <v>20.070838252656436</v>
      </c>
      <c r="S200" s="7">
        <f>B200/몬스터!$C$31*R200</f>
        <v>314.22731715986851</v>
      </c>
      <c r="U200">
        <f>ROUNDDOWN(R200*몬스터!$H$31, 0)*몬스터!$G$31*(1+몬스터!$I$31)</f>
        <v>2840.4450000000002</v>
      </c>
      <c r="V200" s="2">
        <f t="shared" si="92"/>
        <v>1.6802395740905058</v>
      </c>
    </row>
    <row r="201" spans="1:22" x14ac:dyDescent="0.4">
      <c r="A201">
        <v>92</v>
      </c>
      <c r="B201" s="4">
        <f>160*A201</f>
        <v>14720</v>
      </c>
      <c r="C201">
        <f t="shared" si="81"/>
        <v>1160</v>
      </c>
      <c r="D201">
        <f t="shared" si="82"/>
        <v>47</v>
      </c>
      <c r="E201" s="2">
        <v>0</v>
      </c>
      <c r="F201">
        <f t="shared" si="83"/>
        <v>141</v>
      </c>
      <c r="G201">
        <f t="shared" si="84"/>
        <v>0.84899999999999998</v>
      </c>
      <c r="H201" s="3">
        <f t="shared" si="90"/>
        <v>0.05</v>
      </c>
      <c r="I201" s="2">
        <v>2</v>
      </c>
      <c r="J201" s="2">
        <v>0</v>
      </c>
      <c r="K201" s="2">
        <v>1</v>
      </c>
      <c r="L201" s="16">
        <v>2</v>
      </c>
      <c r="M201" s="5">
        <f t="shared" si="85"/>
        <v>1210</v>
      </c>
      <c r="N201" s="6">
        <f t="shared" si="86"/>
        <v>125.69445</v>
      </c>
      <c r="O201">
        <f t="shared" si="87"/>
        <v>1705.2</v>
      </c>
      <c r="P201" s="7">
        <f t="shared" si="91"/>
        <v>13.566231444586455</v>
      </c>
      <c r="Q201">
        <f>ROUNDUP(몬스터!$P$31/F201, 0)</f>
        <v>17</v>
      </c>
      <c r="R201" s="6">
        <f t="shared" si="88"/>
        <v>20.023557126030624</v>
      </c>
      <c r="S201" s="7">
        <f>B201/몬스터!$C$31*R201</f>
        <v>316.93200096254924</v>
      </c>
      <c r="U201">
        <f>ROUNDDOWN(R201*몬스터!$H$31, 0)*몬스터!$G$31*(1+몬스터!$I$31)</f>
        <v>2840.4450000000002</v>
      </c>
      <c r="V201" s="2">
        <f t="shared" si="92"/>
        <v>1.6657547501759324</v>
      </c>
    </row>
    <row r="202" spans="1:22" x14ac:dyDescent="0.4">
      <c r="A202">
        <v>93</v>
      </c>
      <c r="B202" s="4">
        <f>160*A202</f>
        <v>14880</v>
      </c>
      <c r="C202">
        <f t="shared" si="81"/>
        <v>1175</v>
      </c>
      <c r="D202">
        <f t="shared" si="82"/>
        <v>47</v>
      </c>
      <c r="E202" s="2">
        <v>0</v>
      </c>
      <c r="F202">
        <f t="shared" si="83"/>
        <v>143</v>
      </c>
      <c r="G202">
        <f t="shared" si="84"/>
        <v>0.85099999999999998</v>
      </c>
      <c r="H202" s="3">
        <f t="shared" si="90"/>
        <v>0.05</v>
      </c>
      <c r="I202" s="2">
        <v>2</v>
      </c>
      <c r="J202" s="2">
        <v>0</v>
      </c>
      <c r="K202" s="2">
        <v>1</v>
      </c>
      <c r="L202" s="16">
        <v>2</v>
      </c>
      <c r="M202" s="5">
        <f t="shared" si="85"/>
        <v>1220</v>
      </c>
      <c r="N202" s="6">
        <f t="shared" si="86"/>
        <v>127.77765000000001</v>
      </c>
      <c r="O202">
        <f t="shared" si="87"/>
        <v>1727.25</v>
      </c>
      <c r="P202" s="7">
        <f t="shared" si="91"/>
        <v>13.517622213274386</v>
      </c>
      <c r="Q202">
        <f>ROUNDUP(몬스터!$P$31/F202, 0)</f>
        <v>17</v>
      </c>
      <c r="R202" s="6">
        <f t="shared" si="88"/>
        <v>19.976498237367803</v>
      </c>
      <c r="S202" s="7">
        <f>B202/몬스터!$C$31*R202</f>
        <v>319.62397179788485</v>
      </c>
      <c r="U202">
        <f>ROUNDDOWN(R202*몬스터!$H$31, 0)*몬스터!$G$31*(1+몬스터!$I$31)</f>
        <v>2840.4450000000002</v>
      </c>
      <c r="V202" s="2">
        <f t="shared" si="92"/>
        <v>1.6444897959183675</v>
      </c>
    </row>
    <row r="203" spans="1:22" x14ac:dyDescent="0.4">
      <c r="A203">
        <v>94</v>
      </c>
      <c r="B203" s="4">
        <f>160*A203</f>
        <v>15040</v>
      </c>
      <c r="C203">
        <f t="shared" si="81"/>
        <v>1185</v>
      </c>
      <c r="D203">
        <f t="shared" si="82"/>
        <v>48</v>
      </c>
      <c r="E203" s="2">
        <v>0</v>
      </c>
      <c r="F203">
        <f t="shared" si="83"/>
        <v>144</v>
      </c>
      <c r="G203">
        <f t="shared" si="84"/>
        <v>0.85299999999999998</v>
      </c>
      <c r="H203" s="3">
        <f t="shared" si="90"/>
        <v>0.05</v>
      </c>
      <c r="I203" s="2">
        <v>2</v>
      </c>
      <c r="J203" s="2">
        <v>0</v>
      </c>
      <c r="K203" s="2">
        <v>1</v>
      </c>
      <c r="L203" s="16">
        <v>2</v>
      </c>
      <c r="M203" s="5">
        <f t="shared" si="85"/>
        <v>1230</v>
      </c>
      <c r="N203" s="6">
        <f t="shared" si="86"/>
        <v>128.9736</v>
      </c>
      <c r="O203">
        <f t="shared" si="87"/>
        <v>1753.8</v>
      </c>
      <c r="P203" s="7">
        <f t="shared" si="91"/>
        <v>13.598131710675672</v>
      </c>
      <c r="Q203">
        <f>ROUNDUP(몬스터!$P$31/F203, 0)</f>
        <v>17</v>
      </c>
      <c r="R203" s="6">
        <f t="shared" si="88"/>
        <v>19.929660023446658</v>
      </c>
      <c r="S203" s="7">
        <f>B203/몬스터!$C$31*R203</f>
        <v>322.30331908885779</v>
      </c>
      <c r="U203">
        <f>ROUNDDOWN(R203*몬스터!$H$31, 0)*몬스터!$G$31*(1+몬스터!$I$31)</f>
        <v>2840.4450000000002</v>
      </c>
      <c r="V203" s="2">
        <f t="shared" si="92"/>
        <v>1.6195945945945946</v>
      </c>
    </row>
    <row r="204" spans="1:22" x14ac:dyDescent="0.4">
      <c r="A204">
        <v>95</v>
      </c>
      <c r="B204" s="4">
        <f>160*A204</f>
        <v>15200</v>
      </c>
      <c r="C204">
        <f t="shared" si="81"/>
        <v>1195</v>
      </c>
      <c r="D204">
        <f t="shared" si="82"/>
        <v>48</v>
      </c>
      <c r="E204" s="2">
        <v>0</v>
      </c>
      <c r="F204">
        <f t="shared" si="83"/>
        <v>145</v>
      </c>
      <c r="G204">
        <f t="shared" si="84"/>
        <v>0.85499999999999998</v>
      </c>
      <c r="H204" s="3">
        <f t="shared" si="90"/>
        <v>0.05</v>
      </c>
      <c r="I204" s="2">
        <v>2</v>
      </c>
      <c r="J204" s="2">
        <v>0</v>
      </c>
      <c r="K204" s="2">
        <v>1</v>
      </c>
      <c r="L204" s="16">
        <v>2</v>
      </c>
      <c r="M204" s="5">
        <f t="shared" si="85"/>
        <v>1240</v>
      </c>
      <c r="N204" s="6">
        <f t="shared" si="86"/>
        <v>130.17375000000001</v>
      </c>
      <c r="O204">
        <f t="shared" si="87"/>
        <v>1768.6</v>
      </c>
      <c r="P204" s="7">
        <f t="shared" si="91"/>
        <v>13.586456562863095</v>
      </c>
      <c r="Q204">
        <f>ROUNDUP(몬스터!$P$31/F204, 0)</f>
        <v>17</v>
      </c>
      <c r="R204" s="6">
        <f t="shared" si="88"/>
        <v>19.883040935672515</v>
      </c>
      <c r="S204" s="7">
        <f>B204/몬스터!$C$31*R204</f>
        <v>324.97013142174433</v>
      </c>
      <c r="T204" s="7">
        <f t="shared" ref="T204" si="98">SUM(S200:S204)</f>
        <v>1598.0567404309047</v>
      </c>
      <c r="U204">
        <f>ROUNDDOWN(R204*몬스터!$H$31, 0)*몬스터!$G$31*(1+몬스터!$I$31)</f>
        <v>2840.4450000000002</v>
      </c>
      <c r="V204" s="2">
        <f t="shared" si="92"/>
        <v>1.6060415017527989</v>
      </c>
    </row>
    <row r="205" spans="1:22" x14ac:dyDescent="0.4">
      <c r="A205">
        <v>96</v>
      </c>
      <c r="B205" s="4">
        <f>170*A205</f>
        <v>16320</v>
      </c>
      <c r="C205">
        <f t="shared" si="81"/>
        <v>1205</v>
      </c>
      <c r="D205">
        <f t="shared" si="82"/>
        <v>48</v>
      </c>
      <c r="E205" s="2">
        <v>0</v>
      </c>
      <c r="F205">
        <f t="shared" si="83"/>
        <v>147</v>
      </c>
      <c r="G205">
        <f t="shared" si="84"/>
        <v>0.85699999999999998</v>
      </c>
      <c r="H205" s="3">
        <f t="shared" si="90"/>
        <v>0.05</v>
      </c>
      <c r="I205" s="2">
        <v>2</v>
      </c>
      <c r="J205" s="2">
        <v>0</v>
      </c>
      <c r="K205" s="2">
        <v>1</v>
      </c>
      <c r="L205" s="16">
        <v>2</v>
      </c>
      <c r="M205" s="5">
        <f t="shared" si="85"/>
        <v>1250</v>
      </c>
      <c r="N205" s="6">
        <f t="shared" si="86"/>
        <v>132.27795</v>
      </c>
      <c r="O205">
        <f t="shared" si="87"/>
        <v>1783.4</v>
      </c>
      <c r="P205" s="7">
        <f t="shared" si="91"/>
        <v>13.482216801817687</v>
      </c>
      <c r="Q205">
        <f>ROUNDUP(몬스터!$P$32/F205, 0)</f>
        <v>18</v>
      </c>
      <c r="R205" s="6">
        <f t="shared" si="88"/>
        <v>21.003500583430572</v>
      </c>
      <c r="S205" s="7">
        <f>B205/몬스터!$C$32*R205</f>
        <v>349.77258114447648</v>
      </c>
      <c r="U205">
        <f>ROUNDDOWN(R205*몬스터!$H$32, 0)*몬스터!$G$32*(1+몬스터!$I$32)</f>
        <v>3176.8199999999997</v>
      </c>
      <c r="V205" s="2">
        <f t="shared" si="92"/>
        <v>1.7813278008298752</v>
      </c>
    </row>
    <row r="206" spans="1:22" x14ac:dyDescent="0.4">
      <c r="A206">
        <v>97</v>
      </c>
      <c r="B206" s="4">
        <f>170*A206</f>
        <v>16490</v>
      </c>
      <c r="C206">
        <f t="shared" si="81"/>
        <v>1215</v>
      </c>
      <c r="D206">
        <f t="shared" si="82"/>
        <v>49</v>
      </c>
      <c r="E206" s="2">
        <v>0</v>
      </c>
      <c r="F206">
        <f t="shared" si="83"/>
        <v>148</v>
      </c>
      <c r="G206">
        <f t="shared" si="84"/>
        <v>0.85899999999999999</v>
      </c>
      <c r="H206" s="3">
        <f t="shared" si="90"/>
        <v>0.05</v>
      </c>
      <c r="I206" s="2">
        <v>2</v>
      </c>
      <c r="J206" s="2">
        <v>0</v>
      </c>
      <c r="K206" s="2">
        <v>1</v>
      </c>
      <c r="L206" s="16">
        <v>2</v>
      </c>
      <c r="M206" s="5">
        <f t="shared" si="85"/>
        <v>1260</v>
      </c>
      <c r="N206" s="6">
        <f t="shared" si="86"/>
        <v>133.48860000000002</v>
      </c>
      <c r="O206">
        <f t="shared" si="87"/>
        <v>1810.35</v>
      </c>
      <c r="P206" s="7">
        <f t="shared" si="91"/>
        <v>13.561832246349123</v>
      </c>
      <c r="Q206">
        <f>ROUNDUP(몬스터!$P$32/F206, 0)</f>
        <v>17</v>
      </c>
      <c r="R206" s="6">
        <f t="shared" ref="R206:R209" si="99">Q206/G206</f>
        <v>19.790454016298021</v>
      </c>
      <c r="S206" s="7">
        <f>B206/몬스터!$C$32*R206</f>
        <v>333.00468033546366</v>
      </c>
      <c r="U206">
        <f>ROUNDDOWN(R206*몬스터!$H$32, 0)*몬스터!$G$32*(1+몬스터!$I$32)</f>
        <v>3000.33</v>
      </c>
      <c r="V206" s="2">
        <f t="shared" si="92"/>
        <v>1.6573204076559782</v>
      </c>
    </row>
    <row r="207" spans="1:22" x14ac:dyDescent="0.4">
      <c r="A207">
        <v>98</v>
      </c>
      <c r="B207" s="4">
        <f>170*A207</f>
        <v>16660</v>
      </c>
      <c r="C207">
        <f t="shared" si="81"/>
        <v>1230</v>
      </c>
      <c r="D207">
        <f t="shared" si="82"/>
        <v>49</v>
      </c>
      <c r="E207" s="2">
        <v>0</v>
      </c>
      <c r="F207">
        <f t="shared" si="83"/>
        <v>149</v>
      </c>
      <c r="G207">
        <f t="shared" si="84"/>
        <v>0.86099999999999999</v>
      </c>
      <c r="H207" s="3">
        <f t="shared" si="90"/>
        <v>0.05</v>
      </c>
      <c r="I207" s="2">
        <v>2</v>
      </c>
      <c r="J207" s="2">
        <v>0</v>
      </c>
      <c r="K207" s="2">
        <v>1</v>
      </c>
      <c r="L207" s="16">
        <v>2</v>
      </c>
      <c r="M207" s="5">
        <f t="shared" si="85"/>
        <v>1270</v>
      </c>
      <c r="N207" s="6">
        <f t="shared" si="86"/>
        <v>134.70345</v>
      </c>
      <c r="O207">
        <f t="shared" si="87"/>
        <v>1832.7</v>
      </c>
      <c r="P207" s="7">
        <f t="shared" si="91"/>
        <v>13.605442176870747</v>
      </c>
      <c r="Q207">
        <f>ROUNDUP(몬스터!$P$32/F207, 0)</f>
        <v>17</v>
      </c>
      <c r="R207" s="6">
        <f t="shared" si="99"/>
        <v>19.744483159117305</v>
      </c>
      <c r="S207" s="7">
        <f>B207/몬스터!$C$32*R207</f>
        <v>335.65621370499417</v>
      </c>
      <c r="U207">
        <f>ROUNDDOWN(R207*몬스터!$H$32, 0)*몬스터!$G$32*(1+몬스터!$I$32)</f>
        <v>3000.33</v>
      </c>
      <c r="V207" s="2">
        <f t="shared" si="92"/>
        <v>1.6371091831723685</v>
      </c>
    </row>
    <row r="208" spans="1:22" x14ac:dyDescent="0.4">
      <c r="A208">
        <v>99</v>
      </c>
      <c r="B208" s="4">
        <f>170*A208</f>
        <v>16830</v>
      </c>
      <c r="C208">
        <f t="shared" si="81"/>
        <v>1240</v>
      </c>
      <c r="D208">
        <f t="shared" si="82"/>
        <v>49</v>
      </c>
      <c r="E208" s="2">
        <v>0</v>
      </c>
      <c r="F208">
        <f t="shared" si="83"/>
        <v>151</v>
      </c>
      <c r="G208">
        <f t="shared" si="84"/>
        <v>0.86299999999999999</v>
      </c>
      <c r="H208" s="3">
        <f t="shared" si="90"/>
        <v>0.05</v>
      </c>
      <c r="I208" s="2">
        <v>2</v>
      </c>
      <c r="J208" s="2">
        <v>0</v>
      </c>
      <c r="K208" s="2">
        <v>1</v>
      </c>
      <c r="L208" s="16">
        <v>2</v>
      </c>
      <c r="M208" s="5">
        <f t="shared" si="85"/>
        <v>1280</v>
      </c>
      <c r="N208" s="6">
        <f t="shared" si="86"/>
        <v>136.82864999999998</v>
      </c>
      <c r="O208">
        <f t="shared" si="87"/>
        <v>1847.6</v>
      </c>
      <c r="P208" s="7">
        <f t="shared" si="91"/>
        <v>13.503020018102935</v>
      </c>
      <c r="Q208">
        <f>ROUNDUP(몬스터!$P$32/F208, 0)</f>
        <v>17</v>
      </c>
      <c r="R208" s="6">
        <f t="shared" si="99"/>
        <v>19.698725376593281</v>
      </c>
      <c r="S208" s="7">
        <f>B208/몬스터!$C$32*R208</f>
        <v>338.29545723271929</v>
      </c>
      <c r="U208">
        <f>ROUNDDOWN(R208*몬스터!$H$32, 0)*몬스터!$G$32*(1+몬스터!$I$32)</f>
        <v>3000.33</v>
      </c>
      <c r="V208" s="2">
        <f t="shared" si="92"/>
        <v>1.6239066897596883</v>
      </c>
    </row>
    <row r="209" spans="1:22" x14ac:dyDescent="0.4">
      <c r="A209">
        <v>100</v>
      </c>
      <c r="B209" s="4">
        <f>170*A209</f>
        <v>17000</v>
      </c>
      <c r="C209">
        <f t="shared" si="81"/>
        <v>1250</v>
      </c>
      <c r="D209">
        <f t="shared" si="82"/>
        <v>50</v>
      </c>
      <c r="E209" s="2">
        <v>0</v>
      </c>
      <c r="F209">
        <f t="shared" si="83"/>
        <v>152</v>
      </c>
      <c r="G209">
        <f t="shared" si="84"/>
        <v>0.86499999999999999</v>
      </c>
      <c r="H209" s="3">
        <f t="shared" si="90"/>
        <v>0.05</v>
      </c>
      <c r="I209" s="2">
        <v>2</v>
      </c>
      <c r="J209" s="2">
        <v>0</v>
      </c>
      <c r="K209" s="2">
        <v>1</v>
      </c>
      <c r="L209" s="16">
        <v>2</v>
      </c>
      <c r="M209" s="5">
        <f t="shared" si="85"/>
        <v>1290</v>
      </c>
      <c r="N209" s="6">
        <f t="shared" si="86"/>
        <v>138.054</v>
      </c>
      <c r="O209">
        <f t="shared" si="87"/>
        <v>1875</v>
      </c>
      <c r="P209" s="7">
        <f t="shared" si="91"/>
        <v>13.581641966187144</v>
      </c>
      <c r="Q209">
        <f>ROUNDUP(몬스터!$P$32/F209, 0)</f>
        <v>17</v>
      </c>
      <c r="R209" s="6">
        <f t="shared" si="99"/>
        <v>19.653179190751445</v>
      </c>
      <c r="S209" s="7">
        <f>B209/몬스터!$C$32*R209</f>
        <v>340.92249616609649</v>
      </c>
      <c r="T209" s="7">
        <f t="shared" ref="T209" si="100">SUM(S205:S209)</f>
        <v>1697.6514285837502</v>
      </c>
      <c r="U209">
        <f>ROUNDDOWN(R209*몬스터!$H$32, 0)*몬스터!$G$32*(1+몬스터!$I$32)</f>
        <v>3000.33</v>
      </c>
      <c r="V209" s="2">
        <f t="shared" si="92"/>
        <v>1.600176</v>
      </c>
    </row>
    <row r="211" spans="1:22" x14ac:dyDescent="0.4">
      <c r="A211" t="s">
        <v>282</v>
      </c>
      <c r="B211" t="s">
        <v>286</v>
      </c>
    </row>
    <row r="213" spans="1:22" ht="19.8" thickBot="1" x14ac:dyDescent="0.45">
      <c r="B213" s="46" t="s">
        <v>283</v>
      </c>
    </row>
    <row r="214" spans="1:22" ht="18" thickBot="1" x14ac:dyDescent="0.45">
      <c r="A214" s="36" t="s">
        <v>18</v>
      </c>
      <c r="B214" s="36" t="s">
        <v>300</v>
      </c>
      <c r="C214" s="28" t="s">
        <v>301</v>
      </c>
      <c r="D214" s="28" t="s">
        <v>302</v>
      </c>
      <c r="E214" s="28" t="s">
        <v>303</v>
      </c>
      <c r="F214" s="37" t="s">
        <v>305</v>
      </c>
      <c r="G214" s="37" t="s">
        <v>306</v>
      </c>
      <c r="H214" s="37" t="s">
        <v>307</v>
      </c>
      <c r="I214" s="37" t="s">
        <v>308</v>
      </c>
      <c r="J214" s="37" t="s">
        <v>309</v>
      </c>
      <c r="K214" s="38" t="s">
        <v>310</v>
      </c>
      <c r="L214" s="38" t="s">
        <v>312</v>
      </c>
      <c r="M214" s="38" t="s">
        <v>311</v>
      </c>
      <c r="N214" s="23" t="s">
        <v>313</v>
      </c>
      <c r="O214" s="23" t="s">
        <v>314</v>
      </c>
      <c r="P214" s="23" t="s">
        <v>315</v>
      </c>
      <c r="Q214" s="39" t="s">
        <v>316</v>
      </c>
      <c r="R214" s="39" t="s">
        <v>317</v>
      </c>
      <c r="S214" s="39" t="s">
        <v>318</v>
      </c>
      <c r="T214" s="39" t="s">
        <v>319</v>
      </c>
      <c r="U214" s="39" t="s">
        <v>320</v>
      </c>
      <c r="V214" s="39" t="s">
        <v>321</v>
      </c>
    </row>
    <row r="215" spans="1:22" ht="18" thickTop="1" x14ac:dyDescent="0.4">
      <c r="A215">
        <v>1</v>
      </c>
      <c r="B215" s="4">
        <f>150*A215</f>
        <v>150</v>
      </c>
      <c r="C215">
        <f t="shared" ref="C215:C246" si="101">MROUND((150+A215*11)*0.8,5)</f>
        <v>130</v>
      </c>
      <c r="D215">
        <f t="shared" ref="D215:D246" si="102">ROUNDDOWN((17+A215*0.3), 0)</f>
        <v>17</v>
      </c>
      <c r="E215" s="2">
        <v>0</v>
      </c>
      <c r="F215">
        <f t="shared" ref="F215:F246" si="103">ROUND((28+A215*2)*2/3*1.08, 0)</f>
        <v>22</v>
      </c>
      <c r="G215">
        <f t="shared" ref="G215:G246" si="104">0.665+0.002*A215</f>
        <v>0.66700000000000004</v>
      </c>
      <c r="H215" s="3">
        <f>0.05</f>
        <v>0.05</v>
      </c>
      <c r="I215" s="2">
        <v>2</v>
      </c>
      <c r="J215" s="2">
        <v>0</v>
      </c>
      <c r="K215" s="2">
        <v>1</v>
      </c>
      <c r="L215" s="16">
        <f>2</f>
        <v>2</v>
      </c>
      <c r="M215" s="5">
        <f t="shared" ref="M215:M246" si="105">290+10*A215</f>
        <v>300</v>
      </c>
      <c r="N215" s="6">
        <f t="shared" ref="N215:N246" si="106">F215*G215*(1+H215)</f>
        <v>15.407700000000002</v>
      </c>
      <c r="O215">
        <f t="shared" ref="O215:O246" si="107">C215*(1+D215/100)*(1+E215)</f>
        <v>152.1</v>
      </c>
      <c r="P215" s="7">
        <f>O215/N215</f>
        <v>9.8716875328569458</v>
      </c>
      <c r="Q215">
        <f>ROUNDUP(몬스터!$P$5/F215, 0)</f>
        <v>7</v>
      </c>
      <c r="R215" s="6">
        <f t="shared" ref="R215:R246" si="108">Q215/G215</f>
        <v>10.494752623688155</v>
      </c>
      <c r="S215" s="7">
        <f>B215/몬스터!$C$5*R215</f>
        <v>52.473763118440779</v>
      </c>
      <c r="U215">
        <f>ROUNDDOWN(R215*몬스터!$H$5, 0)*몬스터!$G$5*(1+몬스터!$I$5)</f>
        <v>37.800000000000004</v>
      </c>
      <c r="V215" s="2">
        <f>U215/O215</f>
        <v>0.24852071005917165</v>
      </c>
    </row>
    <row r="216" spans="1:22" x14ac:dyDescent="0.4">
      <c r="A216">
        <v>2</v>
      </c>
      <c r="B216" s="4">
        <f>150*A216</f>
        <v>300</v>
      </c>
      <c r="C216">
        <f t="shared" si="101"/>
        <v>140</v>
      </c>
      <c r="D216">
        <f t="shared" si="102"/>
        <v>17</v>
      </c>
      <c r="E216" s="2">
        <v>0</v>
      </c>
      <c r="F216">
        <f t="shared" si="103"/>
        <v>23</v>
      </c>
      <c r="G216">
        <f t="shared" si="104"/>
        <v>0.66900000000000004</v>
      </c>
      <c r="H216" s="3">
        <f t="shared" ref="H216:H279" si="109">0.05</f>
        <v>0.05</v>
      </c>
      <c r="I216" s="2">
        <v>2</v>
      </c>
      <c r="J216" s="2">
        <v>0</v>
      </c>
      <c r="K216" s="2">
        <v>1</v>
      </c>
      <c r="L216" s="16">
        <f>2</f>
        <v>2</v>
      </c>
      <c r="M216" s="5">
        <f t="shared" si="105"/>
        <v>310</v>
      </c>
      <c r="N216" s="6">
        <f t="shared" si="106"/>
        <v>16.15635</v>
      </c>
      <c r="O216">
        <f t="shared" si="107"/>
        <v>163.79999999999998</v>
      </c>
      <c r="P216" s="7">
        <f t="shared" ref="P216:P279" si="110">O216/N216</f>
        <v>10.138428543575746</v>
      </c>
      <c r="Q216">
        <f>ROUNDUP(몬스터!$P$5/F216, 0)</f>
        <v>6</v>
      </c>
      <c r="R216" s="6">
        <f t="shared" si="108"/>
        <v>8.9686098654708513</v>
      </c>
      <c r="S216" s="7">
        <f>B216/몬스터!$C$5*R216</f>
        <v>89.686098654708516</v>
      </c>
      <c r="U216">
        <f>ROUNDDOWN(R216*몬스터!$H$5, 0)*몬스터!$G$5*(1+몬스터!$I$5)</f>
        <v>31.5</v>
      </c>
      <c r="V216" s="2">
        <f t="shared" ref="V216:V279" si="111">U216/O216</f>
        <v>0.19230769230769232</v>
      </c>
    </row>
    <row r="217" spans="1:22" x14ac:dyDescent="0.4">
      <c r="A217">
        <v>3</v>
      </c>
      <c r="B217" s="4">
        <f>150*A217</f>
        <v>450</v>
      </c>
      <c r="C217">
        <f t="shared" si="101"/>
        <v>145</v>
      </c>
      <c r="D217">
        <f t="shared" si="102"/>
        <v>17</v>
      </c>
      <c r="E217" s="2">
        <v>0</v>
      </c>
      <c r="F217">
        <f t="shared" si="103"/>
        <v>24</v>
      </c>
      <c r="G217">
        <f t="shared" si="104"/>
        <v>0.67100000000000004</v>
      </c>
      <c r="H217" s="3">
        <f t="shared" si="109"/>
        <v>0.05</v>
      </c>
      <c r="I217" s="2">
        <v>2</v>
      </c>
      <c r="J217" s="2">
        <v>0</v>
      </c>
      <c r="K217" s="2">
        <v>1</v>
      </c>
      <c r="L217" s="16">
        <f>2</f>
        <v>2</v>
      </c>
      <c r="M217" s="5">
        <f t="shared" si="105"/>
        <v>320</v>
      </c>
      <c r="N217" s="6">
        <f t="shared" si="106"/>
        <v>16.909199999999998</v>
      </c>
      <c r="O217">
        <f t="shared" si="107"/>
        <v>169.64999999999998</v>
      </c>
      <c r="P217" s="7">
        <f t="shared" si="110"/>
        <v>10.032999787098147</v>
      </c>
      <c r="Q217">
        <f>ROUNDUP(몬스터!$P$5/F217, 0)</f>
        <v>6</v>
      </c>
      <c r="R217" s="6">
        <f t="shared" si="108"/>
        <v>8.9418777943368095</v>
      </c>
      <c r="S217" s="7">
        <f>B217/몬스터!$C$5*R217</f>
        <v>134.12816691505213</v>
      </c>
      <c r="U217">
        <f>ROUNDDOWN(R217*몬스터!$H$5, 0)*몬스터!$G$5*(1+몬스터!$I$5)</f>
        <v>31.5</v>
      </c>
      <c r="V217" s="2">
        <f t="shared" si="111"/>
        <v>0.18567639257294433</v>
      </c>
    </row>
    <row r="218" spans="1:22" x14ac:dyDescent="0.4">
      <c r="A218">
        <v>4</v>
      </c>
      <c r="B218" s="4">
        <f>150*A218+50</f>
        <v>650</v>
      </c>
      <c r="C218">
        <f t="shared" si="101"/>
        <v>155</v>
      </c>
      <c r="D218">
        <f t="shared" si="102"/>
        <v>18</v>
      </c>
      <c r="E218" s="2">
        <v>0</v>
      </c>
      <c r="F218">
        <f t="shared" si="103"/>
        <v>26</v>
      </c>
      <c r="G218">
        <f t="shared" si="104"/>
        <v>0.67300000000000004</v>
      </c>
      <c r="H218" s="3">
        <f t="shared" si="109"/>
        <v>0.05</v>
      </c>
      <c r="I218" s="2">
        <v>2</v>
      </c>
      <c r="J218" s="2">
        <v>0</v>
      </c>
      <c r="K218" s="2">
        <v>1</v>
      </c>
      <c r="L218" s="16">
        <f>2</f>
        <v>2</v>
      </c>
      <c r="M218" s="5">
        <f t="shared" si="105"/>
        <v>330</v>
      </c>
      <c r="N218" s="6">
        <f t="shared" si="106"/>
        <v>18.372900000000001</v>
      </c>
      <c r="O218">
        <f t="shared" si="107"/>
        <v>182.89999999999998</v>
      </c>
      <c r="P218" s="7">
        <f t="shared" si="110"/>
        <v>9.9548791970783039</v>
      </c>
      <c r="Q218">
        <f>ROUNDUP(몬스터!$P$5/F218, 0)</f>
        <v>6</v>
      </c>
      <c r="R218" s="6">
        <f t="shared" si="108"/>
        <v>8.9153046062407135</v>
      </c>
      <c r="S218" s="7">
        <f>B218/몬스터!$C$5*R218</f>
        <v>193.16493313521548</v>
      </c>
      <c r="U218">
        <f>ROUNDDOWN(R218*몬스터!$H$5, 0)*몬스터!$G$5*(1+몬스터!$I$5)</f>
        <v>31.5</v>
      </c>
      <c r="V218" s="2">
        <f t="shared" si="111"/>
        <v>0.17222525970475672</v>
      </c>
    </row>
    <row r="219" spans="1:22" x14ac:dyDescent="0.4">
      <c r="A219">
        <v>5</v>
      </c>
      <c r="B219" s="4">
        <f>150*A219+75</f>
        <v>825</v>
      </c>
      <c r="C219">
        <f t="shared" si="101"/>
        <v>165</v>
      </c>
      <c r="D219">
        <f t="shared" si="102"/>
        <v>18</v>
      </c>
      <c r="E219" s="2">
        <v>0</v>
      </c>
      <c r="F219">
        <f t="shared" si="103"/>
        <v>27</v>
      </c>
      <c r="G219">
        <f t="shared" si="104"/>
        <v>0.67500000000000004</v>
      </c>
      <c r="H219" s="3">
        <f t="shared" si="109"/>
        <v>0.05</v>
      </c>
      <c r="I219" s="2">
        <v>2</v>
      </c>
      <c r="J219" s="2">
        <v>0</v>
      </c>
      <c r="K219" s="2">
        <v>1</v>
      </c>
      <c r="L219" s="16">
        <f>2</f>
        <v>2</v>
      </c>
      <c r="M219" s="5">
        <f t="shared" si="105"/>
        <v>340</v>
      </c>
      <c r="N219" s="6">
        <f t="shared" si="106"/>
        <v>19.136250000000004</v>
      </c>
      <c r="O219">
        <f t="shared" si="107"/>
        <v>194.7</v>
      </c>
      <c r="P219" s="7">
        <f t="shared" si="110"/>
        <v>10.174407211444246</v>
      </c>
      <c r="Q219">
        <f>ROUNDUP(몬스터!$P$5/F219, 0)</f>
        <v>5</v>
      </c>
      <c r="R219" s="6">
        <f t="shared" si="108"/>
        <v>7.4074074074074066</v>
      </c>
      <c r="S219" s="7">
        <f>B219/몬스터!$C$5*R219</f>
        <v>203.70370370370367</v>
      </c>
      <c r="T219" s="7">
        <f>SUM(S215:S219)</f>
        <v>673.15666552712059</v>
      </c>
      <c r="U219">
        <f>ROUNDDOWN(R219*몬스터!$H$5, 0)*몬스터!$G$5*(1+몬스터!$I$5)</f>
        <v>25.200000000000003</v>
      </c>
      <c r="V219" s="2">
        <f t="shared" si="111"/>
        <v>0.12942989214175657</v>
      </c>
    </row>
    <row r="220" spans="1:22" x14ac:dyDescent="0.4">
      <c r="A220">
        <v>6</v>
      </c>
      <c r="B220" s="4">
        <f>150*A220</f>
        <v>900</v>
      </c>
      <c r="C220">
        <f t="shared" si="101"/>
        <v>175</v>
      </c>
      <c r="D220">
        <f t="shared" si="102"/>
        <v>18</v>
      </c>
      <c r="E220" s="2">
        <v>0</v>
      </c>
      <c r="F220">
        <f t="shared" si="103"/>
        <v>29</v>
      </c>
      <c r="G220">
        <f t="shared" si="104"/>
        <v>0.67700000000000005</v>
      </c>
      <c r="H220" s="3">
        <f t="shared" si="109"/>
        <v>0.05</v>
      </c>
      <c r="I220" s="2">
        <v>2</v>
      </c>
      <c r="J220" s="2">
        <v>0</v>
      </c>
      <c r="K220" s="2">
        <v>1</v>
      </c>
      <c r="L220" s="16">
        <f>2</f>
        <v>2</v>
      </c>
      <c r="M220" s="5">
        <f t="shared" si="105"/>
        <v>350</v>
      </c>
      <c r="N220" s="6">
        <f t="shared" si="106"/>
        <v>20.614650000000005</v>
      </c>
      <c r="O220">
        <f t="shared" si="107"/>
        <v>206.5</v>
      </c>
      <c r="P220" s="7">
        <f t="shared" si="110"/>
        <v>10.01714799911713</v>
      </c>
      <c r="Q220">
        <f>ROUNDUP(몬스터!$P$6/F220, 0)</f>
        <v>8</v>
      </c>
      <c r="R220" s="6">
        <f t="shared" si="108"/>
        <v>11.816838995568684</v>
      </c>
      <c r="S220" s="7">
        <f>B220/몬스터!$C$6*R220</f>
        <v>132.93943870014769</v>
      </c>
      <c r="U220">
        <f>ROUNDDOWN(R220*몬스터!$H$6, 0)*몬스터!$G$6*(1+몬스터!$I$6)</f>
        <v>96.232500000000016</v>
      </c>
      <c r="V220" s="2">
        <f t="shared" si="111"/>
        <v>0.46601694915254244</v>
      </c>
    </row>
    <row r="221" spans="1:22" x14ac:dyDescent="0.4">
      <c r="A221">
        <v>7</v>
      </c>
      <c r="B221" s="4">
        <f>150*A221</f>
        <v>1050</v>
      </c>
      <c r="C221">
        <f t="shared" si="101"/>
        <v>180</v>
      </c>
      <c r="D221">
        <f t="shared" si="102"/>
        <v>19</v>
      </c>
      <c r="E221" s="2">
        <v>0</v>
      </c>
      <c r="F221">
        <f t="shared" si="103"/>
        <v>30</v>
      </c>
      <c r="G221">
        <f t="shared" si="104"/>
        <v>0.67900000000000005</v>
      </c>
      <c r="H221" s="3">
        <f t="shared" si="109"/>
        <v>0.05</v>
      </c>
      <c r="I221" s="2">
        <v>2</v>
      </c>
      <c r="J221" s="2">
        <v>0</v>
      </c>
      <c r="K221" s="2">
        <v>1</v>
      </c>
      <c r="L221" s="16">
        <f>2</f>
        <v>2</v>
      </c>
      <c r="M221" s="5">
        <f t="shared" si="105"/>
        <v>360</v>
      </c>
      <c r="N221" s="6">
        <f t="shared" si="106"/>
        <v>21.388500000000001</v>
      </c>
      <c r="O221">
        <f t="shared" si="107"/>
        <v>214.2</v>
      </c>
      <c r="P221" s="7">
        <f t="shared" si="110"/>
        <v>10.014727540500736</v>
      </c>
      <c r="Q221">
        <f>ROUNDUP(몬스터!$P$6/F221, 0)</f>
        <v>8</v>
      </c>
      <c r="R221" s="6">
        <f t="shared" si="108"/>
        <v>11.782032400589101</v>
      </c>
      <c r="S221" s="7">
        <f>B221/몬스터!$C$6*R221</f>
        <v>154.63917525773195</v>
      </c>
      <c r="U221">
        <f>ROUNDDOWN(R221*몬스터!$H$6, 0)*몬스터!$G$6*(1+몬스터!$I$6)</f>
        <v>96.232500000000016</v>
      </c>
      <c r="V221" s="2">
        <f t="shared" si="111"/>
        <v>0.44926470588235307</v>
      </c>
    </row>
    <row r="222" spans="1:22" x14ac:dyDescent="0.4">
      <c r="A222">
        <v>8</v>
      </c>
      <c r="B222" s="4">
        <f>150*A222+50</f>
        <v>1250</v>
      </c>
      <c r="C222">
        <f t="shared" si="101"/>
        <v>190</v>
      </c>
      <c r="D222">
        <f t="shared" si="102"/>
        <v>19</v>
      </c>
      <c r="E222" s="2">
        <v>0</v>
      </c>
      <c r="F222">
        <f t="shared" si="103"/>
        <v>32</v>
      </c>
      <c r="G222">
        <f t="shared" si="104"/>
        <v>0.68100000000000005</v>
      </c>
      <c r="H222" s="3">
        <f t="shared" si="109"/>
        <v>0.05</v>
      </c>
      <c r="I222" s="2">
        <v>2</v>
      </c>
      <c r="J222" s="2">
        <v>0</v>
      </c>
      <c r="K222" s="2">
        <v>1</v>
      </c>
      <c r="L222" s="16">
        <f>2</f>
        <v>2</v>
      </c>
      <c r="M222" s="5">
        <f t="shared" si="105"/>
        <v>370</v>
      </c>
      <c r="N222" s="6">
        <f t="shared" si="106"/>
        <v>22.881600000000002</v>
      </c>
      <c r="O222">
        <f t="shared" si="107"/>
        <v>226.1</v>
      </c>
      <c r="P222" s="7">
        <f t="shared" si="110"/>
        <v>9.8813020068526658</v>
      </c>
      <c r="Q222">
        <f>ROUNDUP(몬스터!$P$6/F222, 0)</f>
        <v>7</v>
      </c>
      <c r="R222" s="6">
        <f t="shared" si="108"/>
        <v>10.279001468428781</v>
      </c>
      <c r="S222" s="7">
        <f>B222/몬스터!$C$6*R222</f>
        <v>160.60939794419971</v>
      </c>
      <c r="U222">
        <f>ROUNDDOWN(R222*몬스터!$H$6, 0)*몬스터!$G$6*(1+몬스터!$I$6)</f>
        <v>82.485000000000014</v>
      </c>
      <c r="V222" s="2">
        <f t="shared" si="111"/>
        <v>0.36481645289694831</v>
      </c>
    </row>
    <row r="223" spans="1:22" x14ac:dyDescent="0.4">
      <c r="A223">
        <v>9</v>
      </c>
      <c r="B223" s="4">
        <f>150*A223+50</f>
        <v>1400</v>
      </c>
      <c r="C223">
        <f t="shared" si="101"/>
        <v>200</v>
      </c>
      <c r="D223">
        <f t="shared" si="102"/>
        <v>19</v>
      </c>
      <c r="E223" s="2">
        <v>0</v>
      </c>
      <c r="F223">
        <f t="shared" si="103"/>
        <v>33</v>
      </c>
      <c r="G223">
        <f t="shared" si="104"/>
        <v>0.68300000000000005</v>
      </c>
      <c r="H223" s="3">
        <f t="shared" si="109"/>
        <v>0.05</v>
      </c>
      <c r="I223" s="2">
        <v>2</v>
      </c>
      <c r="J223" s="2">
        <v>0</v>
      </c>
      <c r="K223" s="2">
        <v>1</v>
      </c>
      <c r="L223" s="16">
        <f>2</f>
        <v>2</v>
      </c>
      <c r="M223" s="5">
        <f t="shared" si="105"/>
        <v>380</v>
      </c>
      <c r="N223" s="6">
        <f t="shared" si="106"/>
        <v>23.665950000000002</v>
      </c>
      <c r="O223">
        <f t="shared" si="107"/>
        <v>238</v>
      </c>
      <c r="P223" s="7">
        <f t="shared" si="110"/>
        <v>10.056642560302882</v>
      </c>
      <c r="Q223">
        <f>ROUNDUP(몬스터!$P$6/F223, 0)</f>
        <v>7</v>
      </c>
      <c r="R223" s="6">
        <f t="shared" si="108"/>
        <v>10.248901903367496</v>
      </c>
      <c r="S223" s="7">
        <f>B223/몬스터!$C$6*R223</f>
        <v>179.35578330893119</v>
      </c>
      <c r="U223">
        <f>ROUNDDOWN(R223*몬스터!$H$6, 0)*몬스터!$G$6*(1+몬스터!$I$6)</f>
        <v>82.485000000000014</v>
      </c>
      <c r="V223" s="2">
        <f t="shared" si="111"/>
        <v>0.34657563025210092</v>
      </c>
    </row>
    <row r="224" spans="1:22" x14ac:dyDescent="0.4">
      <c r="A224">
        <v>10</v>
      </c>
      <c r="B224" s="4">
        <f>150*A224+50</f>
        <v>1550</v>
      </c>
      <c r="C224">
        <f t="shared" si="101"/>
        <v>210</v>
      </c>
      <c r="D224">
        <f t="shared" si="102"/>
        <v>20</v>
      </c>
      <c r="E224" s="2">
        <v>0</v>
      </c>
      <c r="F224">
        <f t="shared" si="103"/>
        <v>35</v>
      </c>
      <c r="G224">
        <f t="shared" si="104"/>
        <v>0.68500000000000005</v>
      </c>
      <c r="H224" s="3">
        <f t="shared" si="109"/>
        <v>0.05</v>
      </c>
      <c r="I224" s="2">
        <v>2</v>
      </c>
      <c r="J224" s="2">
        <v>0</v>
      </c>
      <c r="K224" s="2">
        <v>1</v>
      </c>
      <c r="L224" s="16">
        <f>2</f>
        <v>2</v>
      </c>
      <c r="M224" s="5">
        <f t="shared" si="105"/>
        <v>390</v>
      </c>
      <c r="N224" s="6">
        <f t="shared" si="106"/>
        <v>25.173750000000002</v>
      </c>
      <c r="O224">
        <f t="shared" si="107"/>
        <v>252</v>
      </c>
      <c r="P224" s="7">
        <f t="shared" si="110"/>
        <v>10.010427528675702</v>
      </c>
      <c r="Q224">
        <f>ROUNDUP(몬스터!$P$6/F224, 0)</f>
        <v>7</v>
      </c>
      <c r="R224" s="6">
        <f t="shared" si="108"/>
        <v>10.21897810218978</v>
      </c>
      <c r="S224" s="7">
        <f>B224/몬스터!$C$6*R224</f>
        <v>197.99270072992698</v>
      </c>
      <c r="T224" s="7">
        <f>SUM(S220:S224)</f>
        <v>825.53649594093758</v>
      </c>
      <c r="U224">
        <f>ROUNDDOWN(R224*몬스터!$H$6, 0)*몬스터!$G$6*(1+몬스터!$I$6)</f>
        <v>82.485000000000014</v>
      </c>
      <c r="V224" s="2">
        <f t="shared" si="111"/>
        <v>0.32732142857142865</v>
      </c>
    </row>
    <row r="225" spans="1:22" x14ac:dyDescent="0.4">
      <c r="A225">
        <v>11</v>
      </c>
      <c r="B225" s="4">
        <f>160*A225</f>
        <v>1760</v>
      </c>
      <c r="C225">
        <f t="shared" si="101"/>
        <v>215</v>
      </c>
      <c r="D225">
        <f t="shared" si="102"/>
        <v>20</v>
      </c>
      <c r="E225" s="2">
        <v>0</v>
      </c>
      <c r="F225">
        <f t="shared" si="103"/>
        <v>36</v>
      </c>
      <c r="G225">
        <f t="shared" si="104"/>
        <v>0.68700000000000006</v>
      </c>
      <c r="H225" s="3">
        <f t="shared" si="109"/>
        <v>0.05</v>
      </c>
      <c r="I225" s="2">
        <v>2</v>
      </c>
      <c r="J225" s="2">
        <v>0</v>
      </c>
      <c r="K225" s="2">
        <v>1</v>
      </c>
      <c r="L225" s="16">
        <f>2</f>
        <v>2</v>
      </c>
      <c r="M225" s="5">
        <f t="shared" si="105"/>
        <v>400</v>
      </c>
      <c r="N225" s="6">
        <f t="shared" si="106"/>
        <v>25.968600000000006</v>
      </c>
      <c r="O225">
        <f t="shared" si="107"/>
        <v>258</v>
      </c>
      <c r="P225" s="7">
        <f t="shared" si="110"/>
        <v>9.9350754372588419</v>
      </c>
      <c r="Q225">
        <f>ROUNDUP(몬스터!$P$7/F225, 0)</f>
        <v>8</v>
      </c>
      <c r="R225" s="6">
        <f t="shared" si="108"/>
        <v>11.644832605531295</v>
      </c>
      <c r="S225" s="7">
        <f>B225/몬스터!$C$7*R225</f>
        <v>157.6531183518083</v>
      </c>
      <c r="U225">
        <f>ROUNDDOWN(R225*몬스터!$H$7, 0)*몬스터!$G$7*(1+몬스터!$I$7)</f>
        <v>156.55499999999998</v>
      </c>
      <c r="V225" s="2">
        <f t="shared" si="111"/>
        <v>0.60680232558139524</v>
      </c>
    </row>
    <row r="226" spans="1:22" x14ac:dyDescent="0.4">
      <c r="A226">
        <v>12</v>
      </c>
      <c r="B226" s="4">
        <f>160*A226</f>
        <v>1920</v>
      </c>
      <c r="C226">
        <f t="shared" si="101"/>
        <v>225</v>
      </c>
      <c r="D226">
        <f t="shared" si="102"/>
        <v>20</v>
      </c>
      <c r="E226" s="2">
        <v>0</v>
      </c>
      <c r="F226">
        <f t="shared" si="103"/>
        <v>37</v>
      </c>
      <c r="G226">
        <f t="shared" si="104"/>
        <v>0.68900000000000006</v>
      </c>
      <c r="H226" s="3">
        <f t="shared" si="109"/>
        <v>0.05</v>
      </c>
      <c r="I226" s="2">
        <v>2</v>
      </c>
      <c r="J226" s="2">
        <v>0</v>
      </c>
      <c r="K226" s="2">
        <v>1</v>
      </c>
      <c r="L226" s="16">
        <f>2</f>
        <v>2</v>
      </c>
      <c r="M226" s="5">
        <f t="shared" si="105"/>
        <v>410</v>
      </c>
      <c r="N226" s="6">
        <f t="shared" si="106"/>
        <v>26.767650000000003</v>
      </c>
      <c r="O226">
        <f t="shared" si="107"/>
        <v>270</v>
      </c>
      <c r="P226" s="7">
        <f t="shared" si="110"/>
        <v>10.086802539632727</v>
      </c>
      <c r="Q226">
        <f>ROUNDUP(몬스터!$P$7/F226, 0)</f>
        <v>7</v>
      </c>
      <c r="R226" s="6">
        <f t="shared" si="108"/>
        <v>10.15965166908563</v>
      </c>
      <c r="S226" s="7">
        <f>B226/몬스터!$C$7*R226</f>
        <v>150.05024003572623</v>
      </c>
      <c r="U226">
        <f>ROUNDDOWN(R226*몬스터!$H$7, 0)*몬스터!$G$7*(1+몬스터!$I$7)</f>
        <v>134.19</v>
      </c>
      <c r="V226" s="2">
        <f t="shared" si="111"/>
        <v>0.497</v>
      </c>
    </row>
    <row r="227" spans="1:22" x14ac:dyDescent="0.4">
      <c r="A227">
        <v>13</v>
      </c>
      <c r="B227" s="4">
        <f>160*A227+40</f>
        <v>2120</v>
      </c>
      <c r="C227">
        <f t="shared" si="101"/>
        <v>235</v>
      </c>
      <c r="D227">
        <f t="shared" si="102"/>
        <v>20</v>
      </c>
      <c r="E227" s="2">
        <v>0</v>
      </c>
      <c r="F227">
        <f t="shared" si="103"/>
        <v>39</v>
      </c>
      <c r="G227">
        <f t="shared" si="104"/>
        <v>0.69100000000000006</v>
      </c>
      <c r="H227" s="3">
        <f t="shared" si="109"/>
        <v>0.05</v>
      </c>
      <c r="I227" s="2">
        <v>2</v>
      </c>
      <c r="J227" s="2">
        <v>0</v>
      </c>
      <c r="K227" s="2">
        <v>1</v>
      </c>
      <c r="L227" s="16">
        <f>2</f>
        <v>2</v>
      </c>
      <c r="M227" s="5">
        <f t="shared" si="105"/>
        <v>420</v>
      </c>
      <c r="N227" s="6">
        <f t="shared" si="106"/>
        <v>28.296450000000004</v>
      </c>
      <c r="O227">
        <f t="shared" si="107"/>
        <v>282</v>
      </c>
      <c r="P227" s="7">
        <f t="shared" si="110"/>
        <v>9.9659144521662597</v>
      </c>
      <c r="Q227">
        <f>ROUNDUP(몬스터!$P$7/F227, 0)</f>
        <v>7</v>
      </c>
      <c r="R227" s="6">
        <f t="shared" si="108"/>
        <v>10.130246020260492</v>
      </c>
      <c r="S227" s="7">
        <f>B227/몬스터!$C$7*R227</f>
        <v>165.20093509963263</v>
      </c>
      <c r="U227">
        <f>ROUNDDOWN(R227*몬스터!$H$7, 0)*몬스터!$G$7*(1+몬스터!$I$7)</f>
        <v>134.19</v>
      </c>
      <c r="V227" s="2">
        <f t="shared" si="111"/>
        <v>0.4758510638297872</v>
      </c>
    </row>
    <row r="228" spans="1:22" x14ac:dyDescent="0.4">
      <c r="A228">
        <v>14</v>
      </c>
      <c r="B228" s="4">
        <f>160*A228+120</f>
        <v>2360</v>
      </c>
      <c r="C228">
        <f t="shared" si="101"/>
        <v>245</v>
      </c>
      <c r="D228">
        <f t="shared" si="102"/>
        <v>21</v>
      </c>
      <c r="E228" s="2">
        <v>0</v>
      </c>
      <c r="F228">
        <f t="shared" si="103"/>
        <v>40</v>
      </c>
      <c r="G228">
        <f t="shared" si="104"/>
        <v>0.69300000000000006</v>
      </c>
      <c r="H228" s="3">
        <f t="shared" si="109"/>
        <v>0.05</v>
      </c>
      <c r="I228" s="2">
        <v>2</v>
      </c>
      <c r="J228" s="2">
        <v>0</v>
      </c>
      <c r="K228" s="2">
        <v>1</v>
      </c>
      <c r="L228" s="16">
        <f>2</f>
        <v>2</v>
      </c>
      <c r="M228" s="5">
        <f t="shared" si="105"/>
        <v>430</v>
      </c>
      <c r="N228" s="6">
        <f t="shared" si="106"/>
        <v>29.106000000000005</v>
      </c>
      <c r="O228">
        <f t="shared" si="107"/>
        <v>296.45</v>
      </c>
      <c r="P228" s="7">
        <f t="shared" si="110"/>
        <v>10.185185185185183</v>
      </c>
      <c r="Q228">
        <f>ROUNDUP(몬스터!$P$7/F228, 0)</f>
        <v>7</v>
      </c>
      <c r="R228" s="6">
        <f t="shared" si="108"/>
        <v>10.1010101010101</v>
      </c>
      <c r="S228" s="7">
        <f>B228/몬스터!$C$7*R228</f>
        <v>183.37218337218334</v>
      </c>
      <c r="U228">
        <f>ROUNDDOWN(R228*몬스터!$H$7, 0)*몬스터!$G$7*(1+몬스터!$I$7)</f>
        <v>134.19</v>
      </c>
      <c r="V228" s="2">
        <f t="shared" si="111"/>
        <v>0.45265643447461629</v>
      </c>
    </row>
    <row r="229" spans="1:22" x14ac:dyDescent="0.4">
      <c r="A229">
        <v>15</v>
      </c>
      <c r="B229" s="4">
        <f>160*A229+100</f>
        <v>2500</v>
      </c>
      <c r="C229">
        <f t="shared" si="101"/>
        <v>250</v>
      </c>
      <c r="D229">
        <f t="shared" si="102"/>
        <v>21</v>
      </c>
      <c r="E229" s="2">
        <v>0</v>
      </c>
      <c r="F229">
        <f t="shared" si="103"/>
        <v>42</v>
      </c>
      <c r="G229">
        <f t="shared" si="104"/>
        <v>0.69500000000000006</v>
      </c>
      <c r="H229" s="3">
        <f t="shared" si="109"/>
        <v>0.05</v>
      </c>
      <c r="I229" s="2">
        <v>2</v>
      </c>
      <c r="J229" s="2">
        <v>0</v>
      </c>
      <c r="K229" s="2">
        <v>1</v>
      </c>
      <c r="L229" s="16">
        <f>2</f>
        <v>2</v>
      </c>
      <c r="M229" s="5">
        <f t="shared" si="105"/>
        <v>440</v>
      </c>
      <c r="N229" s="6">
        <f t="shared" si="106"/>
        <v>30.649500000000003</v>
      </c>
      <c r="O229">
        <f t="shared" si="107"/>
        <v>302.5</v>
      </c>
      <c r="P229" s="7">
        <f t="shared" si="110"/>
        <v>9.8696552961712261</v>
      </c>
      <c r="Q229">
        <f>ROUNDUP(몬스터!$P$7/F229, 0)</f>
        <v>7</v>
      </c>
      <c r="R229" s="6">
        <f t="shared" si="108"/>
        <v>10.071942446043165</v>
      </c>
      <c r="S229" s="7">
        <f>B229/몬스터!$C$7*R229</f>
        <v>193.69120088544548</v>
      </c>
      <c r="T229" s="7">
        <f t="shared" ref="T229" si="112">SUM(S225:S229)</f>
        <v>849.96767774479599</v>
      </c>
      <c r="U229">
        <f>ROUNDDOWN(R229*몬스터!$H$7, 0)*몬스터!$G$7*(1+몬스터!$I$7)</f>
        <v>134.19</v>
      </c>
      <c r="V229" s="2">
        <f t="shared" si="111"/>
        <v>0.44360330578512397</v>
      </c>
    </row>
    <row r="230" spans="1:22" x14ac:dyDescent="0.4">
      <c r="A230">
        <v>16</v>
      </c>
      <c r="B230" s="4">
        <f>160*A230</f>
        <v>2560</v>
      </c>
      <c r="C230">
        <f t="shared" si="101"/>
        <v>260</v>
      </c>
      <c r="D230">
        <f t="shared" si="102"/>
        <v>21</v>
      </c>
      <c r="E230" s="2">
        <v>0</v>
      </c>
      <c r="F230">
        <f t="shared" si="103"/>
        <v>43</v>
      </c>
      <c r="G230">
        <f t="shared" si="104"/>
        <v>0.69700000000000006</v>
      </c>
      <c r="H230" s="3">
        <f t="shared" si="109"/>
        <v>0.05</v>
      </c>
      <c r="I230" s="2">
        <v>2</v>
      </c>
      <c r="J230" s="2">
        <v>0</v>
      </c>
      <c r="K230" s="2">
        <v>1</v>
      </c>
      <c r="L230" s="16">
        <f>2</f>
        <v>2</v>
      </c>
      <c r="M230" s="5">
        <f t="shared" si="105"/>
        <v>450</v>
      </c>
      <c r="N230" s="6">
        <f t="shared" si="106"/>
        <v>31.469550000000005</v>
      </c>
      <c r="O230">
        <f t="shared" si="107"/>
        <v>314.59999999999997</v>
      </c>
      <c r="P230" s="7">
        <f t="shared" si="110"/>
        <v>9.9969653204446818</v>
      </c>
      <c r="Q230">
        <f>ROUNDUP(몬스터!$P$8/F230, 0)</f>
        <v>8</v>
      </c>
      <c r="R230" s="6">
        <f t="shared" si="108"/>
        <v>11.477761836441893</v>
      </c>
      <c r="S230" s="7">
        <f>B230/몬스터!$C$8*R230</f>
        <v>163.23927945161802</v>
      </c>
      <c r="U230">
        <f>ROUNDDOWN(R230*몬스터!$H$8, 0)*몬스터!$G$8*(1+몬스터!$I$8)</f>
        <v>210.21</v>
      </c>
      <c r="V230" s="2">
        <f t="shared" si="111"/>
        <v>0.66818181818181832</v>
      </c>
    </row>
    <row r="231" spans="1:22" x14ac:dyDescent="0.4">
      <c r="A231">
        <v>17</v>
      </c>
      <c r="B231" s="4">
        <f>160*A231</f>
        <v>2720</v>
      </c>
      <c r="C231">
        <f t="shared" si="101"/>
        <v>270</v>
      </c>
      <c r="D231">
        <f t="shared" si="102"/>
        <v>22</v>
      </c>
      <c r="E231" s="2">
        <v>0</v>
      </c>
      <c r="F231">
        <f t="shared" si="103"/>
        <v>45</v>
      </c>
      <c r="G231">
        <f t="shared" si="104"/>
        <v>0.69900000000000007</v>
      </c>
      <c r="H231" s="3">
        <f t="shared" si="109"/>
        <v>0.05</v>
      </c>
      <c r="I231" s="2">
        <v>2</v>
      </c>
      <c r="J231" s="2">
        <v>0</v>
      </c>
      <c r="K231" s="2">
        <v>1</v>
      </c>
      <c r="L231" s="16">
        <f>2</f>
        <v>2</v>
      </c>
      <c r="M231" s="5">
        <f t="shared" si="105"/>
        <v>460</v>
      </c>
      <c r="N231" s="6">
        <f t="shared" si="106"/>
        <v>33.027750000000005</v>
      </c>
      <c r="O231">
        <f t="shared" si="107"/>
        <v>329.4</v>
      </c>
      <c r="P231" s="7">
        <f t="shared" si="110"/>
        <v>9.9734314326588986</v>
      </c>
      <c r="Q231">
        <f>ROUNDUP(몬스터!$P$8/F231, 0)</f>
        <v>8</v>
      </c>
      <c r="R231" s="6">
        <f t="shared" si="108"/>
        <v>11.444921316165951</v>
      </c>
      <c r="S231" s="7">
        <f>B231/몬스터!$C$8*R231</f>
        <v>172.94547766650771</v>
      </c>
      <c r="U231">
        <f>ROUNDDOWN(R231*몬스터!$H$8, 0)*몬스터!$G$8*(1+몬스터!$I$8)</f>
        <v>210.21</v>
      </c>
      <c r="V231" s="2">
        <f t="shared" si="111"/>
        <v>0.63816029143898001</v>
      </c>
    </row>
    <row r="232" spans="1:22" x14ac:dyDescent="0.4">
      <c r="A232">
        <v>18</v>
      </c>
      <c r="B232" s="4">
        <f>160*A232</f>
        <v>2880</v>
      </c>
      <c r="C232">
        <f t="shared" si="101"/>
        <v>280</v>
      </c>
      <c r="D232">
        <f t="shared" si="102"/>
        <v>22</v>
      </c>
      <c r="E232" s="2">
        <v>0</v>
      </c>
      <c r="F232">
        <f t="shared" si="103"/>
        <v>46</v>
      </c>
      <c r="G232">
        <f t="shared" si="104"/>
        <v>0.70100000000000007</v>
      </c>
      <c r="H232" s="3">
        <f t="shared" si="109"/>
        <v>0.05</v>
      </c>
      <c r="I232" s="2">
        <v>2</v>
      </c>
      <c r="J232" s="2">
        <v>0</v>
      </c>
      <c r="K232" s="2">
        <v>1</v>
      </c>
      <c r="L232" s="16">
        <f>2</f>
        <v>2</v>
      </c>
      <c r="M232" s="5">
        <f t="shared" si="105"/>
        <v>470</v>
      </c>
      <c r="N232" s="6">
        <f t="shared" si="106"/>
        <v>33.858300000000007</v>
      </c>
      <c r="O232">
        <f t="shared" si="107"/>
        <v>341.59999999999997</v>
      </c>
      <c r="P232" s="7">
        <f t="shared" si="110"/>
        <v>10.08910665922388</v>
      </c>
      <c r="Q232">
        <f>ROUNDUP(몬스터!$P$8/F232, 0)</f>
        <v>8</v>
      </c>
      <c r="R232" s="6">
        <f t="shared" si="108"/>
        <v>11.412268188302424</v>
      </c>
      <c r="S232" s="7">
        <f>B232/몬스터!$C$8*R232</f>
        <v>182.59629101283878</v>
      </c>
      <c r="U232">
        <f>ROUNDDOWN(R232*몬스터!$H$8, 0)*몬스터!$G$8*(1+몬스터!$I$8)</f>
        <v>210.21</v>
      </c>
      <c r="V232" s="2">
        <f t="shared" si="111"/>
        <v>0.61536885245901651</v>
      </c>
    </row>
    <row r="233" spans="1:22" x14ac:dyDescent="0.4">
      <c r="A233">
        <v>19</v>
      </c>
      <c r="B233" s="4">
        <f>160*A233</f>
        <v>3040</v>
      </c>
      <c r="C233">
        <f t="shared" si="101"/>
        <v>285</v>
      </c>
      <c r="D233">
        <f t="shared" si="102"/>
        <v>22</v>
      </c>
      <c r="E233" s="2">
        <v>0</v>
      </c>
      <c r="F233">
        <f t="shared" si="103"/>
        <v>48</v>
      </c>
      <c r="G233">
        <f t="shared" si="104"/>
        <v>0.70300000000000007</v>
      </c>
      <c r="H233" s="3">
        <f t="shared" si="109"/>
        <v>0.05</v>
      </c>
      <c r="I233" s="2">
        <v>2</v>
      </c>
      <c r="J233" s="2">
        <v>0</v>
      </c>
      <c r="K233" s="2">
        <v>1</v>
      </c>
      <c r="L233" s="16">
        <f>2</f>
        <v>2</v>
      </c>
      <c r="M233" s="5">
        <f t="shared" si="105"/>
        <v>480</v>
      </c>
      <c r="N233" s="6">
        <f t="shared" si="106"/>
        <v>35.431200000000004</v>
      </c>
      <c r="O233">
        <f t="shared" si="107"/>
        <v>347.7</v>
      </c>
      <c r="P233" s="7">
        <f t="shared" si="110"/>
        <v>9.8133848133848112</v>
      </c>
      <c r="Q233">
        <f>ROUNDUP(몬스터!$P$8/F233, 0)</f>
        <v>8</v>
      </c>
      <c r="R233" s="6">
        <f t="shared" si="108"/>
        <v>11.379800853485063</v>
      </c>
      <c r="S233" s="7">
        <f>B233/몬스터!$C$8*R233</f>
        <v>192.19219219219218</v>
      </c>
      <c r="U233">
        <f>ROUNDDOWN(R233*몬스터!$H$8, 0)*몬스터!$G$8*(1+몬스터!$I$8)</f>
        <v>210.21</v>
      </c>
      <c r="V233" s="2">
        <f t="shared" si="111"/>
        <v>0.60457290767903371</v>
      </c>
    </row>
    <row r="234" spans="1:22" x14ac:dyDescent="0.4">
      <c r="A234">
        <v>20</v>
      </c>
      <c r="B234" s="4">
        <f>160*A234+80</f>
        <v>3280</v>
      </c>
      <c r="C234">
        <f t="shared" si="101"/>
        <v>295</v>
      </c>
      <c r="D234">
        <f t="shared" si="102"/>
        <v>23</v>
      </c>
      <c r="E234" s="2">
        <v>0</v>
      </c>
      <c r="F234">
        <f t="shared" si="103"/>
        <v>49</v>
      </c>
      <c r="G234">
        <f t="shared" si="104"/>
        <v>0.70500000000000007</v>
      </c>
      <c r="H234" s="3">
        <f t="shared" si="109"/>
        <v>0.05</v>
      </c>
      <c r="I234" s="2">
        <v>2</v>
      </c>
      <c r="J234" s="2">
        <v>0</v>
      </c>
      <c r="K234" s="2">
        <v>1</v>
      </c>
      <c r="L234" s="16">
        <f>2</f>
        <v>2</v>
      </c>
      <c r="M234" s="5">
        <f t="shared" si="105"/>
        <v>490</v>
      </c>
      <c r="N234" s="6">
        <f t="shared" si="106"/>
        <v>36.272250000000007</v>
      </c>
      <c r="O234">
        <f t="shared" si="107"/>
        <v>362.85</v>
      </c>
      <c r="P234" s="7">
        <f t="shared" si="110"/>
        <v>10.003515083845087</v>
      </c>
      <c r="Q234">
        <f>ROUNDUP(몬스터!$P$8/F234, 0)</f>
        <v>7</v>
      </c>
      <c r="R234" s="6">
        <f t="shared" si="108"/>
        <v>9.9290780141843964</v>
      </c>
      <c r="S234" s="7">
        <f>B234/몬스터!$C$8*R234</f>
        <v>180.929866036249</v>
      </c>
      <c r="T234" s="7">
        <f t="shared" ref="T234" si="113">SUM(S230:S234)</f>
        <v>891.90310635940568</v>
      </c>
      <c r="U234">
        <f>ROUNDDOWN(R234*몬스터!$H$8, 0)*몬스터!$G$8*(1+몬스터!$I$8)</f>
        <v>180.18</v>
      </c>
      <c r="V234" s="2">
        <f t="shared" si="111"/>
        <v>0.49656883009508063</v>
      </c>
    </row>
    <row r="235" spans="1:22" x14ac:dyDescent="0.4">
      <c r="A235">
        <v>21</v>
      </c>
      <c r="B235" s="4">
        <f>160*A235</f>
        <v>3360</v>
      </c>
      <c r="C235">
        <f t="shared" si="101"/>
        <v>305</v>
      </c>
      <c r="D235">
        <f t="shared" si="102"/>
        <v>23</v>
      </c>
      <c r="E235" s="2">
        <v>0</v>
      </c>
      <c r="F235">
        <f t="shared" si="103"/>
        <v>50</v>
      </c>
      <c r="G235">
        <f t="shared" si="104"/>
        <v>0.70700000000000007</v>
      </c>
      <c r="H235" s="3">
        <f t="shared" si="109"/>
        <v>0.05</v>
      </c>
      <c r="I235" s="2">
        <v>2</v>
      </c>
      <c r="J235" s="2">
        <v>0</v>
      </c>
      <c r="K235" s="2">
        <v>1</v>
      </c>
      <c r="L235" s="16">
        <f>2</f>
        <v>2</v>
      </c>
      <c r="M235" s="5">
        <f t="shared" si="105"/>
        <v>500</v>
      </c>
      <c r="N235" s="6">
        <f t="shared" si="106"/>
        <v>37.1175</v>
      </c>
      <c r="O235">
        <f t="shared" si="107"/>
        <v>375.15</v>
      </c>
      <c r="P235" s="7">
        <f t="shared" si="110"/>
        <v>10.107092341887249</v>
      </c>
      <c r="Q235">
        <f>ROUNDUP(몬스터!$P$11/F235, 0)</f>
        <v>9</v>
      </c>
      <c r="R235" s="6">
        <f t="shared" si="108"/>
        <v>12.729844413012728</v>
      </c>
      <c r="S235" s="7">
        <f>B235/몬스터!$C$11*R235</f>
        <v>185.96642272922941</v>
      </c>
      <c r="U235">
        <f>ROUNDDOWN(R235*몬스터!$H$11, 0)*몬스터!$G$11*(1+몬스터!$I$11)</f>
        <v>311.04000000000002</v>
      </c>
      <c r="V235" s="2">
        <f t="shared" si="111"/>
        <v>0.82910835665733718</v>
      </c>
    </row>
    <row r="236" spans="1:22" x14ac:dyDescent="0.4">
      <c r="A236">
        <v>22</v>
      </c>
      <c r="B236" s="4">
        <f>160*A236</f>
        <v>3520</v>
      </c>
      <c r="C236">
        <f t="shared" si="101"/>
        <v>315</v>
      </c>
      <c r="D236">
        <f t="shared" si="102"/>
        <v>23</v>
      </c>
      <c r="E236" s="2">
        <v>0</v>
      </c>
      <c r="F236">
        <f t="shared" si="103"/>
        <v>52</v>
      </c>
      <c r="G236">
        <f t="shared" si="104"/>
        <v>0.70900000000000007</v>
      </c>
      <c r="H236" s="3">
        <f t="shared" si="109"/>
        <v>0.05</v>
      </c>
      <c r="I236" s="2">
        <v>2</v>
      </c>
      <c r="J236" s="2">
        <v>0</v>
      </c>
      <c r="K236" s="2">
        <v>1</v>
      </c>
      <c r="L236" s="16">
        <f>2</f>
        <v>2</v>
      </c>
      <c r="M236" s="5">
        <f t="shared" si="105"/>
        <v>510</v>
      </c>
      <c r="N236" s="6">
        <f t="shared" si="106"/>
        <v>38.711400000000005</v>
      </c>
      <c r="O236">
        <f t="shared" si="107"/>
        <v>387.45</v>
      </c>
      <c r="P236" s="7">
        <f t="shared" si="110"/>
        <v>10.008679613757186</v>
      </c>
      <c r="Q236">
        <f>ROUNDUP(몬스터!$P$11/F236, 0)</f>
        <v>9</v>
      </c>
      <c r="R236" s="6">
        <f t="shared" si="108"/>
        <v>12.693935119887163</v>
      </c>
      <c r="S236" s="7">
        <f>B236/몬스터!$C$11*R236</f>
        <v>194.27239835653398</v>
      </c>
      <c r="U236">
        <f>ROUNDDOWN(R236*몬스터!$H$11, 0)*몬스터!$G$11*(1+몬스터!$I$11)</f>
        <v>311.04000000000002</v>
      </c>
      <c r="V236" s="2">
        <f t="shared" si="111"/>
        <v>0.80278745644599314</v>
      </c>
    </row>
    <row r="237" spans="1:22" x14ac:dyDescent="0.4">
      <c r="A237">
        <v>23</v>
      </c>
      <c r="B237" s="4">
        <f>160*A237</f>
        <v>3680</v>
      </c>
      <c r="C237">
        <f t="shared" si="101"/>
        <v>320</v>
      </c>
      <c r="D237">
        <f t="shared" si="102"/>
        <v>23</v>
      </c>
      <c r="E237" s="2">
        <v>0</v>
      </c>
      <c r="F237">
        <f t="shared" si="103"/>
        <v>53</v>
      </c>
      <c r="G237">
        <f t="shared" si="104"/>
        <v>0.71100000000000008</v>
      </c>
      <c r="H237" s="3">
        <f t="shared" si="109"/>
        <v>0.05</v>
      </c>
      <c r="I237" s="2">
        <v>2</v>
      </c>
      <c r="J237" s="2">
        <v>0</v>
      </c>
      <c r="K237" s="2">
        <v>1</v>
      </c>
      <c r="L237" s="16">
        <f>2</f>
        <v>2</v>
      </c>
      <c r="M237" s="5">
        <f t="shared" si="105"/>
        <v>520</v>
      </c>
      <c r="N237" s="6">
        <f t="shared" si="106"/>
        <v>39.567150000000012</v>
      </c>
      <c r="O237">
        <f t="shared" si="107"/>
        <v>393.6</v>
      </c>
      <c r="P237" s="7">
        <f t="shared" si="110"/>
        <v>9.947645963886707</v>
      </c>
      <c r="Q237">
        <f>ROUNDUP(몬스터!$P$11/F237, 0)</f>
        <v>9</v>
      </c>
      <c r="R237" s="6">
        <f t="shared" si="108"/>
        <v>12.658227848101264</v>
      </c>
      <c r="S237" s="7">
        <f>B237/몬스터!$C$11*R237</f>
        <v>202.53164556962022</v>
      </c>
      <c r="U237">
        <f>ROUNDDOWN(R237*몬스터!$H$11, 0)*몬스터!$G$11*(1+몬스터!$I$11)</f>
        <v>311.04000000000002</v>
      </c>
      <c r="V237" s="2">
        <f t="shared" si="111"/>
        <v>0.79024390243902443</v>
      </c>
    </row>
    <row r="238" spans="1:22" x14ac:dyDescent="0.4">
      <c r="A238">
        <v>24</v>
      </c>
      <c r="B238" s="4">
        <f>160*A238</f>
        <v>3840</v>
      </c>
      <c r="C238">
        <f t="shared" si="101"/>
        <v>330</v>
      </c>
      <c r="D238">
        <f t="shared" si="102"/>
        <v>24</v>
      </c>
      <c r="E238" s="2">
        <v>0</v>
      </c>
      <c r="F238">
        <f t="shared" si="103"/>
        <v>55</v>
      </c>
      <c r="G238">
        <f t="shared" si="104"/>
        <v>0.71300000000000008</v>
      </c>
      <c r="H238" s="3">
        <f t="shared" si="109"/>
        <v>0.05</v>
      </c>
      <c r="I238" s="2">
        <v>2</v>
      </c>
      <c r="J238" s="2">
        <v>0</v>
      </c>
      <c r="K238" s="2">
        <v>1</v>
      </c>
      <c r="L238" s="16">
        <f>2</f>
        <v>2</v>
      </c>
      <c r="M238" s="5">
        <f t="shared" si="105"/>
        <v>530</v>
      </c>
      <c r="N238" s="6">
        <f t="shared" si="106"/>
        <v>41.175750000000008</v>
      </c>
      <c r="O238">
        <f t="shared" si="107"/>
        <v>409.2</v>
      </c>
      <c r="P238" s="7">
        <f t="shared" si="110"/>
        <v>9.9378881987577614</v>
      </c>
      <c r="Q238">
        <f>ROUNDUP(몬스터!$P$11/F238, 0)</f>
        <v>8</v>
      </c>
      <c r="R238" s="6">
        <f t="shared" si="108"/>
        <v>11.220196353436183</v>
      </c>
      <c r="S238" s="7">
        <f>B238/몬스터!$C$11*R238</f>
        <v>187.328495639978</v>
      </c>
      <c r="U238">
        <f>ROUNDDOWN(R238*몬스터!$H$11, 0)*몬스터!$G$11*(1+몬스터!$I$11)</f>
        <v>272.16000000000003</v>
      </c>
      <c r="V238" s="2">
        <f t="shared" si="111"/>
        <v>0.66510263929618774</v>
      </c>
    </row>
    <row r="239" spans="1:22" x14ac:dyDescent="0.4">
      <c r="A239">
        <v>25</v>
      </c>
      <c r="B239" s="4">
        <f>160*A239</f>
        <v>4000</v>
      </c>
      <c r="C239">
        <f t="shared" si="101"/>
        <v>340</v>
      </c>
      <c r="D239">
        <f t="shared" si="102"/>
        <v>24</v>
      </c>
      <c r="E239" s="2">
        <v>0</v>
      </c>
      <c r="F239">
        <f t="shared" si="103"/>
        <v>56</v>
      </c>
      <c r="G239">
        <f t="shared" si="104"/>
        <v>0.71500000000000008</v>
      </c>
      <c r="H239" s="3">
        <f t="shared" si="109"/>
        <v>0.05</v>
      </c>
      <c r="I239" s="2">
        <v>2</v>
      </c>
      <c r="J239" s="2">
        <v>0</v>
      </c>
      <c r="K239" s="2">
        <v>1</v>
      </c>
      <c r="L239" s="16">
        <f>2</f>
        <v>2</v>
      </c>
      <c r="M239" s="5">
        <f t="shared" si="105"/>
        <v>540</v>
      </c>
      <c r="N239" s="6">
        <f t="shared" si="106"/>
        <v>42.042000000000009</v>
      </c>
      <c r="O239">
        <f t="shared" si="107"/>
        <v>421.6</v>
      </c>
      <c r="P239" s="7">
        <f t="shared" si="110"/>
        <v>10.028067170924313</v>
      </c>
      <c r="Q239">
        <f>ROUNDUP(몬스터!$P$11/F239, 0)</f>
        <v>8</v>
      </c>
      <c r="R239" s="6">
        <f t="shared" si="108"/>
        <v>11.188811188811188</v>
      </c>
      <c r="S239" s="7">
        <f>B239/몬스터!$C$11*R239</f>
        <v>194.58802067497717</v>
      </c>
      <c r="T239" s="7">
        <f t="shared" ref="T239" si="114">SUM(S235:S239)</f>
        <v>964.68698297033882</v>
      </c>
      <c r="U239">
        <f>ROUNDDOWN(R239*몬스터!$H$11, 0)*몬스터!$G$11*(1+몬스터!$I$11)</f>
        <v>272.16000000000003</v>
      </c>
      <c r="V239" s="2">
        <f t="shared" si="111"/>
        <v>0.64554079696394684</v>
      </c>
    </row>
    <row r="240" spans="1:22" x14ac:dyDescent="0.4">
      <c r="A240">
        <v>26</v>
      </c>
      <c r="B240" s="4">
        <f>170*A240</f>
        <v>4420</v>
      </c>
      <c r="C240">
        <f t="shared" si="101"/>
        <v>350</v>
      </c>
      <c r="D240">
        <f t="shared" si="102"/>
        <v>24</v>
      </c>
      <c r="E240" s="2">
        <v>0</v>
      </c>
      <c r="F240">
        <f t="shared" si="103"/>
        <v>58</v>
      </c>
      <c r="G240">
        <f t="shared" si="104"/>
        <v>0.71700000000000008</v>
      </c>
      <c r="H240" s="3">
        <f t="shared" si="109"/>
        <v>0.05</v>
      </c>
      <c r="I240" s="2">
        <v>2</v>
      </c>
      <c r="J240" s="2">
        <v>0</v>
      </c>
      <c r="K240" s="2">
        <v>1</v>
      </c>
      <c r="L240" s="16">
        <f>2</f>
        <v>2</v>
      </c>
      <c r="M240" s="5">
        <f t="shared" si="105"/>
        <v>550</v>
      </c>
      <c r="N240" s="6">
        <f t="shared" si="106"/>
        <v>43.665300000000009</v>
      </c>
      <c r="O240">
        <f t="shared" si="107"/>
        <v>434</v>
      </c>
      <c r="P240" s="7">
        <f t="shared" si="110"/>
        <v>9.9392423732345794</v>
      </c>
      <c r="Q240">
        <f>ROUNDUP(몬스터!$P$12/F240, 0)</f>
        <v>9</v>
      </c>
      <c r="R240" s="6">
        <f t="shared" si="108"/>
        <v>12.552301255230125</v>
      </c>
      <c r="S240" s="7">
        <f>B240/몬스터!$C$12*R240</f>
        <v>198.14704124327557</v>
      </c>
      <c r="U240">
        <f>ROUNDDOWN(R240*몬스터!$H$12, 0)*몬스터!$G$12*(1+몬스터!$I$12)</f>
        <v>374.09999999999997</v>
      </c>
      <c r="V240" s="2">
        <f t="shared" si="111"/>
        <v>0.86198156682027638</v>
      </c>
    </row>
    <row r="241" spans="1:22" x14ac:dyDescent="0.4">
      <c r="A241">
        <v>27</v>
      </c>
      <c r="B241" s="4">
        <f>170*A241</f>
        <v>4590</v>
      </c>
      <c r="C241">
        <f t="shared" si="101"/>
        <v>360</v>
      </c>
      <c r="D241">
        <f t="shared" si="102"/>
        <v>25</v>
      </c>
      <c r="E241" s="2">
        <v>0</v>
      </c>
      <c r="F241">
        <f t="shared" si="103"/>
        <v>59</v>
      </c>
      <c r="G241">
        <f t="shared" si="104"/>
        <v>0.71900000000000008</v>
      </c>
      <c r="H241" s="3">
        <f t="shared" si="109"/>
        <v>0.05</v>
      </c>
      <c r="I241" s="2">
        <v>2</v>
      </c>
      <c r="J241" s="2">
        <v>0</v>
      </c>
      <c r="K241" s="2">
        <v>1</v>
      </c>
      <c r="L241" s="16">
        <f>2</f>
        <v>2</v>
      </c>
      <c r="M241" s="5">
        <f t="shared" si="105"/>
        <v>560</v>
      </c>
      <c r="N241" s="6">
        <f t="shared" si="106"/>
        <v>44.54205000000001</v>
      </c>
      <c r="O241">
        <f t="shared" si="107"/>
        <v>450</v>
      </c>
      <c r="P241" s="7">
        <f t="shared" si="110"/>
        <v>10.102812959888462</v>
      </c>
      <c r="Q241">
        <f>ROUNDUP(몬스터!$P$12/F241, 0)</f>
        <v>9</v>
      </c>
      <c r="R241" s="6">
        <f t="shared" si="108"/>
        <v>12.517385257301807</v>
      </c>
      <c r="S241" s="7">
        <f>B241/몬스터!$C$12*R241</f>
        <v>205.19570832505462</v>
      </c>
      <c r="U241">
        <f>ROUNDDOWN(R241*몬스터!$H$12, 0)*몬스터!$G$12*(1+몬스터!$I$12)</f>
        <v>374.09999999999997</v>
      </c>
      <c r="V241" s="2">
        <f t="shared" si="111"/>
        <v>0.83133333333333326</v>
      </c>
    </row>
    <row r="242" spans="1:22" x14ac:dyDescent="0.4">
      <c r="A242">
        <v>28</v>
      </c>
      <c r="B242" s="4">
        <f>170*A242</f>
        <v>4760</v>
      </c>
      <c r="C242">
        <f t="shared" si="101"/>
        <v>365</v>
      </c>
      <c r="D242">
        <f t="shared" si="102"/>
        <v>25</v>
      </c>
      <c r="E242" s="2">
        <v>0</v>
      </c>
      <c r="F242">
        <f t="shared" si="103"/>
        <v>60</v>
      </c>
      <c r="G242">
        <f t="shared" si="104"/>
        <v>0.72100000000000009</v>
      </c>
      <c r="H242" s="3">
        <f t="shared" si="109"/>
        <v>0.05</v>
      </c>
      <c r="I242" s="2">
        <v>2</v>
      </c>
      <c r="J242" s="2">
        <v>0</v>
      </c>
      <c r="K242" s="2">
        <v>1</v>
      </c>
      <c r="L242" s="16">
        <f>2</f>
        <v>2</v>
      </c>
      <c r="M242" s="5">
        <f t="shared" si="105"/>
        <v>570</v>
      </c>
      <c r="N242" s="6">
        <f t="shared" si="106"/>
        <v>45.423000000000009</v>
      </c>
      <c r="O242">
        <f t="shared" si="107"/>
        <v>456.25</v>
      </c>
      <c r="P242" s="7">
        <f t="shared" si="110"/>
        <v>10.044470862778766</v>
      </c>
      <c r="Q242">
        <f>ROUNDUP(몬스터!$P$12/F242, 0)</f>
        <v>9</v>
      </c>
      <c r="R242" s="6">
        <f t="shared" si="108"/>
        <v>12.482662968099859</v>
      </c>
      <c r="S242" s="7">
        <f>B242/몬스터!$C$12*R242</f>
        <v>212.20527045769762</v>
      </c>
      <c r="U242">
        <f>ROUNDDOWN(R242*몬스터!$H$12, 0)*몬스터!$G$12*(1+몬스터!$I$12)</f>
        <v>374.09999999999997</v>
      </c>
      <c r="V242" s="2">
        <f t="shared" si="111"/>
        <v>0.81994520547945193</v>
      </c>
    </row>
    <row r="243" spans="1:22" x14ac:dyDescent="0.4">
      <c r="A243">
        <v>29</v>
      </c>
      <c r="B243" s="4">
        <f>170*A243</f>
        <v>4930</v>
      </c>
      <c r="C243">
        <f t="shared" si="101"/>
        <v>375</v>
      </c>
      <c r="D243">
        <f t="shared" si="102"/>
        <v>25</v>
      </c>
      <c r="E243" s="2">
        <v>0</v>
      </c>
      <c r="F243">
        <f t="shared" si="103"/>
        <v>62</v>
      </c>
      <c r="G243">
        <f t="shared" si="104"/>
        <v>0.72300000000000009</v>
      </c>
      <c r="H243" s="3">
        <f t="shared" si="109"/>
        <v>0.05</v>
      </c>
      <c r="I243" s="2">
        <v>2</v>
      </c>
      <c r="J243" s="2">
        <v>0</v>
      </c>
      <c r="K243" s="2">
        <v>1</v>
      </c>
      <c r="L243" s="16">
        <f>2</f>
        <v>2</v>
      </c>
      <c r="M243" s="5">
        <f t="shared" si="105"/>
        <v>580</v>
      </c>
      <c r="N243" s="6">
        <f t="shared" si="106"/>
        <v>47.06730000000001</v>
      </c>
      <c r="O243">
        <f t="shared" si="107"/>
        <v>468.75</v>
      </c>
      <c r="P243" s="7">
        <f t="shared" si="110"/>
        <v>9.9591436092573797</v>
      </c>
      <c r="Q243">
        <f>ROUNDUP(몬스터!$P$12/F243, 0)</f>
        <v>9</v>
      </c>
      <c r="R243" s="6">
        <f t="shared" si="108"/>
        <v>12.448132780082986</v>
      </c>
      <c r="S243" s="7">
        <f>B243/몬스터!$C$12*R243</f>
        <v>219.176052163604</v>
      </c>
      <c r="U243">
        <f>ROUNDDOWN(R243*몬스터!$H$12, 0)*몬스터!$G$12*(1+몬스터!$I$12)</f>
        <v>374.09999999999997</v>
      </c>
      <c r="V243" s="2">
        <f t="shared" si="111"/>
        <v>0.7980799999999999</v>
      </c>
    </row>
    <row r="244" spans="1:22" x14ac:dyDescent="0.4">
      <c r="A244">
        <v>30</v>
      </c>
      <c r="B244" s="4">
        <f>170*A244</f>
        <v>5100</v>
      </c>
      <c r="C244">
        <f t="shared" si="101"/>
        <v>385</v>
      </c>
      <c r="D244">
        <f t="shared" si="102"/>
        <v>26</v>
      </c>
      <c r="E244" s="2">
        <v>0</v>
      </c>
      <c r="F244">
        <f t="shared" si="103"/>
        <v>63</v>
      </c>
      <c r="G244">
        <f t="shared" si="104"/>
        <v>0.72500000000000009</v>
      </c>
      <c r="H244" s="3">
        <f t="shared" si="109"/>
        <v>0.05</v>
      </c>
      <c r="I244" s="2">
        <v>2</v>
      </c>
      <c r="J244" s="2">
        <v>0</v>
      </c>
      <c r="K244" s="2">
        <v>1</v>
      </c>
      <c r="L244" s="16">
        <f>2</f>
        <v>2</v>
      </c>
      <c r="M244" s="5">
        <f t="shared" si="105"/>
        <v>590</v>
      </c>
      <c r="N244" s="6">
        <f t="shared" si="106"/>
        <v>47.958750000000009</v>
      </c>
      <c r="O244">
        <f t="shared" si="107"/>
        <v>485.1</v>
      </c>
      <c r="P244" s="7">
        <f t="shared" si="110"/>
        <v>10.11494252873563</v>
      </c>
      <c r="Q244">
        <f>ROUNDUP(몬스터!$P$12/F244, 0)</f>
        <v>9</v>
      </c>
      <c r="R244" s="6">
        <f t="shared" si="108"/>
        <v>12.413793103448274</v>
      </c>
      <c r="S244" s="7">
        <f>B244/몬스터!$C$12*R244</f>
        <v>226.10837438423644</v>
      </c>
      <c r="T244" s="7">
        <f t="shared" ref="T244" si="115">SUM(S240:S244)</f>
        <v>1060.8324465738683</v>
      </c>
      <c r="U244">
        <f>ROUNDDOWN(R244*몬스터!$H$12, 0)*몬스터!$G$12*(1+몬스터!$I$12)</f>
        <v>374.09999999999997</v>
      </c>
      <c r="V244" s="2">
        <f t="shared" si="111"/>
        <v>0.77118119975262822</v>
      </c>
    </row>
    <row r="245" spans="1:22" x14ac:dyDescent="0.4">
      <c r="A245">
        <v>31</v>
      </c>
      <c r="B245" s="4">
        <f>160*A245</f>
        <v>4960</v>
      </c>
      <c r="C245">
        <f t="shared" si="101"/>
        <v>395</v>
      </c>
      <c r="D245">
        <f t="shared" si="102"/>
        <v>26</v>
      </c>
      <c r="E245" s="2">
        <v>0</v>
      </c>
      <c r="F245">
        <f t="shared" si="103"/>
        <v>65</v>
      </c>
      <c r="G245">
        <f t="shared" si="104"/>
        <v>0.72700000000000009</v>
      </c>
      <c r="H245" s="3">
        <f t="shared" si="109"/>
        <v>0.05</v>
      </c>
      <c r="I245" s="2">
        <v>2</v>
      </c>
      <c r="J245" s="2">
        <v>0</v>
      </c>
      <c r="K245" s="2">
        <v>1</v>
      </c>
      <c r="L245" s="16">
        <f>2</f>
        <v>2</v>
      </c>
      <c r="M245" s="5">
        <f t="shared" si="105"/>
        <v>600</v>
      </c>
      <c r="N245" s="6">
        <f t="shared" si="106"/>
        <v>49.617750000000008</v>
      </c>
      <c r="O245">
        <f t="shared" si="107"/>
        <v>497.7</v>
      </c>
      <c r="P245" s="7">
        <f t="shared" si="110"/>
        <v>10.030684583641941</v>
      </c>
      <c r="Q245">
        <f>ROUNDUP(몬스터!$P$13/F245, 0)</f>
        <v>10</v>
      </c>
      <c r="R245" s="6">
        <f t="shared" si="108"/>
        <v>13.755158184319118</v>
      </c>
      <c r="S245" s="7">
        <f>B245/몬스터!$C$13*R245</f>
        <v>206.74419574006919</v>
      </c>
      <c r="U245">
        <f>ROUNDDOWN(R245*몬스터!$H$13, 0)*몬스터!$G$13*(1+몬스터!$I$13)</f>
        <v>502.60499999999996</v>
      </c>
      <c r="V245" s="2">
        <f t="shared" si="111"/>
        <v>1.0098553345388788</v>
      </c>
    </row>
    <row r="246" spans="1:22" x14ac:dyDescent="0.4">
      <c r="A246">
        <v>32</v>
      </c>
      <c r="B246" s="4">
        <f>160*A246</f>
        <v>5120</v>
      </c>
      <c r="C246">
        <f t="shared" si="101"/>
        <v>400</v>
      </c>
      <c r="D246">
        <f t="shared" si="102"/>
        <v>26</v>
      </c>
      <c r="E246" s="2">
        <v>0</v>
      </c>
      <c r="F246">
        <f t="shared" si="103"/>
        <v>66</v>
      </c>
      <c r="G246">
        <f t="shared" si="104"/>
        <v>0.72900000000000009</v>
      </c>
      <c r="H246" s="3">
        <f t="shared" si="109"/>
        <v>0.05</v>
      </c>
      <c r="I246" s="2">
        <v>2</v>
      </c>
      <c r="J246" s="2">
        <v>0</v>
      </c>
      <c r="K246" s="2">
        <v>1</v>
      </c>
      <c r="L246" s="16">
        <f>2</f>
        <v>2</v>
      </c>
      <c r="M246" s="5">
        <f t="shared" si="105"/>
        <v>610</v>
      </c>
      <c r="N246" s="6">
        <f t="shared" si="106"/>
        <v>50.519700000000007</v>
      </c>
      <c r="O246">
        <f t="shared" si="107"/>
        <v>504</v>
      </c>
      <c r="P246" s="7">
        <f t="shared" si="110"/>
        <v>9.9763062726025673</v>
      </c>
      <c r="Q246">
        <f>ROUNDUP(몬스터!$P$13/F246, 0)</f>
        <v>10</v>
      </c>
      <c r="R246" s="6">
        <f t="shared" si="108"/>
        <v>13.717421124828531</v>
      </c>
      <c r="S246" s="7">
        <f>B246/몬스터!$C$13*R246</f>
        <v>212.82786714885481</v>
      </c>
      <c r="U246">
        <f>ROUNDDOWN(R246*몬스터!$H$13, 0)*몬스터!$G$13*(1+몬스터!$I$13)</f>
        <v>502.60499999999996</v>
      </c>
      <c r="V246" s="2">
        <f t="shared" si="111"/>
        <v>0.99723214285714279</v>
      </c>
    </row>
    <row r="247" spans="1:22" x14ac:dyDescent="0.4">
      <c r="A247">
        <v>33</v>
      </c>
      <c r="B247" s="4">
        <f>160*A247</f>
        <v>5280</v>
      </c>
      <c r="C247">
        <f t="shared" ref="C247:C278" si="116">MROUND((150+A247*11)*0.8,5)</f>
        <v>410</v>
      </c>
      <c r="D247">
        <f t="shared" ref="D247:D278" si="117">ROUNDDOWN((17+A247*0.3), 0)</f>
        <v>26</v>
      </c>
      <c r="E247" s="2">
        <v>0</v>
      </c>
      <c r="F247">
        <f t="shared" ref="F247:F278" si="118">ROUND((28+A247*2)*2/3*1.08, 0)</f>
        <v>68</v>
      </c>
      <c r="G247">
        <f t="shared" ref="G247:G278" si="119">0.665+0.002*A247</f>
        <v>0.73100000000000009</v>
      </c>
      <c r="H247" s="3">
        <f t="shared" si="109"/>
        <v>0.05</v>
      </c>
      <c r="I247" s="2">
        <v>2</v>
      </c>
      <c r="J247" s="2">
        <v>0</v>
      </c>
      <c r="K247" s="2">
        <v>1</v>
      </c>
      <c r="L247" s="16">
        <f>2</f>
        <v>2</v>
      </c>
      <c r="M247" s="5">
        <f t="shared" ref="M247:M278" si="120">290+10*A247</f>
        <v>620</v>
      </c>
      <c r="N247" s="6">
        <f t="shared" ref="N247:N278" si="121">F247*G247*(1+H247)</f>
        <v>52.193400000000011</v>
      </c>
      <c r="O247">
        <f t="shared" ref="O247:O278" si="122">C247*(1+D247/100)*(1+E247)</f>
        <v>516.6</v>
      </c>
      <c r="P247" s="7">
        <f t="shared" si="110"/>
        <v>9.8978031705158109</v>
      </c>
      <c r="Q247">
        <f>ROUNDUP(몬스터!$P$13/F247, 0)</f>
        <v>10</v>
      </c>
      <c r="R247" s="6">
        <f t="shared" ref="R247:R278" si="123">Q247/G247</f>
        <v>13.679890560875512</v>
      </c>
      <c r="S247" s="7">
        <f>B247/몬스터!$C$13*R247</f>
        <v>218.87824897400819</v>
      </c>
      <c r="U247">
        <f>ROUNDDOWN(R247*몬스터!$H$13, 0)*몬스터!$G$13*(1+몬스터!$I$13)</f>
        <v>502.60499999999996</v>
      </c>
      <c r="V247" s="2">
        <f t="shared" si="111"/>
        <v>0.97290940766550515</v>
      </c>
    </row>
    <row r="248" spans="1:22" x14ac:dyDescent="0.4">
      <c r="A248">
        <v>34</v>
      </c>
      <c r="B248" s="4">
        <f>160*A248</f>
        <v>5440</v>
      </c>
      <c r="C248">
        <f t="shared" si="116"/>
        <v>420</v>
      </c>
      <c r="D248">
        <f t="shared" si="117"/>
        <v>27</v>
      </c>
      <c r="E248" s="2">
        <v>0</v>
      </c>
      <c r="F248">
        <f t="shared" si="118"/>
        <v>69</v>
      </c>
      <c r="G248">
        <f t="shared" si="119"/>
        <v>0.7330000000000001</v>
      </c>
      <c r="H248" s="3">
        <f t="shared" si="109"/>
        <v>0.05</v>
      </c>
      <c r="I248" s="2">
        <v>2</v>
      </c>
      <c r="J248" s="2">
        <v>0</v>
      </c>
      <c r="K248" s="2">
        <v>1</v>
      </c>
      <c r="L248" s="16">
        <f>2</f>
        <v>2</v>
      </c>
      <c r="M248" s="5">
        <f t="shared" si="120"/>
        <v>630</v>
      </c>
      <c r="N248" s="6">
        <f t="shared" si="121"/>
        <v>53.105850000000011</v>
      </c>
      <c r="O248">
        <f t="shared" si="122"/>
        <v>533.4</v>
      </c>
      <c r="P248" s="7">
        <f t="shared" si="110"/>
        <v>10.044091187694008</v>
      </c>
      <c r="Q248">
        <f>ROUNDUP(몬스터!$P$13/F248, 0)</f>
        <v>9</v>
      </c>
      <c r="R248" s="6">
        <f t="shared" si="123"/>
        <v>12.278308321964527</v>
      </c>
      <c r="S248" s="7">
        <f>B248/몬스터!$C$13*R248</f>
        <v>202.40605233783947</v>
      </c>
      <c r="U248">
        <f>ROUNDDOWN(R248*몬스터!$H$13, 0)*몬스터!$G$13*(1+몬스터!$I$13)</f>
        <v>446.76</v>
      </c>
      <c r="V248" s="2">
        <f t="shared" si="111"/>
        <v>0.837570303712036</v>
      </c>
    </row>
    <row r="249" spans="1:22" x14ac:dyDescent="0.4">
      <c r="A249">
        <v>35</v>
      </c>
      <c r="B249" s="4">
        <f>160*A249</f>
        <v>5600</v>
      </c>
      <c r="C249">
        <f t="shared" si="116"/>
        <v>430</v>
      </c>
      <c r="D249">
        <f t="shared" si="117"/>
        <v>27</v>
      </c>
      <c r="E249" s="2">
        <v>0</v>
      </c>
      <c r="F249">
        <f t="shared" si="118"/>
        <v>71</v>
      </c>
      <c r="G249">
        <f t="shared" si="119"/>
        <v>0.7350000000000001</v>
      </c>
      <c r="H249" s="3">
        <f t="shared" si="109"/>
        <v>0.05</v>
      </c>
      <c r="I249" s="2">
        <v>2</v>
      </c>
      <c r="J249" s="2">
        <v>0</v>
      </c>
      <c r="K249" s="2">
        <v>1</v>
      </c>
      <c r="L249" s="16">
        <f>2</f>
        <v>2</v>
      </c>
      <c r="M249" s="5">
        <f t="shared" si="120"/>
        <v>640</v>
      </c>
      <c r="N249" s="6">
        <f t="shared" si="121"/>
        <v>54.794250000000012</v>
      </c>
      <c r="O249">
        <f t="shared" si="122"/>
        <v>546.1</v>
      </c>
      <c r="P249" s="7">
        <f t="shared" si="110"/>
        <v>9.9663742089726544</v>
      </c>
      <c r="Q249">
        <f>ROUNDUP(몬스터!$P$13/F249, 0)</f>
        <v>9</v>
      </c>
      <c r="R249" s="6">
        <f t="shared" si="123"/>
        <v>12.244897959183671</v>
      </c>
      <c r="S249" s="7">
        <f>B249/몬스터!$C$13*R249</f>
        <v>207.79220779220773</v>
      </c>
      <c r="T249" s="7">
        <f t="shared" ref="T249" si="124">SUM(S245:S249)</f>
        <v>1048.6485719929794</v>
      </c>
      <c r="U249">
        <f>ROUNDDOWN(R249*몬스터!$H$13, 0)*몬스터!$G$13*(1+몬스터!$I$13)</f>
        <v>446.76</v>
      </c>
      <c r="V249" s="2">
        <f t="shared" si="111"/>
        <v>0.81809192455594204</v>
      </c>
    </row>
    <row r="250" spans="1:22" x14ac:dyDescent="0.4">
      <c r="A250">
        <v>36</v>
      </c>
      <c r="B250" s="4">
        <f>170*A250</f>
        <v>6120</v>
      </c>
      <c r="C250">
        <f t="shared" si="116"/>
        <v>435</v>
      </c>
      <c r="D250">
        <f t="shared" si="117"/>
        <v>27</v>
      </c>
      <c r="E250" s="2">
        <v>0</v>
      </c>
      <c r="F250">
        <f t="shared" si="118"/>
        <v>72</v>
      </c>
      <c r="G250">
        <f t="shared" si="119"/>
        <v>0.7370000000000001</v>
      </c>
      <c r="H250" s="3">
        <f t="shared" si="109"/>
        <v>0.05</v>
      </c>
      <c r="I250" s="2">
        <v>2</v>
      </c>
      <c r="J250" s="2">
        <v>0</v>
      </c>
      <c r="K250" s="2">
        <v>1</v>
      </c>
      <c r="L250" s="16">
        <f>2</f>
        <v>2</v>
      </c>
      <c r="M250" s="5">
        <f t="shared" si="120"/>
        <v>650</v>
      </c>
      <c r="N250" s="6">
        <f t="shared" si="121"/>
        <v>55.717200000000012</v>
      </c>
      <c r="O250">
        <f t="shared" si="122"/>
        <v>552.45000000000005</v>
      </c>
      <c r="P250" s="7">
        <f t="shared" si="110"/>
        <v>9.9152505868923768</v>
      </c>
      <c r="Q250">
        <f>ROUNDUP(몬스터!$P$14/F250, 0)</f>
        <v>10</v>
      </c>
      <c r="R250" s="6">
        <f t="shared" si="123"/>
        <v>13.568521031207597</v>
      </c>
      <c r="S250" s="7">
        <f>B250/몬스터!$C$14*R250</f>
        <v>218.52460187102761</v>
      </c>
      <c r="U250">
        <f>ROUNDDOWN(R250*몬스터!$H$14, 0)*몬스터!$G$14*(1+몬스터!$I$14)</f>
        <v>575.505</v>
      </c>
      <c r="V250" s="2">
        <f t="shared" si="111"/>
        <v>1.0417322834645668</v>
      </c>
    </row>
    <row r="251" spans="1:22" x14ac:dyDescent="0.4">
      <c r="A251">
        <v>37</v>
      </c>
      <c r="B251" s="4">
        <f>170*A251</f>
        <v>6290</v>
      </c>
      <c r="C251">
        <f t="shared" si="116"/>
        <v>445</v>
      </c>
      <c r="D251">
        <f t="shared" si="117"/>
        <v>28</v>
      </c>
      <c r="E251" s="2">
        <v>0</v>
      </c>
      <c r="F251">
        <f t="shared" si="118"/>
        <v>73</v>
      </c>
      <c r="G251">
        <f t="shared" si="119"/>
        <v>0.73899999999999999</v>
      </c>
      <c r="H251" s="3">
        <f t="shared" si="109"/>
        <v>0.05</v>
      </c>
      <c r="I251" s="2">
        <v>2</v>
      </c>
      <c r="J251" s="2">
        <v>0</v>
      </c>
      <c r="K251" s="2">
        <v>1</v>
      </c>
      <c r="L251" s="16">
        <f>2</f>
        <v>2</v>
      </c>
      <c r="M251" s="5">
        <f t="shared" si="120"/>
        <v>660</v>
      </c>
      <c r="N251" s="6">
        <f t="shared" si="121"/>
        <v>56.644350000000003</v>
      </c>
      <c r="O251">
        <f t="shared" si="122"/>
        <v>569.6</v>
      </c>
      <c r="P251" s="7">
        <f t="shared" si="110"/>
        <v>10.055724886948125</v>
      </c>
      <c r="Q251">
        <f>ROUNDUP(몬스터!$P$14/F251, 0)</f>
        <v>10</v>
      </c>
      <c r="R251" s="6">
        <f t="shared" si="123"/>
        <v>13.531799729364005</v>
      </c>
      <c r="S251" s="7">
        <f>B251/몬스터!$C$14*R251</f>
        <v>223.9868955202621</v>
      </c>
      <c r="U251">
        <f>ROUNDDOWN(R251*몬스터!$H$14, 0)*몬스터!$G$14*(1+몬스터!$I$14)</f>
        <v>575.505</v>
      </c>
      <c r="V251" s="2">
        <f t="shared" si="111"/>
        <v>1.0103669241573032</v>
      </c>
    </row>
    <row r="252" spans="1:22" x14ac:dyDescent="0.4">
      <c r="A252">
        <v>38</v>
      </c>
      <c r="B252" s="4">
        <f>170*A252</f>
        <v>6460</v>
      </c>
      <c r="C252">
        <f t="shared" si="116"/>
        <v>455</v>
      </c>
      <c r="D252">
        <f t="shared" si="117"/>
        <v>28</v>
      </c>
      <c r="E252" s="2">
        <v>0</v>
      </c>
      <c r="F252">
        <f t="shared" si="118"/>
        <v>75</v>
      </c>
      <c r="G252">
        <f t="shared" si="119"/>
        <v>0.74099999999999999</v>
      </c>
      <c r="H252" s="3">
        <f t="shared" si="109"/>
        <v>0.05</v>
      </c>
      <c r="I252" s="2">
        <v>2</v>
      </c>
      <c r="J252" s="2">
        <v>0</v>
      </c>
      <c r="K252" s="2">
        <v>1</v>
      </c>
      <c r="L252" s="16">
        <f>2</f>
        <v>2</v>
      </c>
      <c r="M252" s="5">
        <f t="shared" si="120"/>
        <v>670</v>
      </c>
      <c r="N252" s="6">
        <f t="shared" si="121"/>
        <v>58.353750000000005</v>
      </c>
      <c r="O252">
        <f t="shared" si="122"/>
        <v>582.4</v>
      </c>
      <c r="P252" s="7">
        <f t="shared" si="110"/>
        <v>9.9805068226120852</v>
      </c>
      <c r="Q252">
        <f>ROUNDUP(몬스터!$P$14/F252, 0)</f>
        <v>9</v>
      </c>
      <c r="R252" s="6">
        <f t="shared" si="123"/>
        <v>12.145748987854251</v>
      </c>
      <c r="S252" s="7">
        <f>B252/몬스터!$C$14*R252</f>
        <v>206.47773279352228</v>
      </c>
      <c r="U252">
        <f>ROUNDDOWN(R252*몬스터!$H$14, 0)*몬스터!$G$14*(1+몬스터!$I$14)</f>
        <v>511.56</v>
      </c>
      <c r="V252" s="2">
        <f t="shared" si="111"/>
        <v>0.8783653846153846</v>
      </c>
    </row>
    <row r="253" spans="1:22" x14ac:dyDescent="0.4">
      <c r="A253">
        <v>39</v>
      </c>
      <c r="B253" s="4">
        <f>170*A253</f>
        <v>6630</v>
      </c>
      <c r="C253">
        <f t="shared" si="116"/>
        <v>465</v>
      </c>
      <c r="D253">
        <f t="shared" si="117"/>
        <v>28</v>
      </c>
      <c r="E253" s="2">
        <v>0</v>
      </c>
      <c r="F253">
        <f t="shared" si="118"/>
        <v>76</v>
      </c>
      <c r="G253">
        <f t="shared" si="119"/>
        <v>0.74299999999999999</v>
      </c>
      <c r="H253" s="3">
        <f t="shared" si="109"/>
        <v>0.05</v>
      </c>
      <c r="I253" s="2">
        <v>2</v>
      </c>
      <c r="J253" s="2">
        <v>0</v>
      </c>
      <c r="K253" s="2">
        <v>1</v>
      </c>
      <c r="L253" s="16">
        <f>2</f>
        <v>2</v>
      </c>
      <c r="M253" s="5">
        <f t="shared" si="120"/>
        <v>680</v>
      </c>
      <c r="N253" s="6">
        <f t="shared" si="121"/>
        <v>59.291399999999996</v>
      </c>
      <c r="O253">
        <f t="shared" si="122"/>
        <v>595.20000000000005</v>
      </c>
      <c r="P253" s="7">
        <f t="shared" si="110"/>
        <v>10.038555338548257</v>
      </c>
      <c r="Q253">
        <f>ROUNDUP(몬스터!$P$14/F253, 0)</f>
        <v>9</v>
      </c>
      <c r="R253" s="6">
        <f t="shared" si="123"/>
        <v>12.113055181695827</v>
      </c>
      <c r="S253" s="7">
        <f>B253/몬스터!$C$14*R253</f>
        <v>211.34093645958771</v>
      </c>
      <c r="U253">
        <f>ROUNDDOWN(R253*몬스터!$H$14, 0)*몬스터!$G$14*(1+몬스터!$I$14)</f>
        <v>511.56</v>
      </c>
      <c r="V253" s="2">
        <f t="shared" si="111"/>
        <v>0.85947580645161281</v>
      </c>
    </row>
    <row r="254" spans="1:22" x14ac:dyDescent="0.4">
      <c r="A254">
        <v>40</v>
      </c>
      <c r="B254" s="4">
        <f>170*A254</f>
        <v>6800</v>
      </c>
      <c r="C254">
        <f t="shared" si="116"/>
        <v>470</v>
      </c>
      <c r="D254">
        <f t="shared" si="117"/>
        <v>29</v>
      </c>
      <c r="E254" s="2">
        <v>0</v>
      </c>
      <c r="F254">
        <f t="shared" si="118"/>
        <v>78</v>
      </c>
      <c r="G254">
        <f t="shared" si="119"/>
        <v>0.745</v>
      </c>
      <c r="H254" s="3">
        <f t="shared" si="109"/>
        <v>0.05</v>
      </c>
      <c r="I254" s="2">
        <v>2</v>
      </c>
      <c r="J254" s="2">
        <v>0</v>
      </c>
      <c r="K254" s="2">
        <v>1</v>
      </c>
      <c r="L254" s="16">
        <f>2</f>
        <v>2</v>
      </c>
      <c r="M254" s="5">
        <f t="shared" si="120"/>
        <v>690</v>
      </c>
      <c r="N254" s="6">
        <f t="shared" si="121"/>
        <v>61.015500000000003</v>
      </c>
      <c r="O254">
        <f t="shared" si="122"/>
        <v>606.30000000000007</v>
      </c>
      <c r="P254" s="7">
        <f t="shared" si="110"/>
        <v>9.9368193327924885</v>
      </c>
      <c r="Q254">
        <f>ROUNDUP(몬스터!$P$14/F254, 0)</f>
        <v>9</v>
      </c>
      <c r="R254" s="6">
        <f t="shared" si="123"/>
        <v>12.080536912751677</v>
      </c>
      <c r="S254" s="7">
        <f>B254/몬스터!$C$14*R254</f>
        <v>216.17802896503002</v>
      </c>
      <c r="T254" s="7">
        <f t="shared" ref="T254" si="125">SUM(S250:S254)</f>
        <v>1076.5081956094298</v>
      </c>
      <c r="U254">
        <f>ROUNDDOWN(R254*몬스터!$H$14, 0)*몬스터!$G$14*(1+몬스터!$I$14)</f>
        <v>511.56</v>
      </c>
      <c r="V254" s="2">
        <f t="shared" si="111"/>
        <v>0.84374072241464615</v>
      </c>
    </row>
    <row r="255" spans="1:22" x14ac:dyDescent="0.4">
      <c r="A255">
        <v>41</v>
      </c>
      <c r="B255" s="4">
        <f>160*A255</f>
        <v>6560</v>
      </c>
      <c r="C255">
        <f t="shared" si="116"/>
        <v>480</v>
      </c>
      <c r="D255">
        <f t="shared" si="117"/>
        <v>29</v>
      </c>
      <c r="E255" s="2">
        <v>0</v>
      </c>
      <c r="F255">
        <f t="shared" si="118"/>
        <v>79</v>
      </c>
      <c r="G255">
        <f t="shared" si="119"/>
        <v>0.747</v>
      </c>
      <c r="H255" s="3">
        <f t="shared" si="109"/>
        <v>0.05</v>
      </c>
      <c r="I255" s="2">
        <v>2</v>
      </c>
      <c r="J255" s="2">
        <v>0</v>
      </c>
      <c r="K255" s="2">
        <v>1</v>
      </c>
      <c r="L255" s="16">
        <f>2</f>
        <v>2</v>
      </c>
      <c r="M255" s="5">
        <f t="shared" si="120"/>
        <v>700</v>
      </c>
      <c r="N255" s="6">
        <f t="shared" si="121"/>
        <v>61.963650000000001</v>
      </c>
      <c r="O255">
        <f t="shared" si="122"/>
        <v>619.20000000000005</v>
      </c>
      <c r="P255" s="7">
        <f t="shared" si="110"/>
        <v>9.9929555473249234</v>
      </c>
      <c r="Q255">
        <f>ROUNDUP(몬스터!$P$17/F255, 0)</f>
        <v>11</v>
      </c>
      <c r="R255" s="6">
        <f t="shared" si="123"/>
        <v>14.725568942436412</v>
      </c>
      <c r="S255" s="7">
        <f>B255/몬스터!$C$17*R255</f>
        <v>224.65054014507643</v>
      </c>
      <c r="U255">
        <f>ROUNDDOWN(R255*몬스터!$H$17, 0)*몬스터!$G$17*(1+몬스터!$I$17)</f>
        <v>732.6</v>
      </c>
      <c r="V255" s="2">
        <f t="shared" si="111"/>
        <v>1.1831395348837208</v>
      </c>
    </row>
    <row r="256" spans="1:22" x14ac:dyDescent="0.4">
      <c r="A256">
        <v>42</v>
      </c>
      <c r="B256" s="4">
        <f>160*A256</f>
        <v>6720</v>
      </c>
      <c r="C256">
        <f t="shared" si="116"/>
        <v>490</v>
      </c>
      <c r="D256">
        <f t="shared" si="117"/>
        <v>29</v>
      </c>
      <c r="E256" s="2">
        <v>0</v>
      </c>
      <c r="F256">
        <f t="shared" si="118"/>
        <v>81</v>
      </c>
      <c r="G256">
        <f t="shared" si="119"/>
        <v>0.749</v>
      </c>
      <c r="H256" s="3">
        <f t="shared" si="109"/>
        <v>0.05</v>
      </c>
      <c r="I256" s="2">
        <v>2</v>
      </c>
      <c r="J256" s="2">
        <v>0</v>
      </c>
      <c r="K256" s="2">
        <v>1</v>
      </c>
      <c r="L256" s="16">
        <f>2</f>
        <v>2</v>
      </c>
      <c r="M256" s="5">
        <f t="shared" si="120"/>
        <v>710</v>
      </c>
      <c r="N256" s="6">
        <f t="shared" si="121"/>
        <v>63.702449999999999</v>
      </c>
      <c r="O256">
        <f t="shared" si="122"/>
        <v>632.1</v>
      </c>
      <c r="P256" s="7">
        <f t="shared" si="110"/>
        <v>9.9226952809507338</v>
      </c>
      <c r="Q256">
        <f>ROUNDUP(몬스터!$P$17/F256, 0)</f>
        <v>11</v>
      </c>
      <c r="R256" s="6">
        <f t="shared" si="123"/>
        <v>14.686248331108144</v>
      </c>
      <c r="S256" s="7">
        <f>B256/몬스터!$C$17*R256</f>
        <v>229.51532275592263</v>
      </c>
      <c r="U256">
        <f>ROUNDDOWN(R256*몬스터!$H$17, 0)*몬스터!$G$17*(1+몬스터!$I$17)</f>
        <v>732.6</v>
      </c>
      <c r="V256" s="2">
        <f t="shared" si="111"/>
        <v>1.1589938300901756</v>
      </c>
    </row>
    <row r="257" spans="1:22" x14ac:dyDescent="0.4">
      <c r="A257">
        <v>43</v>
      </c>
      <c r="B257" s="4">
        <f>160*A257</f>
        <v>6880</v>
      </c>
      <c r="C257">
        <f t="shared" si="116"/>
        <v>500</v>
      </c>
      <c r="D257">
        <f t="shared" si="117"/>
        <v>29</v>
      </c>
      <c r="E257" s="2">
        <v>0</v>
      </c>
      <c r="F257">
        <f t="shared" si="118"/>
        <v>82</v>
      </c>
      <c r="G257">
        <f t="shared" si="119"/>
        <v>0.751</v>
      </c>
      <c r="H257" s="3">
        <f t="shared" si="109"/>
        <v>0.05</v>
      </c>
      <c r="I257" s="2">
        <v>2</v>
      </c>
      <c r="J257" s="2">
        <v>0</v>
      </c>
      <c r="K257" s="2">
        <v>1</v>
      </c>
      <c r="L257" s="16">
        <f>2</f>
        <v>2</v>
      </c>
      <c r="M257" s="5">
        <f t="shared" si="120"/>
        <v>720</v>
      </c>
      <c r="N257" s="6">
        <f t="shared" si="121"/>
        <v>64.661100000000005</v>
      </c>
      <c r="O257">
        <f t="shared" si="122"/>
        <v>645</v>
      </c>
      <c r="P257" s="7">
        <f t="shared" si="110"/>
        <v>9.9750854841628112</v>
      </c>
      <c r="Q257">
        <f>ROUNDUP(몬스터!$P$17/F257, 0)</f>
        <v>11</v>
      </c>
      <c r="R257" s="6">
        <f t="shared" si="123"/>
        <v>14.647137150466046</v>
      </c>
      <c r="S257" s="7">
        <f>B257/몬스터!$C$17*R257</f>
        <v>234.35419440745673</v>
      </c>
      <c r="U257">
        <f>ROUNDDOWN(R257*몬스터!$H$17, 0)*몬스터!$G$17*(1+몬스터!$I$17)</f>
        <v>732.6</v>
      </c>
      <c r="V257" s="2">
        <f t="shared" si="111"/>
        <v>1.1358139534883722</v>
      </c>
    </row>
    <row r="258" spans="1:22" x14ac:dyDescent="0.4">
      <c r="A258">
        <v>44</v>
      </c>
      <c r="B258" s="4">
        <f>160*A258</f>
        <v>7040</v>
      </c>
      <c r="C258">
        <f t="shared" si="116"/>
        <v>505</v>
      </c>
      <c r="D258">
        <f t="shared" si="117"/>
        <v>30</v>
      </c>
      <c r="E258" s="2">
        <v>0</v>
      </c>
      <c r="F258">
        <f t="shared" si="118"/>
        <v>84</v>
      </c>
      <c r="G258">
        <f t="shared" si="119"/>
        <v>0.753</v>
      </c>
      <c r="H258" s="3">
        <f t="shared" si="109"/>
        <v>0.05</v>
      </c>
      <c r="I258" s="2">
        <v>2</v>
      </c>
      <c r="J258" s="2">
        <v>0</v>
      </c>
      <c r="K258" s="2">
        <v>1</v>
      </c>
      <c r="L258" s="16">
        <f>2</f>
        <v>2</v>
      </c>
      <c r="M258" s="5">
        <f t="shared" si="120"/>
        <v>730</v>
      </c>
      <c r="N258" s="6">
        <f t="shared" si="121"/>
        <v>66.414600000000007</v>
      </c>
      <c r="O258">
        <f t="shared" si="122"/>
        <v>656.5</v>
      </c>
      <c r="P258" s="7">
        <f t="shared" si="110"/>
        <v>9.884874711283361</v>
      </c>
      <c r="Q258">
        <f>ROUNDUP(몬스터!$P$17/F258, 0)</f>
        <v>10</v>
      </c>
      <c r="R258" s="6">
        <f t="shared" si="123"/>
        <v>13.280212483399735</v>
      </c>
      <c r="S258" s="7">
        <f>B258/몬스터!$C$17*R258</f>
        <v>217.42487414682358</v>
      </c>
      <c r="U258">
        <f>ROUNDDOWN(R258*몬스터!$H$17, 0)*몬스터!$G$17*(1+몬스터!$I$17)</f>
        <v>659.34</v>
      </c>
      <c r="V258" s="2">
        <f t="shared" si="111"/>
        <v>1.0043259710586443</v>
      </c>
    </row>
    <row r="259" spans="1:22" x14ac:dyDescent="0.4">
      <c r="A259">
        <v>45</v>
      </c>
      <c r="B259" s="4">
        <f>160*A259</f>
        <v>7200</v>
      </c>
      <c r="C259">
        <f t="shared" si="116"/>
        <v>515</v>
      </c>
      <c r="D259">
        <f t="shared" si="117"/>
        <v>30</v>
      </c>
      <c r="E259" s="2">
        <v>0</v>
      </c>
      <c r="F259">
        <f t="shared" si="118"/>
        <v>85</v>
      </c>
      <c r="G259">
        <f t="shared" si="119"/>
        <v>0.755</v>
      </c>
      <c r="H259" s="3">
        <f t="shared" si="109"/>
        <v>0.05</v>
      </c>
      <c r="I259" s="2">
        <v>2</v>
      </c>
      <c r="J259" s="2">
        <v>0</v>
      </c>
      <c r="K259" s="2">
        <v>1</v>
      </c>
      <c r="L259" s="16">
        <f>2</f>
        <v>2</v>
      </c>
      <c r="M259" s="5">
        <f t="shared" si="120"/>
        <v>740</v>
      </c>
      <c r="N259" s="6">
        <f t="shared" si="121"/>
        <v>67.383750000000006</v>
      </c>
      <c r="O259">
        <f t="shared" si="122"/>
        <v>669.5</v>
      </c>
      <c r="P259" s="7">
        <f t="shared" si="110"/>
        <v>9.9356298810915078</v>
      </c>
      <c r="Q259">
        <f>ROUNDUP(몬스터!$P$17/F259, 0)</f>
        <v>10</v>
      </c>
      <c r="R259" s="6">
        <f t="shared" si="123"/>
        <v>13.245033112582782</v>
      </c>
      <c r="S259" s="7">
        <f>B259/몬스터!$C$17*R259</f>
        <v>221.77729862929311</v>
      </c>
      <c r="T259" s="7">
        <f t="shared" ref="T259" si="126">SUM(S255:S259)</f>
        <v>1127.7222300845724</v>
      </c>
      <c r="U259">
        <f>ROUNDDOWN(R259*몬스터!$H$17, 0)*몬스터!$G$17*(1+몬스터!$I$17)</f>
        <v>659.34</v>
      </c>
      <c r="V259" s="2">
        <f t="shared" si="111"/>
        <v>0.98482449589245713</v>
      </c>
    </row>
    <row r="260" spans="1:22" x14ac:dyDescent="0.4">
      <c r="A260">
        <v>46</v>
      </c>
      <c r="B260" s="4">
        <f>170*A260-620</f>
        <v>7200</v>
      </c>
      <c r="C260">
        <f t="shared" si="116"/>
        <v>525</v>
      </c>
      <c r="D260">
        <f t="shared" si="117"/>
        <v>30</v>
      </c>
      <c r="E260" s="2">
        <v>0</v>
      </c>
      <c r="F260">
        <f t="shared" si="118"/>
        <v>86</v>
      </c>
      <c r="G260">
        <f t="shared" si="119"/>
        <v>0.75700000000000001</v>
      </c>
      <c r="H260" s="3">
        <f t="shared" si="109"/>
        <v>0.05</v>
      </c>
      <c r="I260" s="2">
        <v>2</v>
      </c>
      <c r="J260" s="2">
        <v>0</v>
      </c>
      <c r="K260" s="2">
        <v>1</v>
      </c>
      <c r="L260" s="16">
        <f>2</f>
        <v>2</v>
      </c>
      <c r="M260" s="5">
        <f t="shared" si="120"/>
        <v>750</v>
      </c>
      <c r="N260" s="6">
        <f t="shared" si="121"/>
        <v>68.357100000000003</v>
      </c>
      <c r="O260">
        <f t="shared" si="122"/>
        <v>682.5</v>
      </c>
      <c r="P260" s="7">
        <f t="shared" si="110"/>
        <v>9.9843322785782309</v>
      </c>
      <c r="Q260">
        <f>ROUNDUP(몬스터!$P$18/F260, 0)</f>
        <v>12</v>
      </c>
      <c r="R260" s="6">
        <f t="shared" si="123"/>
        <v>15.852047556142669</v>
      </c>
      <c r="S260" s="7">
        <f>B260/몬스터!$C$18*R260</f>
        <v>237.78071334214002</v>
      </c>
      <c r="U260">
        <f>ROUNDDOWN(R260*몬스터!$H$18, 0)*몬스터!$G$18*(1+몬스터!$I$18)</f>
        <v>897.35249999999996</v>
      </c>
      <c r="V260" s="2">
        <f t="shared" si="111"/>
        <v>1.3148021978021978</v>
      </c>
    </row>
    <row r="261" spans="1:22" x14ac:dyDescent="0.4">
      <c r="A261">
        <v>47</v>
      </c>
      <c r="B261" s="4">
        <f>170*A261</f>
        <v>7990</v>
      </c>
      <c r="C261">
        <f t="shared" si="116"/>
        <v>535</v>
      </c>
      <c r="D261">
        <f t="shared" si="117"/>
        <v>31</v>
      </c>
      <c r="E261" s="2">
        <v>0</v>
      </c>
      <c r="F261">
        <f t="shared" si="118"/>
        <v>88</v>
      </c>
      <c r="G261">
        <f t="shared" si="119"/>
        <v>0.75900000000000001</v>
      </c>
      <c r="H261" s="3">
        <f t="shared" si="109"/>
        <v>0.05</v>
      </c>
      <c r="I261" s="2">
        <v>2</v>
      </c>
      <c r="J261" s="2">
        <v>0</v>
      </c>
      <c r="K261" s="2">
        <v>1</v>
      </c>
      <c r="L261" s="16">
        <f>2</f>
        <v>2</v>
      </c>
      <c r="M261" s="5">
        <f t="shared" si="120"/>
        <v>760</v>
      </c>
      <c r="N261" s="6">
        <f t="shared" si="121"/>
        <v>70.131600000000006</v>
      </c>
      <c r="O261">
        <f t="shared" si="122"/>
        <v>700.85</v>
      </c>
      <c r="P261" s="7">
        <f t="shared" si="110"/>
        <v>9.9933553490865741</v>
      </c>
      <c r="Q261">
        <f>ROUNDUP(몬스터!$P$18/F261, 0)</f>
        <v>11</v>
      </c>
      <c r="R261" s="6">
        <f t="shared" si="123"/>
        <v>14.492753623188406</v>
      </c>
      <c r="S261" s="7">
        <f>B261/몬스터!$C$18*R261</f>
        <v>241.24396135265698</v>
      </c>
      <c r="U261">
        <f>ROUNDDOWN(R261*몬스터!$H$18, 0)*몬스터!$G$18*(1+몬스터!$I$18)</f>
        <v>815.77499999999998</v>
      </c>
      <c r="V261" s="2">
        <f t="shared" si="111"/>
        <v>1.1639794535207248</v>
      </c>
    </row>
    <row r="262" spans="1:22" x14ac:dyDescent="0.4">
      <c r="A262">
        <v>48</v>
      </c>
      <c r="B262" s="4">
        <f>170*A262</f>
        <v>8160</v>
      </c>
      <c r="C262">
        <f t="shared" si="116"/>
        <v>540</v>
      </c>
      <c r="D262">
        <f t="shared" si="117"/>
        <v>31</v>
      </c>
      <c r="E262" s="2">
        <v>0</v>
      </c>
      <c r="F262">
        <f t="shared" si="118"/>
        <v>89</v>
      </c>
      <c r="G262">
        <f t="shared" si="119"/>
        <v>0.76100000000000001</v>
      </c>
      <c r="H262" s="3">
        <f t="shared" si="109"/>
        <v>0.05</v>
      </c>
      <c r="I262" s="2">
        <v>2</v>
      </c>
      <c r="J262" s="2">
        <v>0</v>
      </c>
      <c r="K262" s="2">
        <v>1</v>
      </c>
      <c r="L262" s="16">
        <f>2</f>
        <v>2</v>
      </c>
      <c r="M262" s="5">
        <f t="shared" si="120"/>
        <v>770</v>
      </c>
      <c r="N262" s="6">
        <f t="shared" si="121"/>
        <v>71.115449999999996</v>
      </c>
      <c r="O262">
        <f t="shared" si="122"/>
        <v>707.4</v>
      </c>
      <c r="P262" s="7">
        <f t="shared" si="110"/>
        <v>9.9472055650354463</v>
      </c>
      <c r="Q262">
        <f>ROUNDUP(몬스터!$P$18/F262, 0)</f>
        <v>11</v>
      </c>
      <c r="R262" s="6">
        <f t="shared" si="123"/>
        <v>14.45466491458607</v>
      </c>
      <c r="S262" s="7">
        <f>B262/몬스터!$C$18*R262</f>
        <v>245.72930354796318</v>
      </c>
      <c r="U262">
        <f>ROUNDDOWN(R262*몬스터!$H$18, 0)*몬스터!$G$18*(1+몬스터!$I$18)</f>
        <v>815.77499999999998</v>
      </c>
      <c r="V262" s="2">
        <f t="shared" si="111"/>
        <v>1.1532018659881256</v>
      </c>
    </row>
    <row r="263" spans="1:22" x14ac:dyDescent="0.4">
      <c r="A263">
        <v>49</v>
      </c>
      <c r="B263" s="4">
        <f>170*A263</f>
        <v>8330</v>
      </c>
      <c r="C263">
        <f t="shared" si="116"/>
        <v>550</v>
      </c>
      <c r="D263">
        <f t="shared" si="117"/>
        <v>31</v>
      </c>
      <c r="E263" s="2">
        <v>0</v>
      </c>
      <c r="F263">
        <f t="shared" si="118"/>
        <v>91</v>
      </c>
      <c r="G263">
        <f t="shared" si="119"/>
        <v>0.76300000000000001</v>
      </c>
      <c r="H263" s="3">
        <f t="shared" si="109"/>
        <v>0.05</v>
      </c>
      <c r="I263" s="2">
        <v>2</v>
      </c>
      <c r="J263" s="2">
        <v>0</v>
      </c>
      <c r="K263" s="2">
        <v>1</v>
      </c>
      <c r="L263" s="16">
        <f>2</f>
        <v>2</v>
      </c>
      <c r="M263" s="5">
        <f t="shared" si="120"/>
        <v>780</v>
      </c>
      <c r="N263" s="6">
        <f t="shared" si="121"/>
        <v>72.904650000000004</v>
      </c>
      <c r="O263">
        <f t="shared" si="122"/>
        <v>720.5</v>
      </c>
      <c r="P263" s="7">
        <f t="shared" si="110"/>
        <v>9.8827715378923013</v>
      </c>
      <c r="Q263">
        <f>ROUNDUP(몬스터!$P$18/F263, 0)</f>
        <v>11</v>
      </c>
      <c r="R263" s="6">
        <f t="shared" si="123"/>
        <v>14.416775884665793</v>
      </c>
      <c r="S263" s="7">
        <f>B263/몬스터!$C$18*R263</f>
        <v>250.19113149847095</v>
      </c>
      <c r="U263">
        <f>ROUNDDOWN(R263*몬스터!$H$18, 0)*몬스터!$G$18*(1+몬스터!$I$18)</f>
        <v>815.77499999999998</v>
      </c>
      <c r="V263" s="2">
        <f t="shared" si="111"/>
        <v>1.1322345593337959</v>
      </c>
    </row>
    <row r="264" spans="1:22" x14ac:dyDescent="0.4">
      <c r="A264">
        <v>50</v>
      </c>
      <c r="B264" s="4">
        <f>170*A264</f>
        <v>8500</v>
      </c>
      <c r="C264">
        <f t="shared" si="116"/>
        <v>560</v>
      </c>
      <c r="D264">
        <f t="shared" si="117"/>
        <v>32</v>
      </c>
      <c r="E264" s="2">
        <v>0</v>
      </c>
      <c r="F264">
        <f t="shared" si="118"/>
        <v>92</v>
      </c>
      <c r="G264">
        <f t="shared" si="119"/>
        <v>0.76500000000000001</v>
      </c>
      <c r="H264" s="3">
        <f t="shared" si="109"/>
        <v>0.05</v>
      </c>
      <c r="I264" s="2">
        <v>2</v>
      </c>
      <c r="J264" s="2">
        <v>0</v>
      </c>
      <c r="K264" s="2">
        <v>1</v>
      </c>
      <c r="L264" s="16">
        <f>2</f>
        <v>2</v>
      </c>
      <c r="M264" s="5">
        <f t="shared" si="120"/>
        <v>790</v>
      </c>
      <c r="N264" s="6">
        <f t="shared" si="121"/>
        <v>73.899000000000001</v>
      </c>
      <c r="O264">
        <f t="shared" si="122"/>
        <v>739.2</v>
      </c>
      <c r="P264" s="7">
        <f t="shared" si="110"/>
        <v>10.002841716396704</v>
      </c>
      <c r="Q264">
        <f>ROUNDUP(몬스터!$P$18/F264, 0)</f>
        <v>11</v>
      </c>
      <c r="R264" s="6">
        <f t="shared" si="123"/>
        <v>14.379084967320262</v>
      </c>
      <c r="S264" s="7">
        <f>B264/몬스터!$C$18*R264</f>
        <v>254.62962962962962</v>
      </c>
      <c r="T264" s="7">
        <f t="shared" ref="T264" si="127">SUM(S260:S264)</f>
        <v>1229.5747393708607</v>
      </c>
      <c r="U264">
        <f>ROUNDDOWN(R264*몬스터!$H$18, 0)*몬스터!$G$18*(1+몬스터!$I$18)</f>
        <v>815.77499999999998</v>
      </c>
      <c r="V264" s="2">
        <f t="shared" si="111"/>
        <v>1.1035917207792207</v>
      </c>
    </row>
    <row r="265" spans="1:22" x14ac:dyDescent="0.4">
      <c r="A265">
        <v>51</v>
      </c>
      <c r="B265" s="4">
        <f>160*A265</f>
        <v>8160</v>
      </c>
      <c r="C265">
        <f t="shared" si="116"/>
        <v>570</v>
      </c>
      <c r="D265">
        <f t="shared" si="117"/>
        <v>32</v>
      </c>
      <c r="E265" s="2">
        <v>0</v>
      </c>
      <c r="F265">
        <f t="shared" si="118"/>
        <v>94</v>
      </c>
      <c r="G265">
        <f t="shared" si="119"/>
        <v>0.76700000000000002</v>
      </c>
      <c r="H265" s="3">
        <f t="shared" si="109"/>
        <v>0.05</v>
      </c>
      <c r="I265" s="2">
        <v>2</v>
      </c>
      <c r="J265" s="2">
        <v>0</v>
      </c>
      <c r="K265" s="2">
        <v>1</v>
      </c>
      <c r="L265" s="16">
        <f>2</f>
        <v>2</v>
      </c>
      <c r="M265" s="5">
        <f t="shared" si="120"/>
        <v>800</v>
      </c>
      <c r="N265" s="6">
        <f t="shared" si="121"/>
        <v>75.7029</v>
      </c>
      <c r="O265">
        <f t="shared" si="122"/>
        <v>752.40000000000009</v>
      </c>
      <c r="P265" s="7">
        <f t="shared" si="110"/>
        <v>9.9388530690369858</v>
      </c>
      <c r="Q265">
        <f>ROUNDUP(몬스터!$P$19/F265, 0)</f>
        <v>12</v>
      </c>
      <c r="R265" s="6">
        <f t="shared" si="123"/>
        <v>15.645371577574966</v>
      </c>
      <c r="S265" s="7">
        <f>B265/몬스터!$C$19*R265</f>
        <v>240.8796831566259</v>
      </c>
      <c r="U265">
        <f>ROUNDDOWN(R265*몬스터!$H$19, 0)*몬스터!$G$19*(1+몬스터!$I$19)</f>
        <v>1002.375</v>
      </c>
      <c r="V265" s="2">
        <f t="shared" si="111"/>
        <v>1.3322368421052631</v>
      </c>
    </row>
    <row r="266" spans="1:22" x14ac:dyDescent="0.4">
      <c r="A266">
        <v>52</v>
      </c>
      <c r="B266" s="4">
        <f>160*A266</f>
        <v>8320</v>
      </c>
      <c r="C266">
        <f t="shared" si="116"/>
        <v>580</v>
      </c>
      <c r="D266">
        <f t="shared" si="117"/>
        <v>32</v>
      </c>
      <c r="E266" s="2">
        <v>0</v>
      </c>
      <c r="F266">
        <f t="shared" si="118"/>
        <v>95</v>
      </c>
      <c r="G266">
        <f t="shared" si="119"/>
        <v>0.76900000000000002</v>
      </c>
      <c r="H266" s="3">
        <f t="shared" si="109"/>
        <v>0.05</v>
      </c>
      <c r="I266" s="2">
        <v>2</v>
      </c>
      <c r="J266" s="2">
        <v>0</v>
      </c>
      <c r="K266" s="2">
        <v>1</v>
      </c>
      <c r="L266" s="16">
        <f>2</f>
        <v>2</v>
      </c>
      <c r="M266" s="5">
        <f t="shared" si="120"/>
        <v>810</v>
      </c>
      <c r="N266" s="6">
        <f t="shared" si="121"/>
        <v>76.707750000000004</v>
      </c>
      <c r="O266">
        <f t="shared" si="122"/>
        <v>765.6</v>
      </c>
      <c r="P266" s="7">
        <f t="shared" si="110"/>
        <v>9.9807385824769987</v>
      </c>
      <c r="Q266">
        <f>ROUNDUP(몬스터!$P$19/F266, 0)</f>
        <v>12</v>
      </c>
      <c r="R266" s="6">
        <f t="shared" si="123"/>
        <v>15.604681404421326</v>
      </c>
      <c r="S266" s="7">
        <f>B266/몬스터!$C$19*R266</f>
        <v>244.96405525431214</v>
      </c>
      <c r="U266">
        <f>ROUNDDOWN(R266*몬스터!$H$19, 0)*몬스터!$G$19*(1+몬스터!$I$19)</f>
        <v>1002.375</v>
      </c>
      <c r="V266" s="2">
        <f t="shared" si="111"/>
        <v>1.3092672413793103</v>
      </c>
    </row>
    <row r="267" spans="1:22" x14ac:dyDescent="0.4">
      <c r="A267">
        <v>53</v>
      </c>
      <c r="B267" s="4">
        <f>160*A267</f>
        <v>8480</v>
      </c>
      <c r="C267">
        <f t="shared" si="116"/>
        <v>585</v>
      </c>
      <c r="D267">
        <f t="shared" si="117"/>
        <v>32</v>
      </c>
      <c r="E267" s="2">
        <v>0</v>
      </c>
      <c r="F267">
        <f t="shared" si="118"/>
        <v>96</v>
      </c>
      <c r="G267">
        <f t="shared" si="119"/>
        <v>0.77100000000000002</v>
      </c>
      <c r="H267" s="3">
        <f t="shared" si="109"/>
        <v>0.05</v>
      </c>
      <c r="I267" s="2">
        <v>2</v>
      </c>
      <c r="J267" s="2">
        <v>0</v>
      </c>
      <c r="K267" s="2">
        <v>1</v>
      </c>
      <c r="L267" s="16">
        <f>2</f>
        <v>2</v>
      </c>
      <c r="M267" s="5">
        <f t="shared" si="120"/>
        <v>820</v>
      </c>
      <c r="N267" s="6">
        <f t="shared" si="121"/>
        <v>77.716800000000006</v>
      </c>
      <c r="O267">
        <f t="shared" si="122"/>
        <v>772.2</v>
      </c>
      <c r="P267" s="7">
        <f t="shared" si="110"/>
        <v>9.936075597554197</v>
      </c>
      <c r="Q267">
        <f>ROUNDUP(몬스터!$P$19/F267, 0)</f>
        <v>12</v>
      </c>
      <c r="R267" s="6">
        <f t="shared" si="123"/>
        <v>15.56420233463035</v>
      </c>
      <c r="S267" s="7">
        <f>B267/몬스터!$C$19*R267</f>
        <v>249.0272373540856</v>
      </c>
      <c r="U267">
        <f>ROUNDDOWN(R267*몬스터!$H$19, 0)*몬스터!$G$19*(1+몬스터!$I$19)</f>
        <v>1002.375</v>
      </c>
      <c r="V267" s="2">
        <f t="shared" si="111"/>
        <v>1.2980769230769229</v>
      </c>
    </row>
    <row r="268" spans="1:22" x14ac:dyDescent="0.4">
      <c r="A268">
        <v>54</v>
      </c>
      <c r="B268" s="4">
        <f>160*A268</f>
        <v>8640</v>
      </c>
      <c r="C268">
        <f t="shared" si="116"/>
        <v>595</v>
      </c>
      <c r="D268">
        <f t="shared" si="117"/>
        <v>33</v>
      </c>
      <c r="E268" s="2">
        <v>0</v>
      </c>
      <c r="F268">
        <f t="shared" si="118"/>
        <v>98</v>
      </c>
      <c r="G268">
        <f t="shared" si="119"/>
        <v>0.77300000000000002</v>
      </c>
      <c r="H268" s="3">
        <f t="shared" si="109"/>
        <v>0.05</v>
      </c>
      <c r="I268" s="2">
        <v>2</v>
      </c>
      <c r="J268" s="2">
        <v>0</v>
      </c>
      <c r="K268" s="2">
        <v>1</v>
      </c>
      <c r="L268" s="16">
        <f>2</f>
        <v>2</v>
      </c>
      <c r="M268" s="5">
        <f t="shared" si="120"/>
        <v>830</v>
      </c>
      <c r="N268" s="6">
        <f t="shared" si="121"/>
        <v>79.541700000000006</v>
      </c>
      <c r="O268">
        <f t="shared" si="122"/>
        <v>791.35</v>
      </c>
      <c r="P268" s="7">
        <f t="shared" si="110"/>
        <v>9.9488695866444896</v>
      </c>
      <c r="Q268">
        <f>ROUNDUP(몬스터!$P$19/F268, 0)</f>
        <v>12</v>
      </c>
      <c r="R268" s="6">
        <f t="shared" si="123"/>
        <v>15.523932729624837</v>
      </c>
      <c r="S268" s="7">
        <f>B268/몬스터!$C$19*R268</f>
        <v>253.06939393199735</v>
      </c>
      <c r="U268">
        <f>ROUNDDOWN(R268*몬스터!$H$19, 0)*몬스터!$G$19*(1+몬스터!$I$19)</f>
        <v>1002.375</v>
      </c>
      <c r="V268" s="2">
        <f t="shared" si="111"/>
        <v>1.2666645605610665</v>
      </c>
    </row>
    <row r="269" spans="1:22" x14ac:dyDescent="0.4">
      <c r="A269">
        <v>55</v>
      </c>
      <c r="B269" s="4">
        <f>160*A269</f>
        <v>8800</v>
      </c>
      <c r="C269">
        <f t="shared" si="116"/>
        <v>605</v>
      </c>
      <c r="D269">
        <f t="shared" si="117"/>
        <v>33</v>
      </c>
      <c r="E269" s="2">
        <v>0</v>
      </c>
      <c r="F269">
        <f t="shared" si="118"/>
        <v>99</v>
      </c>
      <c r="G269">
        <f t="shared" si="119"/>
        <v>0.77500000000000002</v>
      </c>
      <c r="H269" s="3">
        <f t="shared" si="109"/>
        <v>0.05</v>
      </c>
      <c r="I269" s="2">
        <v>2</v>
      </c>
      <c r="J269" s="2">
        <v>0</v>
      </c>
      <c r="K269" s="2">
        <v>1</v>
      </c>
      <c r="L269" s="16">
        <f>2</f>
        <v>2</v>
      </c>
      <c r="M269" s="5">
        <f t="shared" si="120"/>
        <v>840</v>
      </c>
      <c r="N269" s="6">
        <f t="shared" si="121"/>
        <v>80.561250000000015</v>
      </c>
      <c r="O269">
        <f t="shared" si="122"/>
        <v>804.65000000000009</v>
      </c>
      <c r="P269" s="7">
        <f t="shared" si="110"/>
        <v>9.9880525686977286</v>
      </c>
      <c r="Q269">
        <f>ROUNDUP(몬스터!$P$19/F269, 0)</f>
        <v>11</v>
      </c>
      <c r="R269" s="6">
        <f t="shared" si="123"/>
        <v>14.193548387096774</v>
      </c>
      <c r="S269" s="7">
        <f>B269/몬스터!$C$19*R269</f>
        <v>235.66646378575774</v>
      </c>
      <c r="T269" s="7">
        <f t="shared" ref="T269" si="128">SUM(S265:S269)</f>
        <v>1223.6068334827787</v>
      </c>
      <c r="U269">
        <f>ROUNDDOWN(R269*몬스터!$H$19, 0)*몬스터!$G$19*(1+몬스터!$I$19)</f>
        <v>911.25</v>
      </c>
      <c r="V269" s="2">
        <f t="shared" si="111"/>
        <v>1.1324799602311564</v>
      </c>
    </row>
    <row r="270" spans="1:22" x14ac:dyDescent="0.4">
      <c r="A270">
        <v>56</v>
      </c>
      <c r="B270" s="4">
        <f>170*A270</f>
        <v>9520</v>
      </c>
      <c r="C270">
        <f t="shared" si="116"/>
        <v>615</v>
      </c>
      <c r="D270">
        <f t="shared" si="117"/>
        <v>33</v>
      </c>
      <c r="E270" s="2">
        <v>0</v>
      </c>
      <c r="F270">
        <f t="shared" si="118"/>
        <v>101</v>
      </c>
      <c r="G270">
        <f t="shared" si="119"/>
        <v>0.77700000000000002</v>
      </c>
      <c r="H270" s="3">
        <f t="shared" si="109"/>
        <v>0.05</v>
      </c>
      <c r="I270" s="2">
        <v>2</v>
      </c>
      <c r="J270" s="2">
        <v>0</v>
      </c>
      <c r="K270" s="2">
        <v>1</v>
      </c>
      <c r="L270" s="16">
        <f>2</f>
        <v>2</v>
      </c>
      <c r="M270" s="5">
        <f t="shared" si="120"/>
        <v>850</v>
      </c>
      <c r="N270" s="6">
        <f t="shared" si="121"/>
        <v>82.400850000000005</v>
      </c>
      <c r="O270">
        <f t="shared" si="122"/>
        <v>817.95</v>
      </c>
      <c r="P270" s="7">
        <f t="shared" si="110"/>
        <v>9.9264752730099257</v>
      </c>
      <c r="Q270">
        <f>ROUNDUP(몬스터!$P$20/F270, 0)</f>
        <v>12</v>
      </c>
      <c r="R270" s="6">
        <f t="shared" si="123"/>
        <v>15.444015444015443</v>
      </c>
      <c r="S270" s="7">
        <f>B270/몬스터!$C$20*R270</f>
        <v>253.49487418452938</v>
      </c>
      <c r="U270">
        <f>ROUNDDOWN(R270*몬스터!$H$20, 0)*몬스터!$G$20*(1+몬스터!$I$20)</f>
        <v>1096.26</v>
      </c>
      <c r="V270" s="2">
        <f t="shared" si="111"/>
        <v>1.3402530717036494</v>
      </c>
    </row>
    <row r="271" spans="1:22" x14ac:dyDescent="0.4">
      <c r="A271">
        <v>57</v>
      </c>
      <c r="B271" s="4">
        <f>170*A271</f>
        <v>9690</v>
      </c>
      <c r="C271">
        <f t="shared" si="116"/>
        <v>620</v>
      </c>
      <c r="D271">
        <f t="shared" si="117"/>
        <v>34</v>
      </c>
      <c r="E271" s="2">
        <v>0</v>
      </c>
      <c r="F271">
        <f t="shared" si="118"/>
        <v>102</v>
      </c>
      <c r="G271">
        <f t="shared" si="119"/>
        <v>0.77900000000000003</v>
      </c>
      <c r="H271" s="3">
        <f t="shared" si="109"/>
        <v>0.05</v>
      </c>
      <c r="I271" s="2">
        <v>2</v>
      </c>
      <c r="J271" s="2">
        <v>0</v>
      </c>
      <c r="K271" s="2">
        <v>1</v>
      </c>
      <c r="L271" s="16">
        <f>2</f>
        <v>2</v>
      </c>
      <c r="M271" s="5">
        <f t="shared" si="120"/>
        <v>860</v>
      </c>
      <c r="N271" s="6">
        <f t="shared" si="121"/>
        <v>83.430900000000008</v>
      </c>
      <c r="O271">
        <f t="shared" si="122"/>
        <v>830.80000000000007</v>
      </c>
      <c r="P271" s="7">
        <f t="shared" si="110"/>
        <v>9.9579412423934048</v>
      </c>
      <c r="Q271">
        <f>ROUNDUP(몬스터!$P$20/F271, 0)</f>
        <v>12</v>
      </c>
      <c r="R271" s="6">
        <f t="shared" si="123"/>
        <v>15.404364569961489</v>
      </c>
      <c r="S271" s="7">
        <f>B271/몬스터!$C$20*R271</f>
        <v>257.35912531539111</v>
      </c>
      <c r="U271">
        <f>ROUNDDOWN(R271*몬스터!$H$20, 0)*몬스터!$G$20*(1+몬스터!$I$20)</f>
        <v>1096.26</v>
      </c>
      <c r="V271" s="2">
        <f t="shared" si="111"/>
        <v>1.3195233509870004</v>
      </c>
    </row>
    <row r="272" spans="1:22" x14ac:dyDescent="0.4">
      <c r="A272">
        <v>58</v>
      </c>
      <c r="B272" s="4">
        <f>170*A272</f>
        <v>9860</v>
      </c>
      <c r="C272">
        <f t="shared" si="116"/>
        <v>630</v>
      </c>
      <c r="D272">
        <f t="shared" si="117"/>
        <v>34</v>
      </c>
      <c r="E272" s="2">
        <v>0</v>
      </c>
      <c r="F272">
        <f t="shared" si="118"/>
        <v>104</v>
      </c>
      <c r="G272">
        <f t="shared" si="119"/>
        <v>0.78100000000000003</v>
      </c>
      <c r="H272" s="3">
        <f t="shared" si="109"/>
        <v>0.05</v>
      </c>
      <c r="I272" s="2">
        <v>2</v>
      </c>
      <c r="J272" s="2">
        <v>0</v>
      </c>
      <c r="K272" s="2">
        <v>1</v>
      </c>
      <c r="L272" s="16">
        <f>2</f>
        <v>2</v>
      </c>
      <c r="M272" s="5">
        <f t="shared" si="120"/>
        <v>870</v>
      </c>
      <c r="N272" s="6">
        <f t="shared" si="121"/>
        <v>85.285200000000003</v>
      </c>
      <c r="O272">
        <f t="shared" si="122"/>
        <v>844.2</v>
      </c>
      <c r="P272" s="7">
        <f t="shared" si="110"/>
        <v>9.8985521520732789</v>
      </c>
      <c r="Q272">
        <f>ROUNDUP(몬스터!$P$20/F272, 0)</f>
        <v>12</v>
      </c>
      <c r="R272" s="6">
        <f t="shared" si="123"/>
        <v>15.364916773367478</v>
      </c>
      <c r="S272" s="7">
        <f>B272/몬스터!$C$20*R272</f>
        <v>261.20358514724711</v>
      </c>
      <c r="U272">
        <f>ROUNDDOWN(R272*몬스터!$H$20, 0)*몬스터!$G$20*(1+몬스터!$I$20)</f>
        <v>1096.26</v>
      </c>
      <c r="V272" s="2">
        <f t="shared" si="111"/>
        <v>1.2985785358919686</v>
      </c>
    </row>
    <row r="273" spans="1:22" x14ac:dyDescent="0.4">
      <c r="A273">
        <v>59</v>
      </c>
      <c r="B273" s="4">
        <f>170*A273</f>
        <v>10030</v>
      </c>
      <c r="C273">
        <f t="shared" si="116"/>
        <v>640</v>
      </c>
      <c r="D273">
        <f t="shared" si="117"/>
        <v>34</v>
      </c>
      <c r="E273" s="2">
        <v>0</v>
      </c>
      <c r="F273">
        <f t="shared" si="118"/>
        <v>105</v>
      </c>
      <c r="G273">
        <f t="shared" si="119"/>
        <v>0.78300000000000003</v>
      </c>
      <c r="H273" s="3">
        <f t="shared" si="109"/>
        <v>0.05</v>
      </c>
      <c r="I273" s="2">
        <v>2</v>
      </c>
      <c r="J273" s="2">
        <v>0</v>
      </c>
      <c r="K273" s="2">
        <v>1</v>
      </c>
      <c r="L273" s="16">
        <f>2</f>
        <v>2</v>
      </c>
      <c r="M273" s="5">
        <f t="shared" si="120"/>
        <v>880</v>
      </c>
      <c r="N273" s="6">
        <f t="shared" si="121"/>
        <v>86.325750000000014</v>
      </c>
      <c r="O273">
        <f t="shared" si="122"/>
        <v>857.6</v>
      </c>
      <c r="P273" s="7">
        <f t="shared" si="110"/>
        <v>9.9344633553719479</v>
      </c>
      <c r="Q273">
        <f>ROUNDUP(몬스터!$P$20/F273, 0)</f>
        <v>12</v>
      </c>
      <c r="R273" s="6">
        <f t="shared" si="123"/>
        <v>15.325670498084291</v>
      </c>
      <c r="S273" s="7">
        <f>B273/몬스터!$C$20*R273</f>
        <v>265.02840533756108</v>
      </c>
      <c r="U273">
        <f>ROUNDDOWN(R273*몬스터!$H$20, 0)*몬스터!$G$20*(1+몬스터!$I$20)</f>
        <v>1096.26</v>
      </c>
      <c r="V273" s="2">
        <f t="shared" si="111"/>
        <v>1.2782882462686567</v>
      </c>
    </row>
    <row r="274" spans="1:22" x14ac:dyDescent="0.4">
      <c r="A274">
        <v>60</v>
      </c>
      <c r="B274" s="4">
        <f>170*A274</f>
        <v>10200</v>
      </c>
      <c r="C274">
        <f t="shared" si="116"/>
        <v>650</v>
      </c>
      <c r="D274">
        <f t="shared" si="117"/>
        <v>35</v>
      </c>
      <c r="E274" s="2">
        <v>0</v>
      </c>
      <c r="F274">
        <f t="shared" si="118"/>
        <v>107</v>
      </c>
      <c r="G274">
        <f t="shared" si="119"/>
        <v>0.78500000000000003</v>
      </c>
      <c r="H274" s="3">
        <f t="shared" si="109"/>
        <v>0.05</v>
      </c>
      <c r="I274" s="2">
        <v>2</v>
      </c>
      <c r="J274" s="2">
        <v>0</v>
      </c>
      <c r="K274" s="2">
        <v>1</v>
      </c>
      <c r="L274" s="16">
        <f>2</f>
        <v>2</v>
      </c>
      <c r="M274" s="5">
        <f t="shared" si="120"/>
        <v>890</v>
      </c>
      <c r="N274" s="6">
        <f t="shared" si="121"/>
        <v>88.194750000000013</v>
      </c>
      <c r="O274">
        <f t="shared" si="122"/>
        <v>877.50000000000011</v>
      </c>
      <c r="P274" s="7">
        <f t="shared" si="110"/>
        <v>9.9495718282550829</v>
      </c>
      <c r="Q274">
        <f>ROUNDUP(몬스터!$P$20/F274, 0)</f>
        <v>12</v>
      </c>
      <c r="R274" s="6">
        <f t="shared" si="123"/>
        <v>15.286624203821656</v>
      </c>
      <c r="S274" s="7">
        <f>B274/몬스터!$C$20*R274</f>
        <v>268.8337359982429</v>
      </c>
      <c r="T274" s="7">
        <f t="shared" ref="T274" si="129">SUM(S270:S274)</f>
        <v>1305.9197259829716</v>
      </c>
      <c r="U274">
        <f>ROUNDDOWN(R274*몬스터!$H$20, 0)*몬스터!$G$20*(1+몬스터!$I$20)</f>
        <v>1096.26</v>
      </c>
      <c r="V274" s="2">
        <f t="shared" si="111"/>
        <v>1.2492991452991451</v>
      </c>
    </row>
    <row r="275" spans="1:22" x14ac:dyDescent="0.4">
      <c r="A275">
        <v>61</v>
      </c>
      <c r="B275" s="4">
        <f>160*A275-320</f>
        <v>9440</v>
      </c>
      <c r="C275">
        <f t="shared" si="116"/>
        <v>655</v>
      </c>
      <c r="D275">
        <f t="shared" si="117"/>
        <v>35</v>
      </c>
      <c r="E275" s="2">
        <v>0</v>
      </c>
      <c r="F275">
        <f t="shared" si="118"/>
        <v>108</v>
      </c>
      <c r="G275">
        <f t="shared" si="119"/>
        <v>0.78700000000000003</v>
      </c>
      <c r="H275" s="3">
        <f t="shared" si="109"/>
        <v>0.05</v>
      </c>
      <c r="I275" s="2">
        <v>2</v>
      </c>
      <c r="J275" s="2">
        <v>0</v>
      </c>
      <c r="K275" s="2">
        <v>1</v>
      </c>
      <c r="L275" s="16">
        <f>2</f>
        <v>2</v>
      </c>
      <c r="M275" s="5">
        <f t="shared" si="120"/>
        <v>900</v>
      </c>
      <c r="N275" s="6">
        <f t="shared" si="121"/>
        <v>89.245800000000017</v>
      </c>
      <c r="O275">
        <f t="shared" si="122"/>
        <v>884.25000000000011</v>
      </c>
      <c r="P275" s="7">
        <f t="shared" si="110"/>
        <v>9.9080292854117502</v>
      </c>
      <c r="Q275">
        <f>ROUNDUP(몬스터!$P$23/F275, 0)</f>
        <v>13</v>
      </c>
      <c r="R275" s="6">
        <f t="shared" si="123"/>
        <v>16.518424396442185</v>
      </c>
      <c r="S275" s="7">
        <f>B275/몬스터!$C$23*R275</f>
        <v>247.51416873399083</v>
      </c>
      <c r="U275">
        <f>ROUNDDOWN(R275*몬스터!$H$23, 0)*몬스터!$G$23*(1+몬스터!$I$23)</f>
        <v>1422.7200000000003</v>
      </c>
      <c r="V275" s="2">
        <f t="shared" si="111"/>
        <v>1.6089567430025447</v>
      </c>
    </row>
    <row r="276" spans="1:22" x14ac:dyDescent="0.4">
      <c r="A276">
        <v>62</v>
      </c>
      <c r="B276" s="4">
        <f>160*A276</f>
        <v>9920</v>
      </c>
      <c r="C276">
        <f t="shared" si="116"/>
        <v>665</v>
      </c>
      <c r="D276">
        <f t="shared" si="117"/>
        <v>35</v>
      </c>
      <c r="E276" s="2">
        <v>0</v>
      </c>
      <c r="F276">
        <f t="shared" si="118"/>
        <v>109</v>
      </c>
      <c r="G276">
        <f t="shared" si="119"/>
        <v>0.78900000000000003</v>
      </c>
      <c r="H276" s="3">
        <f t="shared" si="109"/>
        <v>0.05</v>
      </c>
      <c r="I276" s="2">
        <v>2</v>
      </c>
      <c r="J276" s="2">
        <v>0</v>
      </c>
      <c r="K276" s="2">
        <v>1</v>
      </c>
      <c r="L276" s="16">
        <f>2</f>
        <v>2</v>
      </c>
      <c r="M276" s="5">
        <f t="shared" si="120"/>
        <v>910</v>
      </c>
      <c r="N276" s="6">
        <f t="shared" si="121"/>
        <v>90.301050000000004</v>
      </c>
      <c r="O276">
        <f t="shared" si="122"/>
        <v>897.75000000000011</v>
      </c>
      <c r="P276" s="7">
        <f t="shared" si="110"/>
        <v>9.941744863431822</v>
      </c>
      <c r="Q276">
        <f>ROUNDUP(몬스터!$P$23/F276, 0)</f>
        <v>13</v>
      </c>
      <c r="R276" s="6">
        <f t="shared" si="123"/>
        <v>16.476552598225602</v>
      </c>
      <c r="S276" s="7">
        <f>B276/몬스터!$C$23*R276</f>
        <v>259.44032027682215</v>
      </c>
      <c r="U276">
        <f>ROUNDDOWN(R276*몬스터!$H$23, 0)*몬스터!$G$23*(1+몬스터!$I$23)</f>
        <v>1422.7200000000003</v>
      </c>
      <c r="V276" s="2">
        <f t="shared" si="111"/>
        <v>1.5847619047619048</v>
      </c>
    </row>
    <row r="277" spans="1:22" x14ac:dyDescent="0.4">
      <c r="A277">
        <v>63</v>
      </c>
      <c r="B277" s="4">
        <f>160*A277</f>
        <v>10080</v>
      </c>
      <c r="C277">
        <f t="shared" si="116"/>
        <v>675</v>
      </c>
      <c r="D277">
        <f t="shared" si="117"/>
        <v>35</v>
      </c>
      <c r="E277" s="2">
        <v>0</v>
      </c>
      <c r="F277">
        <f t="shared" si="118"/>
        <v>111</v>
      </c>
      <c r="G277">
        <f t="shared" si="119"/>
        <v>0.79100000000000004</v>
      </c>
      <c r="H277" s="3">
        <f t="shared" si="109"/>
        <v>0.05</v>
      </c>
      <c r="I277" s="2">
        <v>2</v>
      </c>
      <c r="J277" s="2">
        <v>0</v>
      </c>
      <c r="K277" s="2">
        <v>1</v>
      </c>
      <c r="L277" s="16">
        <f>2</f>
        <v>2</v>
      </c>
      <c r="M277" s="5">
        <f t="shared" si="120"/>
        <v>920</v>
      </c>
      <c r="N277" s="6">
        <f t="shared" si="121"/>
        <v>92.191050000000004</v>
      </c>
      <c r="O277">
        <f t="shared" si="122"/>
        <v>911.25000000000011</v>
      </c>
      <c r="P277" s="7">
        <f t="shared" si="110"/>
        <v>9.8843651308885203</v>
      </c>
      <c r="Q277">
        <f>ROUNDUP(몬스터!$P$23/F277, 0)</f>
        <v>13</v>
      </c>
      <c r="R277" s="6">
        <f t="shared" si="123"/>
        <v>16.43489254108723</v>
      </c>
      <c r="S277" s="7">
        <f>B277/몬스터!$C$23*R277</f>
        <v>262.95828065739568</v>
      </c>
      <c r="U277">
        <f>ROUNDDOWN(R277*몬스터!$H$23, 0)*몬스터!$G$23*(1+몬스터!$I$23)</f>
        <v>1422.7200000000003</v>
      </c>
      <c r="V277" s="2">
        <f t="shared" si="111"/>
        <v>1.561283950617284</v>
      </c>
    </row>
    <row r="278" spans="1:22" x14ac:dyDescent="0.4">
      <c r="A278">
        <v>64</v>
      </c>
      <c r="B278" s="4">
        <f>160*A278</f>
        <v>10240</v>
      </c>
      <c r="C278">
        <f t="shared" si="116"/>
        <v>685</v>
      </c>
      <c r="D278">
        <f t="shared" si="117"/>
        <v>36</v>
      </c>
      <c r="E278" s="2">
        <v>0</v>
      </c>
      <c r="F278">
        <f t="shared" si="118"/>
        <v>112</v>
      </c>
      <c r="G278">
        <f t="shared" si="119"/>
        <v>0.79300000000000004</v>
      </c>
      <c r="H278" s="3">
        <f t="shared" si="109"/>
        <v>0.05</v>
      </c>
      <c r="I278" s="2">
        <v>2</v>
      </c>
      <c r="J278" s="2">
        <v>0</v>
      </c>
      <c r="K278" s="2">
        <v>1</v>
      </c>
      <c r="L278" s="16">
        <f>2</f>
        <v>2</v>
      </c>
      <c r="M278" s="5">
        <f t="shared" si="120"/>
        <v>930</v>
      </c>
      <c r="N278" s="6">
        <f t="shared" si="121"/>
        <v>93.256800000000013</v>
      </c>
      <c r="O278">
        <f t="shared" si="122"/>
        <v>931.59999999999991</v>
      </c>
      <c r="P278" s="7">
        <f t="shared" si="110"/>
        <v>9.9896200598776694</v>
      </c>
      <c r="Q278">
        <f>ROUNDUP(몬스터!$P$23/F278, 0)</f>
        <v>13</v>
      </c>
      <c r="R278" s="6">
        <f t="shared" si="123"/>
        <v>16.393442622950818</v>
      </c>
      <c r="S278" s="7">
        <f>B278/몬스터!$C$23*R278</f>
        <v>266.45849596669262</v>
      </c>
      <c r="U278">
        <f>ROUNDDOWN(R278*몬스터!$H$23, 0)*몬스터!$G$23*(1+몬스터!$I$23)</f>
        <v>1313.2800000000002</v>
      </c>
      <c r="V278" s="2">
        <f t="shared" si="111"/>
        <v>1.4097037355088025</v>
      </c>
    </row>
    <row r="279" spans="1:22" x14ac:dyDescent="0.4">
      <c r="A279">
        <v>65</v>
      </c>
      <c r="B279" s="4">
        <f>160*A279</f>
        <v>10400</v>
      </c>
      <c r="C279">
        <f t="shared" ref="C279:C314" si="130">MROUND((150+A279*11)*0.8,5)</f>
        <v>690</v>
      </c>
      <c r="D279">
        <f t="shared" ref="D279:D314" si="131">ROUNDDOWN((17+A279*0.3), 0)</f>
        <v>36</v>
      </c>
      <c r="E279" s="2">
        <v>0</v>
      </c>
      <c r="F279">
        <f t="shared" ref="F279:F314" si="132">ROUND((28+A279*2)*2/3*1.08, 0)</f>
        <v>114</v>
      </c>
      <c r="G279">
        <f t="shared" ref="G279:G314" si="133">0.665+0.002*A279</f>
        <v>0.79500000000000004</v>
      </c>
      <c r="H279" s="3">
        <f t="shared" si="109"/>
        <v>0.05</v>
      </c>
      <c r="I279" s="2">
        <v>2</v>
      </c>
      <c r="J279" s="2">
        <v>0</v>
      </c>
      <c r="K279" s="2">
        <v>1</v>
      </c>
      <c r="L279" s="16">
        <f>2</f>
        <v>2</v>
      </c>
      <c r="M279" s="5">
        <f t="shared" ref="M279:M314" si="134">290+10*A279</f>
        <v>940</v>
      </c>
      <c r="N279" s="6">
        <f t="shared" ref="N279:N314" si="135">F279*G279*(1+H279)</f>
        <v>95.161500000000018</v>
      </c>
      <c r="O279">
        <f t="shared" ref="O279:O314" si="136">C279*(1+D279/100)*(1+E279)</f>
        <v>938.39999999999986</v>
      </c>
      <c r="P279" s="7">
        <f t="shared" si="110"/>
        <v>9.8611308144575247</v>
      </c>
      <c r="Q279">
        <f>ROUNDUP(몬스터!$P$23/F279, 0)</f>
        <v>12</v>
      </c>
      <c r="R279" s="6">
        <f t="shared" ref="R279:R310" si="137">Q279/G279</f>
        <v>15.094339622641508</v>
      </c>
      <c r="S279" s="7">
        <f>B279/몬스터!$C$23*R279</f>
        <v>249.17640011979634</v>
      </c>
      <c r="T279" s="7">
        <f t="shared" ref="T279" si="138">SUM(S275:S279)</f>
        <v>1285.5476657546976</v>
      </c>
      <c r="U279">
        <f>ROUNDDOWN(R279*몬스터!$H$23, 0)*몬스터!$G$23*(1+몬스터!$I$23)</f>
        <v>1203.8400000000001</v>
      </c>
      <c r="V279" s="2">
        <f t="shared" si="111"/>
        <v>1.2828644501278776</v>
      </c>
    </row>
    <row r="280" spans="1:22" x14ac:dyDescent="0.4">
      <c r="A280">
        <v>66</v>
      </c>
      <c r="B280" s="4">
        <f>170*A280-680</f>
        <v>10540</v>
      </c>
      <c r="C280">
        <f t="shared" si="130"/>
        <v>700</v>
      </c>
      <c r="D280">
        <f t="shared" si="131"/>
        <v>36</v>
      </c>
      <c r="E280" s="2">
        <v>0</v>
      </c>
      <c r="F280">
        <f t="shared" si="132"/>
        <v>115</v>
      </c>
      <c r="G280">
        <f t="shared" si="133"/>
        <v>0.79700000000000004</v>
      </c>
      <c r="H280" s="3">
        <f t="shared" ref="H280:H314" si="139">0.05</f>
        <v>0.05</v>
      </c>
      <c r="I280" s="2">
        <v>2</v>
      </c>
      <c r="J280" s="2">
        <v>0</v>
      </c>
      <c r="K280" s="2">
        <v>1</v>
      </c>
      <c r="L280" s="16">
        <f>2</f>
        <v>2</v>
      </c>
      <c r="M280" s="5">
        <f t="shared" si="134"/>
        <v>950</v>
      </c>
      <c r="N280" s="6">
        <f t="shared" si="135"/>
        <v>96.237750000000005</v>
      </c>
      <c r="O280">
        <f t="shared" si="136"/>
        <v>951.99999999999989</v>
      </c>
      <c r="P280" s="7">
        <f t="shared" ref="P280:P314" si="140">O280/N280</f>
        <v>9.8921680941210681</v>
      </c>
      <c r="Q280">
        <f>ROUNDUP(몬스터!$P$24/F280, 0)</f>
        <v>14</v>
      </c>
      <c r="R280" s="6">
        <f t="shared" si="137"/>
        <v>17.565872020075282</v>
      </c>
      <c r="S280" s="7">
        <f>B280/몬스터!$C$24*R280</f>
        <v>272.27101631116687</v>
      </c>
      <c r="U280">
        <f>ROUNDDOWN(R280*몬스터!$H$24, 0)*몬스터!$G$24*(1+몬스터!$I$24)</f>
        <v>1654.6949999999999</v>
      </c>
      <c r="V280" s="2">
        <f t="shared" ref="V280:V314" si="141">U280/O280</f>
        <v>1.7381250000000001</v>
      </c>
    </row>
    <row r="281" spans="1:22" x14ac:dyDescent="0.4">
      <c r="A281">
        <v>67</v>
      </c>
      <c r="B281" s="4">
        <f>170*A281</f>
        <v>11390</v>
      </c>
      <c r="C281">
        <f t="shared" si="130"/>
        <v>710</v>
      </c>
      <c r="D281">
        <f t="shared" si="131"/>
        <v>37</v>
      </c>
      <c r="E281" s="2">
        <v>0</v>
      </c>
      <c r="F281">
        <f t="shared" si="132"/>
        <v>117</v>
      </c>
      <c r="G281">
        <f t="shared" si="133"/>
        <v>0.79900000000000004</v>
      </c>
      <c r="H281" s="3">
        <f t="shared" si="139"/>
        <v>0.05</v>
      </c>
      <c r="I281" s="2">
        <v>2</v>
      </c>
      <c r="J281" s="2">
        <v>0</v>
      </c>
      <c r="K281" s="2">
        <v>1</v>
      </c>
      <c r="L281" s="16">
        <f>2</f>
        <v>2</v>
      </c>
      <c r="M281" s="5">
        <f t="shared" si="134"/>
        <v>960</v>
      </c>
      <c r="N281" s="6">
        <f t="shared" si="135"/>
        <v>98.157150000000001</v>
      </c>
      <c r="O281">
        <f t="shared" si="136"/>
        <v>972.7</v>
      </c>
      <c r="P281" s="7">
        <f t="shared" si="140"/>
        <v>9.9096194215092837</v>
      </c>
      <c r="Q281">
        <f>ROUNDUP(몬스터!$P$24/F281, 0)</f>
        <v>13</v>
      </c>
      <c r="R281" s="6">
        <f t="shared" si="137"/>
        <v>16.270337922403002</v>
      </c>
      <c r="S281" s="7">
        <f>B281/몬스터!$C$24*R281</f>
        <v>272.52816020025028</v>
      </c>
      <c r="U281">
        <f>ROUNDDOWN(R281*몬스터!$H$24, 0)*몬스터!$G$24*(1+몬스터!$I$24)</f>
        <v>1536.5025000000001</v>
      </c>
      <c r="V281" s="2">
        <f t="shared" si="141"/>
        <v>1.5796262979335869</v>
      </c>
    </row>
    <row r="282" spans="1:22" x14ac:dyDescent="0.4">
      <c r="A282">
        <v>68</v>
      </c>
      <c r="B282" s="4">
        <f>170*A282</f>
        <v>11560</v>
      </c>
      <c r="C282">
        <f t="shared" si="130"/>
        <v>720</v>
      </c>
      <c r="D282">
        <f t="shared" si="131"/>
        <v>37</v>
      </c>
      <c r="E282" s="2">
        <v>0</v>
      </c>
      <c r="F282">
        <f t="shared" si="132"/>
        <v>118</v>
      </c>
      <c r="G282">
        <f t="shared" si="133"/>
        <v>0.80100000000000005</v>
      </c>
      <c r="H282" s="3">
        <f t="shared" si="139"/>
        <v>0.05</v>
      </c>
      <c r="I282" s="2">
        <v>2</v>
      </c>
      <c r="J282" s="2">
        <v>0</v>
      </c>
      <c r="K282" s="2">
        <v>1</v>
      </c>
      <c r="L282" s="16">
        <f>2</f>
        <v>2</v>
      </c>
      <c r="M282" s="5">
        <f t="shared" si="134"/>
        <v>970</v>
      </c>
      <c r="N282" s="6">
        <f t="shared" si="135"/>
        <v>99.243900000000011</v>
      </c>
      <c r="O282">
        <f t="shared" si="136"/>
        <v>986.40000000000009</v>
      </c>
      <c r="P282" s="7">
        <f t="shared" si="140"/>
        <v>9.9391499124883236</v>
      </c>
      <c r="Q282">
        <f>ROUNDUP(몬스터!$P$24/F282, 0)</f>
        <v>13</v>
      </c>
      <c r="R282" s="6">
        <f t="shared" si="137"/>
        <v>16.229712858926341</v>
      </c>
      <c r="S282" s="7">
        <f>B282/몬스터!$C$24*R282</f>
        <v>275.9051186017478</v>
      </c>
      <c r="U282">
        <f>ROUNDDOWN(R282*몬스터!$H$24, 0)*몬스터!$G$24*(1+몬스터!$I$24)</f>
        <v>1536.5025000000001</v>
      </c>
      <c r="V282" s="2">
        <f t="shared" si="141"/>
        <v>1.5576870437956203</v>
      </c>
    </row>
    <row r="283" spans="1:22" x14ac:dyDescent="0.4">
      <c r="A283">
        <v>69</v>
      </c>
      <c r="B283" s="4">
        <f>170*A283</f>
        <v>11730</v>
      </c>
      <c r="C283">
        <f t="shared" si="130"/>
        <v>725</v>
      </c>
      <c r="D283">
        <f t="shared" si="131"/>
        <v>37</v>
      </c>
      <c r="E283" s="2">
        <v>0</v>
      </c>
      <c r="F283">
        <f t="shared" si="132"/>
        <v>120</v>
      </c>
      <c r="G283">
        <f t="shared" si="133"/>
        <v>0.80300000000000005</v>
      </c>
      <c r="H283" s="3">
        <f t="shared" si="139"/>
        <v>0.05</v>
      </c>
      <c r="I283" s="2">
        <v>2</v>
      </c>
      <c r="J283" s="2">
        <v>0</v>
      </c>
      <c r="K283" s="2">
        <v>1</v>
      </c>
      <c r="L283" s="16">
        <f>2</f>
        <v>2</v>
      </c>
      <c r="M283" s="5">
        <f t="shared" si="134"/>
        <v>980</v>
      </c>
      <c r="N283" s="6">
        <f t="shared" si="135"/>
        <v>101.178</v>
      </c>
      <c r="O283">
        <f t="shared" si="136"/>
        <v>993.25000000000011</v>
      </c>
      <c r="P283" s="7">
        <f t="shared" si="140"/>
        <v>9.816857419597147</v>
      </c>
      <c r="Q283">
        <f>ROUNDUP(몬스터!$P$24/F283, 0)</f>
        <v>13</v>
      </c>
      <c r="R283" s="6">
        <f t="shared" si="137"/>
        <v>16.189290161892902</v>
      </c>
      <c r="S283" s="7">
        <f>B283/몬스터!$C$24*R283</f>
        <v>279.26525529265257</v>
      </c>
      <c r="U283">
        <f>ROUNDDOWN(R283*몬스터!$H$24, 0)*몬스터!$G$24*(1+몬스터!$I$24)</f>
        <v>1536.5025000000001</v>
      </c>
      <c r="V283" s="2">
        <f t="shared" si="141"/>
        <v>1.5469443745280642</v>
      </c>
    </row>
    <row r="284" spans="1:22" x14ac:dyDescent="0.4">
      <c r="A284">
        <v>70</v>
      </c>
      <c r="B284" s="4">
        <f>170*A284</f>
        <v>11900</v>
      </c>
      <c r="C284">
        <f t="shared" si="130"/>
        <v>735</v>
      </c>
      <c r="D284">
        <f t="shared" si="131"/>
        <v>38</v>
      </c>
      <c r="E284" s="2">
        <v>0</v>
      </c>
      <c r="F284">
        <f t="shared" si="132"/>
        <v>121</v>
      </c>
      <c r="G284">
        <f t="shared" si="133"/>
        <v>0.80500000000000005</v>
      </c>
      <c r="H284" s="3">
        <f t="shared" si="139"/>
        <v>0.05</v>
      </c>
      <c r="I284" s="2">
        <v>2</v>
      </c>
      <c r="J284" s="2">
        <v>0</v>
      </c>
      <c r="K284" s="2">
        <v>1</v>
      </c>
      <c r="L284" s="16">
        <f>2</f>
        <v>2</v>
      </c>
      <c r="M284" s="5">
        <f t="shared" si="134"/>
        <v>990</v>
      </c>
      <c r="N284" s="6">
        <f t="shared" si="135"/>
        <v>102.27525</v>
      </c>
      <c r="O284">
        <f t="shared" si="136"/>
        <v>1014.3</v>
      </c>
      <c r="P284" s="7">
        <f t="shared" si="140"/>
        <v>9.9173553719008254</v>
      </c>
      <c r="Q284">
        <f>ROUNDUP(몬스터!$P$24/F284, 0)</f>
        <v>13</v>
      </c>
      <c r="R284" s="6">
        <f t="shared" si="137"/>
        <v>16.149068322981364</v>
      </c>
      <c r="S284" s="7">
        <f>B284/몬스터!$C$24*R284</f>
        <v>282.60869565217388</v>
      </c>
      <c r="T284" s="7">
        <f t="shared" ref="T284" si="142">SUM(S280:S284)</f>
        <v>1382.5782460579917</v>
      </c>
      <c r="U284">
        <f>ROUNDDOWN(R284*몬스터!$H$24, 0)*몬스터!$G$24*(1+몬스터!$I$24)</f>
        <v>1536.5025000000001</v>
      </c>
      <c r="V284" s="2">
        <f t="shared" si="141"/>
        <v>1.5148402839396629</v>
      </c>
    </row>
    <row r="285" spans="1:22" x14ac:dyDescent="0.4">
      <c r="A285">
        <v>71</v>
      </c>
      <c r="B285" s="4">
        <f>160*A285</f>
        <v>11360</v>
      </c>
      <c r="C285">
        <f t="shared" si="130"/>
        <v>745</v>
      </c>
      <c r="D285">
        <f t="shared" si="131"/>
        <v>38</v>
      </c>
      <c r="E285" s="2">
        <v>0</v>
      </c>
      <c r="F285">
        <f t="shared" si="132"/>
        <v>122</v>
      </c>
      <c r="G285">
        <f t="shared" si="133"/>
        <v>0.80700000000000005</v>
      </c>
      <c r="H285" s="3">
        <f t="shared" si="139"/>
        <v>0.05</v>
      </c>
      <c r="I285" s="2">
        <v>2</v>
      </c>
      <c r="J285" s="2">
        <v>0</v>
      </c>
      <c r="K285" s="2">
        <v>1</v>
      </c>
      <c r="L285" s="16">
        <f>2</f>
        <v>2</v>
      </c>
      <c r="M285" s="5">
        <f t="shared" si="134"/>
        <v>1000</v>
      </c>
      <c r="N285" s="6">
        <f t="shared" si="135"/>
        <v>103.37670000000001</v>
      </c>
      <c r="O285">
        <f t="shared" si="136"/>
        <v>1028.0999999999999</v>
      </c>
      <c r="P285" s="7">
        <f t="shared" si="140"/>
        <v>9.9451810707828727</v>
      </c>
      <c r="Q285">
        <f>ROUNDUP(몬스터!$P$25/F285, 0)</f>
        <v>14</v>
      </c>
      <c r="R285" s="6">
        <f t="shared" si="137"/>
        <v>17.348203221809168</v>
      </c>
      <c r="S285" s="7">
        <f>B285/몬스터!$C$25*R285</f>
        <v>269.96655972568789</v>
      </c>
      <c r="U285">
        <f>ROUNDDOWN(R285*몬스터!$H$25, 0)*몬스터!$G$25*(1+몬스터!$I$25)</f>
        <v>1794.8700000000001</v>
      </c>
      <c r="V285" s="2">
        <f t="shared" si="141"/>
        <v>1.7458126641377301</v>
      </c>
    </row>
    <row r="286" spans="1:22" x14ac:dyDescent="0.4">
      <c r="A286">
        <v>72</v>
      </c>
      <c r="B286" s="4">
        <f>160*A286</f>
        <v>11520</v>
      </c>
      <c r="C286">
        <f t="shared" si="130"/>
        <v>755</v>
      </c>
      <c r="D286">
        <f t="shared" si="131"/>
        <v>38</v>
      </c>
      <c r="E286" s="2">
        <v>0</v>
      </c>
      <c r="F286">
        <f t="shared" si="132"/>
        <v>124</v>
      </c>
      <c r="G286">
        <f t="shared" si="133"/>
        <v>0.80900000000000005</v>
      </c>
      <c r="H286" s="3">
        <f t="shared" si="139"/>
        <v>0.05</v>
      </c>
      <c r="I286" s="2">
        <v>2</v>
      </c>
      <c r="J286" s="2">
        <v>0</v>
      </c>
      <c r="K286" s="2">
        <v>1</v>
      </c>
      <c r="L286" s="16">
        <f>2</f>
        <v>2</v>
      </c>
      <c r="M286" s="5">
        <f t="shared" si="134"/>
        <v>1010</v>
      </c>
      <c r="N286" s="6">
        <f t="shared" si="135"/>
        <v>105.3318</v>
      </c>
      <c r="O286">
        <f t="shared" si="136"/>
        <v>1041.8999999999999</v>
      </c>
      <c r="P286" s="7">
        <f t="shared" si="140"/>
        <v>9.8915996878435557</v>
      </c>
      <c r="Q286">
        <f>ROUNDUP(몬스터!$P$25/F286, 0)</f>
        <v>14</v>
      </c>
      <c r="R286" s="6">
        <f t="shared" si="137"/>
        <v>17.305315203955498</v>
      </c>
      <c r="S286" s="7">
        <f>B286/몬스터!$C$25*R286</f>
        <v>273.09209746516075</v>
      </c>
      <c r="U286">
        <f>ROUNDDOWN(R286*몬스터!$H$25, 0)*몬스터!$G$25*(1+몬스터!$I$25)</f>
        <v>1794.8700000000001</v>
      </c>
      <c r="V286" s="2">
        <f t="shared" si="141"/>
        <v>1.7226893175928595</v>
      </c>
    </row>
    <row r="287" spans="1:22" x14ac:dyDescent="0.4">
      <c r="A287">
        <v>73</v>
      </c>
      <c r="B287" s="4">
        <f>160*A287</f>
        <v>11680</v>
      </c>
      <c r="C287">
        <f t="shared" si="130"/>
        <v>760</v>
      </c>
      <c r="D287">
        <f t="shared" si="131"/>
        <v>38</v>
      </c>
      <c r="E287" s="2">
        <v>0</v>
      </c>
      <c r="F287">
        <f t="shared" si="132"/>
        <v>125</v>
      </c>
      <c r="G287">
        <f t="shared" si="133"/>
        <v>0.81100000000000005</v>
      </c>
      <c r="H287" s="3">
        <f t="shared" si="139"/>
        <v>0.05</v>
      </c>
      <c r="I287" s="2">
        <v>2</v>
      </c>
      <c r="J287" s="2">
        <v>0</v>
      </c>
      <c r="K287" s="2">
        <v>1</v>
      </c>
      <c r="L287" s="16">
        <f>2</f>
        <v>2</v>
      </c>
      <c r="M287" s="5">
        <f t="shared" si="134"/>
        <v>1020</v>
      </c>
      <c r="N287" s="6">
        <f t="shared" si="135"/>
        <v>106.44375000000001</v>
      </c>
      <c r="O287">
        <f t="shared" si="136"/>
        <v>1048.8</v>
      </c>
      <c r="P287" s="7">
        <f t="shared" si="140"/>
        <v>9.8530914215254519</v>
      </c>
      <c r="Q287">
        <f>ROUNDUP(몬스터!$P$25/F287, 0)</f>
        <v>14</v>
      </c>
      <c r="R287" s="6">
        <f t="shared" si="137"/>
        <v>17.262638717632552</v>
      </c>
      <c r="S287" s="7">
        <f>B287/몬스터!$C$25*R287</f>
        <v>276.20221948212082</v>
      </c>
      <c r="U287">
        <f>ROUNDDOWN(R287*몬스터!$H$25, 0)*몬스터!$G$25*(1+몬스터!$I$25)</f>
        <v>1794.8700000000001</v>
      </c>
      <c r="V287" s="2">
        <f t="shared" si="141"/>
        <v>1.7113558352402747</v>
      </c>
    </row>
    <row r="288" spans="1:22" x14ac:dyDescent="0.4">
      <c r="A288">
        <v>74</v>
      </c>
      <c r="B288" s="4">
        <f>160*A288</f>
        <v>11840</v>
      </c>
      <c r="C288">
        <f t="shared" si="130"/>
        <v>770</v>
      </c>
      <c r="D288">
        <f t="shared" si="131"/>
        <v>39</v>
      </c>
      <c r="E288" s="2">
        <v>0</v>
      </c>
      <c r="F288">
        <f t="shared" si="132"/>
        <v>127</v>
      </c>
      <c r="G288">
        <f t="shared" si="133"/>
        <v>0.81300000000000006</v>
      </c>
      <c r="H288" s="3">
        <f t="shared" si="139"/>
        <v>0.05</v>
      </c>
      <c r="I288" s="2">
        <v>2</v>
      </c>
      <c r="J288" s="2">
        <v>0</v>
      </c>
      <c r="K288" s="2">
        <v>1</v>
      </c>
      <c r="L288" s="16">
        <f>2</f>
        <v>2</v>
      </c>
      <c r="M288" s="5">
        <f t="shared" si="134"/>
        <v>1030</v>
      </c>
      <c r="N288" s="6">
        <f t="shared" si="135"/>
        <v>108.41355000000001</v>
      </c>
      <c r="O288">
        <f t="shared" si="136"/>
        <v>1070.3000000000002</v>
      </c>
      <c r="P288" s="7">
        <f t="shared" si="140"/>
        <v>9.8723821883888139</v>
      </c>
      <c r="Q288">
        <f>ROUNDUP(몬스터!$P$25/F288, 0)</f>
        <v>13</v>
      </c>
      <c r="R288" s="6">
        <f t="shared" si="137"/>
        <v>15.990159901599014</v>
      </c>
      <c r="S288" s="7">
        <f>B288/몬스터!$C$25*R288</f>
        <v>259.34725100675661</v>
      </c>
      <c r="U288">
        <f>ROUNDDOWN(R288*몬스터!$H$25, 0)*몬스터!$G$25*(1+몬스터!$I$25)</f>
        <v>1666.665</v>
      </c>
      <c r="V288" s="2">
        <f t="shared" si="141"/>
        <v>1.5571942446043163</v>
      </c>
    </row>
    <row r="289" spans="1:22" x14ac:dyDescent="0.4">
      <c r="A289">
        <v>75</v>
      </c>
      <c r="B289" s="4">
        <f>160*A289</f>
        <v>12000</v>
      </c>
      <c r="C289">
        <f t="shared" si="130"/>
        <v>780</v>
      </c>
      <c r="D289">
        <f t="shared" si="131"/>
        <v>39</v>
      </c>
      <c r="E289" s="2">
        <v>0</v>
      </c>
      <c r="F289">
        <f t="shared" si="132"/>
        <v>128</v>
      </c>
      <c r="G289">
        <f t="shared" si="133"/>
        <v>0.81500000000000006</v>
      </c>
      <c r="H289" s="3">
        <f t="shared" si="139"/>
        <v>0.05</v>
      </c>
      <c r="I289" s="2">
        <v>2</v>
      </c>
      <c r="J289" s="2">
        <v>0</v>
      </c>
      <c r="K289" s="2">
        <v>1</v>
      </c>
      <c r="L289" s="16">
        <f>2</f>
        <v>2</v>
      </c>
      <c r="M289" s="5">
        <f t="shared" si="134"/>
        <v>1040</v>
      </c>
      <c r="N289" s="6">
        <f t="shared" si="135"/>
        <v>109.53600000000002</v>
      </c>
      <c r="O289">
        <f t="shared" si="136"/>
        <v>1084.2</v>
      </c>
      <c r="P289" s="7">
        <f t="shared" si="140"/>
        <v>9.8981156879929877</v>
      </c>
      <c r="Q289">
        <f>ROUNDUP(몬스터!$P$25/F289, 0)</f>
        <v>13</v>
      </c>
      <c r="R289" s="6">
        <f t="shared" si="137"/>
        <v>15.950920245398772</v>
      </c>
      <c r="S289" s="7">
        <f>B289/몬스터!$C$25*R289</f>
        <v>262.20690814354145</v>
      </c>
      <c r="T289" s="7">
        <f t="shared" ref="T289" si="143">SUM(S285:S289)</f>
        <v>1340.8150358232674</v>
      </c>
      <c r="U289">
        <f>ROUNDDOWN(R289*몬스터!$H$25, 0)*몬스터!$G$25*(1+몬스터!$I$25)</f>
        <v>1666.665</v>
      </c>
      <c r="V289" s="2">
        <f t="shared" si="141"/>
        <v>1.5372302158273381</v>
      </c>
    </row>
    <row r="290" spans="1:22" x14ac:dyDescent="0.4">
      <c r="A290">
        <v>76</v>
      </c>
      <c r="B290" s="4">
        <f>170*A290</f>
        <v>12920</v>
      </c>
      <c r="C290">
        <f t="shared" si="130"/>
        <v>790</v>
      </c>
      <c r="D290">
        <f t="shared" si="131"/>
        <v>39</v>
      </c>
      <c r="E290" s="2">
        <v>0</v>
      </c>
      <c r="F290">
        <f t="shared" si="132"/>
        <v>130</v>
      </c>
      <c r="G290">
        <f t="shared" si="133"/>
        <v>0.81700000000000006</v>
      </c>
      <c r="H290" s="3">
        <f t="shared" si="139"/>
        <v>0.05</v>
      </c>
      <c r="I290" s="2">
        <v>2</v>
      </c>
      <c r="J290" s="2">
        <v>0</v>
      </c>
      <c r="K290" s="2">
        <v>1</v>
      </c>
      <c r="L290" s="16">
        <f>2</f>
        <v>2</v>
      </c>
      <c r="M290" s="5">
        <f t="shared" si="134"/>
        <v>1050</v>
      </c>
      <c r="N290" s="6">
        <f t="shared" si="135"/>
        <v>111.52050000000001</v>
      </c>
      <c r="O290">
        <f t="shared" si="136"/>
        <v>1098.1000000000001</v>
      </c>
      <c r="P290" s="7">
        <f t="shared" si="140"/>
        <v>9.8466201281378769</v>
      </c>
      <c r="Q290">
        <f>ROUNDUP(몬스터!$P$26/F290, 0)</f>
        <v>14</v>
      </c>
      <c r="R290" s="6">
        <f t="shared" si="137"/>
        <v>17.135862913096695</v>
      </c>
      <c r="S290" s="7">
        <f>B290/몬스터!$C$26*R290</f>
        <v>283.84019081693503</v>
      </c>
      <c r="U290">
        <f>ROUNDDOWN(R290*몬스터!$H$26, 0)*몬스터!$G$26*(1+몬스터!$I$26)</f>
        <v>1920.45</v>
      </c>
      <c r="V290" s="2">
        <f t="shared" si="141"/>
        <v>1.7488844367543939</v>
      </c>
    </row>
    <row r="291" spans="1:22" x14ac:dyDescent="0.4">
      <c r="A291">
        <v>77</v>
      </c>
      <c r="B291" s="4">
        <f>170*A291</f>
        <v>13090</v>
      </c>
      <c r="C291">
        <f t="shared" si="130"/>
        <v>800</v>
      </c>
      <c r="D291">
        <f t="shared" si="131"/>
        <v>40</v>
      </c>
      <c r="E291" s="2">
        <v>0</v>
      </c>
      <c r="F291">
        <f t="shared" si="132"/>
        <v>131</v>
      </c>
      <c r="G291">
        <f t="shared" si="133"/>
        <v>0.81900000000000006</v>
      </c>
      <c r="H291" s="3">
        <f t="shared" si="139"/>
        <v>0.05</v>
      </c>
      <c r="I291" s="2">
        <v>2</v>
      </c>
      <c r="J291" s="2">
        <v>0</v>
      </c>
      <c r="K291" s="2">
        <v>1</v>
      </c>
      <c r="L291" s="16">
        <f>2</f>
        <v>2</v>
      </c>
      <c r="M291" s="5">
        <f t="shared" si="134"/>
        <v>1060</v>
      </c>
      <c r="N291" s="6">
        <f t="shared" si="135"/>
        <v>112.65345000000001</v>
      </c>
      <c r="O291">
        <f t="shared" si="136"/>
        <v>1120</v>
      </c>
      <c r="P291" s="7">
        <f t="shared" si="140"/>
        <v>9.9419946748191013</v>
      </c>
      <c r="Q291">
        <f>ROUNDUP(몬스터!$P$26/F291, 0)</f>
        <v>14</v>
      </c>
      <c r="R291" s="6">
        <f t="shared" si="137"/>
        <v>17.094017094017094</v>
      </c>
      <c r="S291" s="7">
        <f>B291/몬스터!$C$26*R291</f>
        <v>286.87267148805608</v>
      </c>
      <c r="U291">
        <f>ROUNDDOWN(R291*몬스터!$H$26, 0)*몬스터!$G$26*(1+몬스터!$I$26)</f>
        <v>1920.45</v>
      </c>
      <c r="V291" s="2">
        <f t="shared" si="141"/>
        <v>1.7146875000000001</v>
      </c>
    </row>
    <row r="292" spans="1:22" x14ac:dyDescent="0.4">
      <c r="A292">
        <v>78</v>
      </c>
      <c r="B292" s="4">
        <f>170*A292</f>
        <v>13260</v>
      </c>
      <c r="C292">
        <f t="shared" si="130"/>
        <v>805</v>
      </c>
      <c r="D292">
        <f t="shared" si="131"/>
        <v>40</v>
      </c>
      <c r="E292" s="2">
        <v>0</v>
      </c>
      <c r="F292">
        <f t="shared" si="132"/>
        <v>132</v>
      </c>
      <c r="G292">
        <f t="shared" si="133"/>
        <v>0.82100000000000006</v>
      </c>
      <c r="H292" s="3">
        <f t="shared" si="139"/>
        <v>0.05</v>
      </c>
      <c r="I292" s="2">
        <v>2</v>
      </c>
      <c r="J292" s="2">
        <v>0</v>
      </c>
      <c r="K292" s="2">
        <v>1</v>
      </c>
      <c r="L292" s="16">
        <f>2</f>
        <v>2</v>
      </c>
      <c r="M292" s="5">
        <f t="shared" si="134"/>
        <v>1070</v>
      </c>
      <c r="N292" s="6">
        <f t="shared" si="135"/>
        <v>113.79060000000003</v>
      </c>
      <c r="O292">
        <f t="shared" si="136"/>
        <v>1127</v>
      </c>
      <c r="P292" s="7">
        <f t="shared" si="140"/>
        <v>9.9041572853996698</v>
      </c>
      <c r="Q292">
        <f>ROUNDUP(몬스터!$P$26/F292, 0)</f>
        <v>14</v>
      </c>
      <c r="R292" s="6">
        <f t="shared" si="137"/>
        <v>17.052375152253347</v>
      </c>
      <c r="S292" s="7">
        <f>B292/몬스터!$C$26*R292</f>
        <v>289.89037758830693</v>
      </c>
      <c r="U292">
        <f>ROUNDDOWN(R292*몬스터!$H$26, 0)*몬스터!$G$26*(1+몬스터!$I$26)</f>
        <v>1920.45</v>
      </c>
      <c r="V292" s="2">
        <f t="shared" si="141"/>
        <v>1.7040372670807453</v>
      </c>
    </row>
    <row r="293" spans="1:22" x14ac:dyDescent="0.4">
      <c r="A293">
        <v>79</v>
      </c>
      <c r="B293" s="4">
        <f>170*A293</f>
        <v>13430</v>
      </c>
      <c r="C293">
        <f t="shared" si="130"/>
        <v>815</v>
      </c>
      <c r="D293">
        <f t="shared" si="131"/>
        <v>40</v>
      </c>
      <c r="E293" s="2">
        <v>0</v>
      </c>
      <c r="F293">
        <f t="shared" si="132"/>
        <v>134</v>
      </c>
      <c r="G293">
        <f t="shared" si="133"/>
        <v>0.82300000000000006</v>
      </c>
      <c r="H293" s="3">
        <f t="shared" si="139"/>
        <v>0.05</v>
      </c>
      <c r="I293" s="2">
        <v>2</v>
      </c>
      <c r="J293" s="2">
        <v>0</v>
      </c>
      <c r="K293" s="2">
        <v>1</v>
      </c>
      <c r="L293" s="16">
        <f>2</f>
        <v>2</v>
      </c>
      <c r="M293" s="5">
        <f t="shared" si="134"/>
        <v>1080</v>
      </c>
      <c r="N293" s="6">
        <f t="shared" si="135"/>
        <v>115.79610000000001</v>
      </c>
      <c r="O293">
        <f t="shared" si="136"/>
        <v>1141</v>
      </c>
      <c r="P293" s="7">
        <f t="shared" si="140"/>
        <v>9.8535270186128887</v>
      </c>
      <c r="Q293">
        <f>ROUNDUP(몬스터!$P$26/F293, 0)</f>
        <v>14</v>
      </c>
      <c r="R293" s="6">
        <f t="shared" si="137"/>
        <v>17.01093560145808</v>
      </c>
      <c r="S293" s="7">
        <f>B293/몬스터!$C$26*R293</f>
        <v>292.89341683023338</v>
      </c>
      <c r="U293">
        <f>ROUNDDOWN(R293*몬스터!$H$26, 0)*몬스터!$G$26*(1+몬스터!$I$26)</f>
        <v>1920.45</v>
      </c>
      <c r="V293" s="2">
        <f t="shared" si="141"/>
        <v>1.6831288343558282</v>
      </c>
    </row>
    <row r="294" spans="1:22" x14ac:dyDescent="0.4">
      <c r="A294">
        <v>80</v>
      </c>
      <c r="B294" s="4">
        <f>170*A294</f>
        <v>13600</v>
      </c>
      <c r="C294">
        <f t="shared" si="130"/>
        <v>825</v>
      </c>
      <c r="D294">
        <f t="shared" si="131"/>
        <v>41</v>
      </c>
      <c r="E294" s="2">
        <v>0</v>
      </c>
      <c r="F294">
        <f t="shared" si="132"/>
        <v>135</v>
      </c>
      <c r="G294">
        <f t="shared" si="133"/>
        <v>0.82500000000000007</v>
      </c>
      <c r="H294" s="3">
        <f t="shared" si="139"/>
        <v>0.05</v>
      </c>
      <c r="I294" s="2">
        <v>2</v>
      </c>
      <c r="J294" s="2">
        <v>0</v>
      </c>
      <c r="K294" s="2">
        <v>1</v>
      </c>
      <c r="L294" s="16">
        <f>2</f>
        <v>2</v>
      </c>
      <c r="M294" s="5">
        <f t="shared" si="134"/>
        <v>1090</v>
      </c>
      <c r="N294" s="6">
        <f t="shared" si="135"/>
        <v>116.94375000000002</v>
      </c>
      <c r="O294">
        <f t="shared" si="136"/>
        <v>1163.25</v>
      </c>
      <c r="P294" s="7">
        <f t="shared" si="140"/>
        <v>9.9470899470899443</v>
      </c>
      <c r="Q294">
        <f>ROUNDUP(몬스터!$P$26/F294, 0)</f>
        <v>14</v>
      </c>
      <c r="R294" s="6">
        <f t="shared" si="137"/>
        <v>16.969696969696969</v>
      </c>
      <c r="S294" s="7">
        <f>B294/몬스터!$C$26*R294</f>
        <v>295.88189588189584</v>
      </c>
      <c r="T294" s="7">
        <f t="shared" ref="T294" si="144">SUM(S290:S294)</f>
        <v>1449.3785526054273</v>
      </c>
      <c r="U294">
        <f>ROUNDDOWN(R294*몬스터!$H$26, 0)*몬스터!$G$26*(1+몬스터!$I$26)</f>
        <v>1920.45</v>
      </c>
      <c r="V294" s="2">
        <f t="shared" si="141"/>
        <v>1.6509348807221147</v>
      </c>
    </row>
    <row r="295" spans="1:22" x14ac:dyDescent="0.4">
      <c r="A295">
        <v>81</v>
      </c>
      <c r="B295" s="4">
        <f>160*A295</f>
        <v>12960</v>
      </c>
      <c r="C295">
        <f t="shared" si="130"/>
        <v>835</v>
      </c>
      <c r="D295">
        <f t="shared" si="131"/>
        <v>41</v>
      </c>
      <c r="E295" s="2">
        <v>0</v>
      </c>
      <c r="F295">
        <f t="shared" si="132"/>
        <v>137</v>
      </c>
      <c r="G295">
        <f t="shared" si="133"/>
        <v>0.82700000000000007</v>
      </c>
      <c r="H295" s="3">
        <f t="shared" si="139"/>
        <v>0.05</v>
      </c>
      <c r="I295" s="2">
        <v>2</v>
      </c>
      <c r="J295" s="2">
        <v>0</v>
      </c>
      <c r="K295" s="2">
        <v>1</v>
      </c>
      <c r="L295" s="16">
        <f>2</f>
        <v>2</v>
      </c>
      <c r="M295" s="5">
        <f t="shared" si="134"/>
        <v>1100</v>
      </c>
      <c r="N295" s="6">
        <f t="shared" si="135"/>
        <v>118.96395000000001</v>
      </c>
      <c r="O295">
        <f t="shared" si="136"/>
        <v>1177.3499999999999</v>
      </c>
      <c r="P295" s="7">
        <f t="shared" si="140"/>
        <v>9.8966955955984961</v>
      </c>
      <c r="Q295">
        <f>ROUNDUP(몬스터!$P$29/F295, 0)</f>
        <v>15</v>
      </c>
      <c r="R295" s="6">
        <f t="shared" si="137"/>
        <v>18.137847642079805</v>
      </c>
      <c r="S295" s="7">
        <f>B295/몬스터!$C$29*R295</f>
        <v>283.2126571582582</v>
      </c>
      <c r="U295">
        <f>ROUNDDOWN(R295*몬스터!$H$29, 0)*몬스터!$G$29*(1+몬스터!$I$29)</f>
        <v>2211.2999999999997</v>
      </c>
      <c r="V295" s="2">
        <f t="shared" si="141"/>
        <v>1.8782010447190725</v>
      </c>
    </row>
    <row r="296" spans="1:22" x14ac:dyDescent="0.4">
      <c r="A296">
        <v>82</v>
      </c>
      <c r="B296" s="4">
        <f>160*A296</f>
        <v>13120</v>
      </c>
      <c r="C296">
        <f t="shared" si="130"/>
        <v>840</v>
      </c>
      <c r="D296">
        <f t="shared" si="131"/>
        <v>41</v>
      </c>
      <c r="E296" s="2">
        <v>0</v>
      </c>
      <c r="F296">
        <f t="shared" si="132"/>
        <v>138</v>
      </c>
      <c r="G296">
        <f t="shared" si="133"/>
        <v>0.82900000000000007</v>
      </c>
      <c r="H296" s="3">
        <f t="shared" si="139"/>
        <v>0.05</v>
      </c>
      <c r="I296" s="2">
        <v>2</v>
      </c>
      <c r="J296" s="2">
        <v>0</v>
      </c>
      <c r="K296" s="2">
        <v>1</v>
      </c>
      <c r="L296" s="16">
        <f>2</f>
        <v>2</v>
      </c>
      <c r="M296" s="5">
        <f t="shared" si="134"/>
        <v>1110</v>
      </c>
      <c r="N296" s="6">
        <f t="shared" si="135"/>
        <v>120.12210000000002</v>
      </c>
      <c r="O296">
        <f t="shared" si="136"/>
        <v>1184.3999999999999</v>
      </c>
      <c r="P296" s="7">
        <f t="shared" si="140"/>
        <v>9.8599674830859581</v>
      </c>
      <c r="Q296">
        <f>ROUNDUP(몬스터!$P$29/F296, 0)</f>
        <v>15</v>
      </c>
      <c r="R296" s="6">
        <f t="shared" si="137"/>
        <v>18.0940892641737</v>
      </c>
      <c r="S296" s="7">
        <f>B296/몬스터!$C$29*R296</f>
        <v>286.01741101922761</v>
      </c>
      <c r="U296">
        <f>ROUNDDOWN(R296*몬스터!$H$29, 0)*몬스터!$G$29*(1+몬스터!$I$29)</f>
        <v>2211.2999999999997</v>
      </c>
      <c r="V296" s="2">
        <f t="shared" si="141"/>
        <v>1.8670212765957446</v>
      </c>
    </row>
    <row r="297" spans="1:22" x14ac:dyDescent="0.4">
      <c r="A297">
        <v>83</v>
      </c>
      <c r="B297" s="4">
        <f>160*A297</f>
        <v>13280</v>
      </c>
      <c r="C297">
        <f t="shared" si="130"/>
        <v>850</v>
      </c>
      <c r="D297">
        <f t="shared" si="131"/>
        <v>41</v>
      </c>
      <c r="E297" s="2">
        <v>0</v>
      </c>
      <c r="F297">
        <f t="shared" si="132"/>
        <v>140</v>
      </c>
      <c r="G297">
        <f t="shared" si="133"/>
        <v>0.83100000000000007</v>
      </c>
      <c r="H297" s="3">
        <f t="shared" si="139"/>
        <v>0.05</v>
      </c>
      <c r="I297" s="2">
        <v>2</v>
      </c>
      <c r="J297" s="2">
        <v>0</v>
      </c>
      <c r="K297" s="2">
        <v>1</v>
      </c>
      <c r="L297" s="16">
        <f>2</f>
        <v>2</v>
      </c>
      <c r="M297" s="5">
        <f t="shared" si="134"/>
        <v>1120</v>
      </c>
      <c r="N297" s="6">
        <f t="shared" si="135"/>
        <v>122.15700000000001</v>
      </c>
      <c r="O297">
        <f t="shared" si="136"/>
        <v>1198.5</v>
      </c>
      <c r="P297" s="7">
        <f t="shared" si="140"/>
        <v>9.8111446744762887</v>
      </c>
      <c r="Q297">
        <f>ROUNDUP(몬스터!$P$29/F297, 0)</f>
        <v>15</v>
      </c>
      <c r="R297" s="6">
        <f t="shared" si="137"/>
        <v>18.050541516245485</v>
      </c>
      <c r="S297" s="7">
        <f>B297/몬스터!$C$29*R297</f>
        <v>288.80866425992775</v>
      </c>
      <c r="U297">
        <f>ROUNDDOWN(R297*몬스터!$H$29, 0)*몬스터!$G$29*(1+몬스터!$I$29)</f>
        <v>2211.2999999999997</v>
      </c>
      <c r="V297" s="2">
        <f t="shared" si="141"/>
        <v>1.8450563204005004</v>
      </c>
    </row>
    <row r="298" spans="1:22" x14ac:dyDescent="0.4">
      <c r="A298">
        <v>84</v>
      </c>
      <c r="B298" s="4">
        <f>160*A298</f>
        <v>13440</v>
      </c>
      <c r="C298">
        <f t="shared" si="130"/>
        <v>860</v>
      </c>
      <c r="D298">
        <f t="shared" si="131"/>
        <v>42</v>
      </c>
      <c r="E298" s="2">
        <v>0</v>
      </c>
      <c r="F298">
        <f t="shared" si="132"/>
        <v>141</v>
      </c>
      <c r="G298">
        <f t="shared" si="133"/>
        <v>0.83300000000000007</v>
      </c>
      <c r="H298" s="3">
        <f t="shared" si="139"/>
        <v>0.05</v>
      </c>
      <c r="I298" s="2">
        <v>2</v>
      </c>
      <c r="J298" s="2">
        <v>0</v>
      </c>
      <c r="K298" s="2">
        <v>1</v>
      </c>
      <c r="L298" s="16">
        <f>2</f>
        <v>2</v>
      </c>
      <c r="M298" s="5">
        <f t="shared" si="134"/>
        <v>1130</v>
      </c>
      <c r="N298" s="6">
        <f t="shared" si="135"/>
        <v>123.32565000000002</v>
      </c>
      <c r="O298">
        <f t="shared" si="136"/>
        <v>1221.2</v>
      </c>
      <c r="P298" s="7">
        <f t="shared" si="140"/>
        <v>9.9022385043176318</v>
      </c>
      <c r="Q298">
        <f>ROUNDUP(몬스터!$P$29/F298, 0)</f>
        <v>14</v>
      </c>
      <c r="R298" s="6">
        <f t="shared" si="137"/>
        <v>16.806722689075627</v>
      </c>
      <c r="S298" s="7">
        <f>B298/몬스터!$C$29*R298</f>
        <v>272.14741318214027</v>
      </c>
      <c r="U298">
        <f>ROUNDDOWN(R298*몬스터!$H$29, 0)*몬스터!$G$29*(1+몬스터!$I$29)</f>
        <v>2063.8799999999997</v>
      </c>
      <c r="V298" s="2">
        <f t="shared" si="141"/>
        <v>1.6900425810678019</v>
      </c>
    </row>
    <row r="299" spans="1:22" x14ac:dyDescent="0.4">
      <c r="A299">
        <v>85</v>
      </c>
      <c r="B299" s="4">
        <f>160*A299</f>
        <v>13600</v>
      </c>
      <c r="C299">
        <f t="shared" si="130"/>
        <v>870</v>
      </c>
      <c r="D299">
        <f t="shared" si="131"/>
        <v>42</v>
      </c>
      <c r="E299" s="2">
        <v>0</v>
      </c>
      <c r="F299">
        <f t="shared" si="132"/>
        <v>143</v>
      </c>
      <c r="G299">
        <f t="shared" si="133"/>
        <v>0.83500000000000008</v>
      </c>
      <c r="H299" s="3">
        <f t="shared" si="139"/>
        <v>0.05</v>
      </c>
      <c r="I299" s="2">
        <v>2</v>
      </c>
      <c r="J299" s="2">
        <v>0</v>
      </c>
      <c r="K299" s="2">
        <v>1</v>
      </c>
      <c r="L299" s="16">
        <f>2</f>
        <v>2</v>
      </c>
      <c r="M299" s="5">
        <f t="shared" si="134"/>
        <v>1140</v>
      </c>
      <c r="N299" s="6">
        <f t="shared" si="135"/>
        <v>125.37525000000002</v>
      </c>
      <c r="O299">
        <f t="shared" si="136"/>
        <v>1235.3999999999999</v>
      </c>
      <c r="P299" s="7">
        <f t="shared" si="140"/>
        <v>9.8536194344577552</v>
      </c>
      <c r="Q299">
        <f>ROUNDUP(몬스터!$P$29/F299, 0)</f>
        <v>14</v>
      </c>
      <c r="R299" s="6">
        <f t="shared" si="137"/>
        <v>16.766467065868262</v>
      </c>
      <c r="S299" s="7">
        <f>B299/몬스터!$C$29*R299</f>
        <v>274.72765312747998</v>
      </c>
      <c r="T299" s="7">
        <f t="shared" ref="T299" si="145">SUM(S295:S299)</f>
        <v>1404.9137987470338</v>
      </c>
      <c r="U299">
        <f>ROUNDDOWN(R299*몬스터!$H$29, 0)*몬스터!$G$29*(1+몬스터!$I$29)</f>
        <v>2063.8799999999997</v>
      </c>
      <c r="V299" s="2">
        <f t="shared" si="141"/>
        <v>1.6706168042739193</v>
      </c>
    </row>
    <row r="300" spans="1:22" x14ac:dyDescent="0.4">
      <c r="A300">
        <v>86</v>
      </c>
      <c r="B300" s="4">
        <f>170*A300</f>
        <v>14620</v>
      </c>
      <c r="C300">
        <f t="shared" si="130"/>
        <v>875</v>
      </c>
      <c r="D300">
        <f t="shared" si="131"/>
        <v>42</v>
      </c>
      <c r="E300" s="2">
        <v>0</v>
      </c>
      <c r="F300">
        <f t="shared" si="132"/>
        <v>144</v>
      </c>
      <c r="G300">
        <f t="shared" si="133"/>
        <v>0.83700000000000008</v>
      </c>
      <c r="H300" s="3">
        <f t="shared" si="139"/>
        <v>0.05</v>
      </c>
      <c r="I300" s="2">
        <v>2</v>
      </c>
      <c r="J300" s="2">
        <v>0</v>
      </c>
      <c r="K300" s="2">
        <v>1</v>
      </c>
      <c r="L300" s="16">
        <f>2</f>
        <v>2</v>
      </c>
      <c r="M300" s="5">
        <f t="shared" si="134"/>
        <v>1150</v>
      </c>
      <c r="N300" s="6">
        <f t="shared" si="135"/>
        <v>126.55440000000002</v>
      </c>
      <c r="O300">
        <f t="shared" si="136"/>
        <v>1242.5</v>
      </c>
      <c r="P300" s="7">
        <f t="shared" si="140"/>
        <v>9.8179122970042911</v>
      </c>
      <c r="Q300">
        <f>ROUNDUP(몬스터!$P$30/F300, 0)</f>
        <v>15</v>
      </c>
      <c r="R300" s="6">
        <f t="shared" si="137"/>
        <v>17.921146953405017</v>
      </c>
      <c r="S300" s="7">
        <f>B300/몬스터!$C$30*R300</f>
        <v>297.73541870316063</v>
      </c>
      <c r="U300">
        <f>ROUNDDOWN(R300*몬스터!$H$30, 0)*몬스터!$G$30*(1+몬스터!$I$30)</f>
        <v>2349.1125000000002</v>
      </c>
      <c r="V300" s="2">
        <f t="shared" si="141"/>
        <v>1.8906338028169016</v>
      </c>
    </row>
    <row r="301" spans="1:22" x14ac:dyDescent="0.4">
      <c r="A301">
        <v>87</v>
      </c>
      <c r="B301" s="4">
        <f>170*A301</f>
        <v>14790</v>
      </c>
      <c r="C301">
        <f t="shared" si="130"/>
        <v>885</v>
      </c>
      <c r="D301">
        <f t="shared" si="131"/>
        <v>43</v>
      </c>
      <c r="E301" s="2">
        <v>0</v>
      </c>
      <c r="F301">
        <f t="shared" si="132"/>
        <v>145</v>
      </c>
      <c r="G301">
        <f t="shared" si="133"/>
        <v>0.83900000000000008</v>
      </c>
      <c r="H301" s="3">
        <f t="shared" si="139"/>
        <v>0.05</v>
      </c>
      <c r="I301" s="2">
        <v>2</v>
      </c>
      <c r="J301" s="2">
        <v>0</v>
      </c>
      <c r="K301" s="2">
        <v>1</v>
      </c>
      <c r="L301" s="16">
        <f>2</f>
        <v>2</v>
      </c>
      <c r="M301" s="5">
        <f t="shared" si="134"/>
        <v>1160</v>
      </c>
      <c r="N301" s="6">
        <f t="shared" si="135"/>
        <v>127.73775000000002</v>
      </c>
      <c r="O301">
        <f t="shared" si="136"/>
        <v>1265.55</v>
      </c>
      <c r="P301" s="7">
        <f t="shared" si="140"/>
        <v>9.9074079510559709</v>
      </c>
      <c r="Q301">
        <f>ROUNDUP(몬스터!$P$30/F301, 0)</f>
        <v>15</v>
      </c>
      <c r="R301" s="6">
        <f t="shared" si="137"/>
        <v>17.878426698450536</v>
      </c>
      <c r="S301" s="7">
        <f>B301/몬스터!$C$30*R301</f>
        <v>300.47946689782208</v>
      </c>
      <c r="U301">
        <f>ROUNDDOWN(R301*몬스터!$H$30, 0)*몬스터!$G$30*(1+몬스터!$I$30)</f>
        <v>2349.1125000000002</v>
      </c>
      <c r="V301" s="2">
        <f t="shared" si="141"/>
        <v>1.856198885859903</v>
      </c>
    </row>
    <row r="302" spans="1:22" x14ac:dyDescent="0.4">
      <c r="A302">
        <v>88</v>
      </c>
      <c r="B302" s="4">
        <f>170*A302</f>
        <v>14960</v>
      </c>
      <c r="C302">
        <f t="shared" si="130"/>
        <v>895</v>
      </c>
      <c r="D302">
        <f t="shared" si="131"/>
        <v>43</v>
      </c>
      <c r="E302" s="2">
        <v>0</v>
      </c>
      <c r="F302">
        <f t="shared" si="132"/>
        <v>147</v>
      </c>
      <c r="G302">
        <f t="shared" si="133"/>
        <v>0.84099999999999997</v>
      </c>
      <c r="H302" s="3">
        <f t="shared" si="139"/>
        <v>0.05</v>
      </c>
      <c r="I302" s="2">
        <v>2</v>
      </c>
      <c r="J302" s="2">
        <v>0</v>
      </c>
      <c r="K302" s="2">
        <v>1</v>
      </c>
      <c r="L302" s="16">
        <f>2</f>
        <v>2</v>
      </c>
      <c r="M302" s="5">
        <f t="shared" si="134"/>
        <v>1170</v>
      </c>
      <c r="N302" s="6">
        <f t="shared" si="135"/>
        <v>129.80834999999999</v>
      </c>
      <c r="O302">
        <f t="shared" si="136"/>
        <v>1279.8499999999999</v>
      </c>
      <c r="P302" s="7">
        <f t="shared" si="140"/>
        <v>9.859535230206685</v>
      </c>
      <c r="Q302">
        <f>ROUNDUP(몬스터!$P$30/F302, 0)</f>
        <v>15</v>
      </c>
      <c r="R302" s="6">
        <f t="shared" si="137"/>
        <v>17.835909631391203</v>
      </c>
      <c r="S302" s="7">
        <f>B302/몬스터!$C$30*R302</f>
        <v>303.21046373365044</v>
      </c>
      <c r="U302">
        <f>ROUNDDOWN(R302*몬스터!$H$30, 0)*몬스터!$G$30*(1+몬스터!$I$30)</f>
        <v>2349.1125000000002</v>
      </c>
      <c r="V302" s="2">
        <f t="shared" si="141"/>
        <v>1.8354592335039266</v>
      </c>
    </row>
    <row r="303" spans="1:22" x14ac:dyDescent="0.4">
      <c r="A303">
        <v>89</v>
      </c>
      <c r="B303" s="4">
        <f>170*A303</f>
        <v>15130</v>
      </c>
      <c r="C303">
        <f t="shared" si="130"/>
        <v>905</v>
      </c>
      <c r="D303">
        <f t="shared" si="131"/>
        <v>43</v>
      </c>
      <c r="E303" s="2">
        <v>0</v>
      </c>
      <c r="F303">
        <f t="shared" si="132"/>
        <v>148</v>
      </c>
      <c r="G303">
        <f t="shared" si="133"/>
        <v>0.84299999999999997</v>
      </c>
      <c r="H303" s="3">
        <f t="shared" si="139"/>
        <v>0.05</v>
      </c>
      <c r="I303" s="2">
        <v>2</v>
      </c>
      <c r="J303" s="2">
        <v>0</v>
      </c>
      <c r="K303" s="2">
        <v>1</v>
      </c>
      <c r="L303" s="16">
        <f>2</f>
        <v>2</v>
      </c>
      <c r="M303" s="5">
        <f t="shared" si="134"/>
        <v>1180</v>
      </c>
      <c r="N303" s="6">
        <f t="shared" si="135"/>
        <v>131.00219999999999</v>
      </c>
      <c r="O303">
        <f t="shared" si="136"/>
        <v>1294.1499999999999</v>
      </c>
      <c r="P303" s="7">
        <f t="shared" si="140"/>
        <v>9.8788417293755373</v>
      </c>
      <c r="Q303">
        <f>ROUNDUP(몬스터!$P$30/F303, 0)</f>
        <v>15</v>
      </c>
      <c r="R303" s="6">
        <f t="shared" si="137"/>
        <v>17.793594306049823</v>
      </c>
      <c r="S303" s="7">
        <f>B303/몬스터!$C$30*R303</f>
        <v>305.92850210287929</v>
      </c>
      <c r="U303">
        <f>ROUNDDOWN(R303*몬스터!$H$30, 0)*몬스터!$G$30*(1+몬스터!$I$30)</f>
        <v>2349.1125000000002</v>
      </c>
      <c r="V303" s="2">
        <f t="shared" si="141"/>
        <v>1.8151779160066457</v>
      </c>
    </row>
    <row r="304" spans="1:22" x14ac:dyDescent="0.4">
      <c r="A304">
        <v>90</v>
      </c>
      <c r="B304" s="4">
        <f>170*A304</f>
        <v>15300</v>
      </c>
      <c r="C304">
        <f t="shared" si="130"/>
        <v>910</v>
      </c>
      <c r="D304">
        <f t="shared" si="131"/>
        <v>44</v>
      </c>
      <c r="E304" s="2">
        <v>0</v>
      </c>
      <c r="F304">
        <f t="shared" si="132"/>
        <v>150</v>
      </c>
      <c r="G304">
        <f t="shared" si="133"/>
        <v>0.84499999999999997</v>
      </c>
      <c r="H304" s="3">
        <f t="shared" si="139"/>
        <v>0.05</v>
      </c>
      <c r="I304" s="2">
        <v>2</v>
      </c>
      <c r="J304" s="2">
        <v>0</v>
      </c>
      <c r="K304" s="2">
        <v>1</v>
      </c>
      <c r="L304" s="16">
        <f>2</f>
        <v>2</v>
      </c>
      <c r="M304" s="5">
        <f t="shared" si="134"/>
        <v>1190</v>
      </c>
      <c r="N304" s="6">
        <f t="shared" si="135"/>
        <v>133.08750000000001</v>
      </c>
      <c r="O304">
        <f t="shared" si="136"/>
        <v>1310.3999999999999</v>
      </c>
      <c r="P304" s="7">
        <f t="shared" si="140"/>
        <v>9.8461538461538449</v>
      </c>
      <c r="Q304">
        <f>ROUNDUP(몬스터!$P$30/F304, 0)</f>
        <v>15</v>
      </c>
      <c r="R304" s="6">
        <f t="shared" si="137"/>
        <v>17.751479289940828</v>
      </c>
      <c r="S304" s="7">
        <f>B304/몬스터!$C$30*R304</f>
        <v>308.63367401828941</v>
      </c>
      <c r="T304" s="7">
        <f t="shared" ref="T304" si="146">SUM(S300:S304)</f>
        <v>1515.9875254558019</v>
      </c>
      <c r="U304">
        <f>ROUNDDOWN(R304*몬스터!$H$30, 0)*몬스터!$G$30*(1+몬스터!$I$30)</f>
        <v>2349.1125000000002</v>
      </c>
      <c r="V304" s="2">
        <f t="shared" si="141"/>
        <v>1.7926682692307696</v>
      </c>
    </row>
    <row r="305" spans="1:22" x14ac:dyDescent="0.4">
      <c r="A305">
        <v>91</v>
      </c>
      <c r="B305" s="4">
        <f>160*A305</f>
        <v>14560</v>
      </c>
      <c r="C305">
        <f t="shared" si="130"/>
        <v>920</v>
      </c>
      <c r="D305">
        <f t="shared" si="131"/>
        <v>44</v>
      </c>
      <c r="E305" s="2">
        <v>0</v>
      </c>
      <c r="F305">
        <f t="shared" si="132"/>
        <v>151</v>
      </c>
      <c r="G305">
        <f t="shared" si="133"/>
        <v>0.84699999999999998</v>
      </c>
      <c r="H305" s="3">
        <f t="shared" si="139"/>
        <v>0.05</v>
      </c>
      <c r="I305" s="2">
        <v>2</v>
      </c>
      <c r="J305" s="2">
        <v>0</v>
      </c>
      <c r="K305" s="2">
        <v>1</v>
      </c>
      <c r="L305" s="16">
        <f>2</f>
        <v>2</v>
      </c>
      <c r="M305" s="5">
        <f t="shared" si="134"/>
        <v>1200</v>
      </c>
      <c r="N305" s="6">
        <f t="shared" si="135"/>
        <v>134.29185000000001</v>
      </c>
      <c r="O305">
        <f t="shared" si="136"/>
        <v>1324.8</v>
      </c>
      <c r="P305" s="7">
        <f t="shared" si="140"/>
        <v>9.8650811646425289</v>
      </c>
      <c r="Q305">
        <f>ROUNDUP(몬스터!$P$31/F305, 0)</f>
        <v>16</v>
      </c>
      <c r="R305" s="6">
        <f t="shared" si="137"/>
        <v>18.890200708382526</v>
      </c>
      <c r="S305" s="7">
        <f>B305/몬스터!$C$31*R305</f>
        <v>295.74335732693504</v>
      </c>
      <c r="U305">
        <f>ROUNDDOWN(R305*몬스터!$H$31, 0)*몬스터!$G$31*(1+몬스터!$I$31)</f>
        <v>2673.36</v>
      </c>
      <c r="V305" s="2">
        <f t="shared" si="141"/>
        <v>2.017934782608696</v>
      </c>
    </row>
    <row r="306" spans="1:22" x14ac:dyDescent="0.4">
      <c r="A306">
        <v>92</v>
      </c>
      <c r="B306" s="4">
        <f>160*A306</f>
        <v>14720</v>
      </c>
      <c r="C306">
        <f t="shared" si="130"/>
        <v>930</v>
      </c>
      <c r="D306">
        <f t="shared" si="131"/>
        <v>44</v>
      </c>
      <c r="E306" s="2">
        <v>0</v>
      </c>
      <c r="F306">
        <f t="shared" si="132"/>
        <v>153</v>
      </c>
      <c r="G306">
        <f t="shared" si="133"/>
        <v>0.84899999999999998</v>
      </c>
      <c r="H306" s="3">
        <f t="shared" si="139"/>
        <v>0.05</v>
      </c>
      <c r="I306" s="2">
        <v>2</v>
      </c>
      <c r="J306" s="2">
        <v>0</v>
      </c>
      <c r="K306" s="2">
        <v>1</v>
      </c>
      <c r="L306" s="16">
        <f>2</f>
        <v>2</v>
      </c>
      <c r="M306" s="5">
        <f t="shared" si="134"/>
        <v>1210</v>
      </c>
      <c r="N306" s="6">
        <f t="shared" si="135"/>
        <v>136.39185000000001</v>
      </c>
      <c r="O306">
        <f t="shared" si="136"/>
        <v>1339.2</v>
      </c>
      <c r="P306" s="7">
        <f t="shared" si="140"/>
        <v>9.8187684967980129</v>
      </c>
      <c r="Q306">
        <f>ROUNDUP(몬스터!$P$31/F306, 0)</f>
        <v>16</v>
      </c>
      <c r="R306" s="6">
        <f t="shared" si="137"/>
        <v>18.84570082449941</v>
      </c>
      <c r="S306" s="7">
        <f>B306/몬스터!$C$31*R306</f>
        <v>298.28894208239927</v>
      </c>
      <c r="U306">
        <f>ROUNDDOWN(R306*몬스터!$H$31, 0)*몬스터!$G$31*(1+몬스터!$I$31)</f>
        <v>2673.36</v>
      </c>
      <c r="V306" s="2">
        <f t="shared" si="141"/>
        <v>1.996236559139785</v>
      </c>
    </row>
    <row r="307" spans="1:22" x14ac:dyDescent="0.4">
      <c r="A307">
        <v>93</v>
      </c>
      <c r="B307" s="4">
        <f>160*A307</f>
        <v>14880</v>
      </c>
      <c r="C307">
        <f t="shared" si="130"/>
        <v>940</v>
      </c>
      <c r="D307">
        <f t="shared" si="131"/>
        <v>44</v>
      </c>
      <c r="E307" s="2">
        <v>0</v>
      </c>
      <c r="F307">
        <f t="shared" si="132"/>
        <v>154</v>
      </c>
      <c r="G307">
        <f t="shared" si="133"/>
        <v>0.85099999999999998</v>
      </c>
      <c r="H307" s="3">
        <f t="shared" si="139"/>
        <v>0.05</v>
      </c>
      <c r="I307" s="2">
        <v>2</v>
      </c>
      <c r="J307" s="2">
        <v>0</v>
      </c>
      <c r="K307" s="2">
        <v>1</v>
      </c>
      <c r="L307" s="16">
        <f>2</f>
        <v>2</v>
      </c>
      <c r="M307" s="5">
        <f t="shared" si="134"/>
        <v>1220</v>
      </c>
      <c r="N307" s="6">
        <f t="shared" si="135"/>
        <v>137.60670000000002</v>
      </c>
      <c r="O307">
        <f t="shared" si="136"/>
        <v>1353.6</v>
      </c>
      <c r="P307" s="7">
        <f t="shared" si="140"/>
        <v>9.8367303336247414</v>
      </c>
      <c r="Q307">
        <f>ROUNDUP(몬스터!$P$31/F307, 0)</f>
        <v>16</v>
      </c>
      <c r="R307" s="6">
        <f t="shared" si="137"/>
        <v>18.801410105757931</v>
      </c>
      <c r="S307" s="7">
        <f>B307/몬스터!$C$31*R307</f>
        <v>300.8225616921269</v>
      </c>
      <c r="U307">
        <f>ROUNDDOWN(R307*몬스터!$H$31, 0)*몬스터!$G$31*(1+몬스터!$I$31)</f>
        <v>2673.36</v>
      </c>
      <c r="V307" s="2">
        <f t="shared" si="141"/>
        <v>1.9750000000000003</v>
      </c>
    </row>
    <row r="308" spans="1:22" x14ac:dyDescent="0.4">
      <c r="A308">
        <v>94</v>
      </c>
      <c r="B308" s="4">
        <f>160*A308</f>
        <v>15040</v>
      </c>
      <c r="C308">
        <f t="shared" si="130"/>
        <v>945</v>
      </c>
      <c r="D308">
        <f t="shared" si="131"/>
        <v>45</v>
      </c>
      <c r="E308" s="2">
        <v>0</v>
      </c>
      <c r="F308">
        <f t="shared" si="132"/>
        <v>156</v>
      </c>
      <c r="G308">
        <f t="shared" si="133"/>
        <v>0.85299999999999998</v>
      </c>
      <c r="H308" s="3">
        <f t="shared" si="139"/>
        <v>0.05</v>
      </c>
      <c r="I308" s="2">
        <v>2</v>
      </c>
      <c r="J308" s="2">
        <v>0</v>
      </c>
      <c r="K308" s="2">
        <v>1</v>
      </c>
      <c r="L308" s="16">
        <f>2</f>
        <v>2</v>
      </c>
      <c r="M308" s="5">
        <f t="shared" si="134"/>
        <v>1230</v>
      </c>
      <c r="N308" s="6">
        <f t="shared" si="135"/>
        <v>139.72139999999999</v>
      </c>
      <c r="O308">
        <f t="shared" si="136"/>
        <v>1370.25</v>
      </c>
      <c r="P308" s="7">
        <f t="shared" si="140"/>
        <v>9.807015961763911</v>
      </c>
      <c r="Q308">
        <f>ROUNDUP(몬스터!$P$31/F308, 0)</f>
        <v>15</v>
      </c>
      <c r="R308" s="6">
        <f t="shared" si="137"/>
        <v>17.584994138335286</v>
      </c>
      <c r="S308" s="7">
        <f>B308/몬스터!$C$31*R308</f>
        <v>284.38528154899217</v>
      </c>
      <c r="U308">
        <f>ROUNDDOWN(R308*몬스터!$H$31, 0)*몬스터!$G$31*(1+몬스터!$I$31)</f>
        <v>2506.2750000000001</v>
      </c>
      <c r="V308" s="2">
        <f t="shared" si="141"/>
        <v>1.8290640394088671</v>
      </c>
    </row>
    <row r="309" spans="1:22" x14ac:dyDescent="0.4">
      <c r="A309">
        <v>95</v>
      </c>
      <c r="B309" s="4">
        <f>160*A309</f>
        <v>15200</v>
      </c>
      <c r="C309">
        <f t="shared" si="130"/>
        <v>955</v>
      </c>
      <c r="D309">
        <f t="shared" si="131"/>
        <v>45</v>
      </c>
      <c r="E309" s="2">
        <v>0</v>
      </c>
      <c r="F309">
        <f t="shared" si="132"/>
        <v>157</v>
      </c>
      <c r="G309">
        <f t="shared" si="133"/>
        <v>0.85499999999999998</v>
      </c>
      <c r="H309" s="3">
        <f t="shared" si="139"/>
        <v>0.05</v>
      </c>
      <c r="I309" s="2">
        <v>2</v>
      </c>
      <c r="J309" s="2">
        <v>0</v>
      </c>
      <c r="K309" s="2">
        <v>1</v>
      </c>
      <c r="L309" s="16">
        <f>2</f>
        <v>2</v>
      </c>
      <c r="M309" s="5">
        <f t="shared" si="134"/>
        <v>1240</v>
      </c>
      <c r="N309" s="6">
        <f t="shared" si="135"/>
        <v>140.94674999999998</v>
      </c>
      <c r="O309">
        <f t="shared" si="136"/>
        <v>1384.75</v>
      </c>
      <c r="P309" s="7">
        <f t="shared" si="140"/>
        <v>9.8246323522890755</v>
      </c>
      <c r="Q309">
        <f>ROUNDUP(몬스터!$P$31/F309, 0)</f>
        <v>15</v>
      </c>
      <c r="R309" s="6">
        <f t="shared" si="137"/>
        <v>17.543859649122808</v>
      </c>
      <c r="S309" s="7">
        <f>B309/몬스터!$C$31*R309</f>
        <v>286.73835125448028</v>
      </c>
      <c r="T309" s="7">
        <f t="shared" ref="T309" si="147">SUM(S305:S309)</f>
        <v>1465.9784939049337</v>
      </c>
      <c r="U309">
        <f>ROUNDDOWN(R309*몬스터!$H$31, 0)*몬스터!$G$31*(1+몬스터!$I$31)</f>
        <v>2506.2750000000001</v>
      </c>
      <c r="V309" s="2">
        <f t="shared" si="141"/>
        <v>1.8099115363784077</v>
      </c>
    </row>
    <row r="310" spans="1:22" x14ac:dyDescent="0.4">
      <c r="A310">
        <v>96</v>
      </c>
      <c r="B310" s="4">
        <f>170*A310</f>
        <v>16320</v>
      </c>
      <c r="C310">
        <f t="shared" si="130"/>
        <v>965</v>
      </c>
      <c r="D310">
        <f t="shared" si="131"/>
        <v>45</v>
      </c>
      <c r="E310" s="2">
        <v>0</v>
      </c>
      <c r="F310">
        <f t="shared" si="132"/>
        <v>158</v>
      </c>
      <c r="G310">
        <f t="shared" si="133"/>
        <v>0.85699999999999998</v>
      </c>
      <c r="H310" s="3">
        <f t="shared" si="139"/>
        <v>0.05</v>
      </c>
      <c r="I310" s="2">
        <v>2</v>
      </c>
      <c r="J310" s="2">
        <v>0</v>
      </c>
      <c r="K310" s="2">
        <v>1</v>
      </c>
      <c r="L310" s="16">
        <f>2</f>
        <v>2</v>
      </c>
      <c r="M310" s="5">
        <f t="shared" si="134"/>
        <v>1250</v>
      </c>
      <c r="N310" s="6">
        <f t="shared" si="135"/>
        <v>142.17630000000003</v>
      </c>
      <c r="O310">
        <f t="shared" si="136"/>
        <v>1399.25</v>
      </c>
      <c r="P310" s="7">
        <f t="shared" si="140"/>
        <v>9.8416543404210106</v>
      </c>
      <c r="Q310">
        <f>ROUNDUP(몬스터!$P$32/F310, 0)</f>
        <v>16</v>
      </c>
      <c r="R310" s="6">
        <f t="shared" si="137"/>
        <v>18.669778296382731</v>
      </c>
      <c r="S310" s="7">
        <f>B310/몬스터!$C$32*R310</f>
        <v>310.90896101731244</v>
      </c>
      <c r="U310">
        <f>ROUNDDOWN(R310*몬스터!$H$32, 0)*몬스터!$G$32*(1+몬스터!$I$32)</f>
        <v>2823.8399999999997</v>
      </c>
      <c r="V310" s="2">
        <f t="shared" si="141"/>
        <v>2.0181097016258707</v>
      </c>
    </row>
    <row r="311" spans="1:22" x14ac:dyDescent="0.4">
      <c r="A311">
        <v>97</v>
      </c>
      <c r="B311" s="4">
        <f>170*A311</f>
        <v>16490</v>
      </c>
      <c r="C311">
        <f t="shared" si="130"/>
        <v>975</v>
      </c>
      <c r="D311">
        <f t="shared" si="131"/>
        <v>46</v>
      </c>
      <c r="E311" s="2">
        <v>0</v>
      </c>
      <c r="F311">
        <f t="shared" si="132"/>
        <v>160</v>
      </c>
      <c r="G311">
        <f t="shared" si="133"/>
        <v>0.85899999999999999</v>
      </c>
      <c r="H311" s="3">
        <f t="shared" si="139"/>
        <v>0.05</v>
      </c>
      <c r="I311" s="2">
        <v>2</v>
      </c>
      <c r="J311" s="2">
        <v>0</v>
      </c>
      <c r="K311" s="2">
        <v>1</v>
      </c>
      <c r="L311" s="16">
        <f>2</f>
        <v>2</v>
      </c>
      <c r="M311" s="5">
        <f t="shared" si="134"/>
        <v>1260</v>
      </c>
      <c r="N311" s="6">
        <f t="shared" si="135"/>
        <v>144.31200000000001</v>
      </c>
      <c r="O311">
        <f t="shared" si="136"/>
        <v>1423.5</v>
      </c>
      <c r="P311" s="7">
        <f t="shared" si="140"/>
        <v>9.8640445700981196</v>
      </c>
      <c r="Q311">
        <f>ROUNDUP(몬스터!$P$32/F311, 0)</f>
        <v>16</v>
      </c>
      <c r="R311" s="6">
        <f t="shared" ref="R311:R314" si="148">Q311/G311</f>
        <v>18.626309662398139</v>
      </c>
      <c r="S311" s="7">
        <f>B311/몬스터!$C$32*R311</f>
        <v>313.41616972749523</v>
      </c>
      <c r="U311">
        <f>ROUNDDOWN(R311*몬스터!$H$32, 0)*몬스터!$G$32*(1+몬스터!$I$32)</f>
        <v>2823.8399999999997</v>
      </c>
      <c r="V311" s="2">
        <f t="shared" si="141"/>
        <v>1.9837302423603791</v>
      </c>
    </row>
    <row r="312" spans="1:22" x14ac:dyDescent="0.4">
      <c r="A312">
        <v>98</v>
      </c>
      <c r="B312" s="4">
        <f>170*A312</f>
        <v>16660</v>
      </c>
      <c r="C312">
        <f t="shared" si="130"/>
        <v>980</v>
      </c>
      <c r="D312">
        <f t="shared" si="131"/>
        <v>46</v>
      </c>
      <c r="E312" s="2">
        <v>0</v>
      </c>
      <c r="F312">
        <f t="shared" si="132"/>
        <v>161</v>
      </c>
      <c r="G312">
        <f t="shared" si="133"/>
        <v>0.86099999999999999</v>
      </c>
      <c r="H312" s="3">
        <f t="shared" si="139"/>
        <v>0.05</v>
      </c>
      <c r="I312" s="2">
        <v>2</v>
      </c>
      <c r="J312" s="2">
        <v>0</v>
      </c>
      <c r="K312" s="2">
        <v>1</v>
      </c>
      <c r="L312" s="16">
        <f>2</f>
        <v>2</v>
      </c>
      <c r="M312" s="5">
        <f t="shared" si="134"/>
        <v>1270</v>
      </c>
      <c r="N312" s="6">
        <f t="shared" si="135"/>
        <v>145.55205000000001</v>
      </c>
      <c r="O312">
        <f t="shared" si="136"/>
        <v>1430.8</v>
      </c>
      <c r="P312" s="7">
        <f t="shared" si="140"/>
        <v>9.8301604134053751</v>
      </c>
      <c r="Q312">
        <f>ROUNDUP(몬스터!$P$32/F312, 0)</f>
        <v>16</v>
      </c>
      <c r="R312" s="6">
        <f t="shared" si="148"/>
        <v>18.583042973286876</v>
      </c>
      <c r="S312" s="7">
        <f>B312/몬스터!$C$32*R312</f>
        <v>315.91173054587688</v>
      </c>
      <c r="U312">
        <f>ROUNDDOWN(R312*몬스터!$H$32, 0)*몬스터!$G$32*(1+몬스터!$I$32)</f>
        <v>2823.8399999999997</v>
      </c>
      <c r="V312" s="2">
        <f t="shared" si="141"/>
        <v>1.9736091696952751</v>
      </c>
    </row>
    <row r="313" spans="1:22" x14ac:dyDescent="0.4">
      <c r="A313">
        <v>99</v>
      </c>
      <c r="B313" s="4">
        <f>170*A313</f>
        <v>16830</v>
      </c>
      <c r="C313">
        <f t="shared" si="130"/>
        <v>990</v>
      </c>
      <c r="D313">
        <f t="shared" si="131"/>
        <v>46</v>
      </c>
      <c r="E313" s="2">
        <v>0</v>
      </c>
      <c r="F313">
        <f t="shared" si="132"/>
        <v>163</v>
      </c>
      <c r="G313">
        <f t="shared" si="133"/>
        <v>0.86299999999999999</v>
      </c>
      <c r="H313" s="3">
        <f t="shared" si="139"/>
        <v>0.05</v>
      </c>
      <c r="I313" s="2">
        <v>2</v>
      </c>
      <c r="J313" s="2">
        <v>0</v>
      </c>
      <c r="K313" s="2">
        <v>1</v>
      </c>
      <c r="L313" s="16">
        <f>2</f>
        <v>2</v>
      </c>
      <c r="M313" s="5">
        <f t="shared" si="134"/>
        <v>1280</v>
      </c>
      <c r="N313" s="6">
        <f t="shared" si="135"/>
        <v>147.70245000000003</v>
      </c>
      <c r="O313">
        <f t="shared" si="136"/>
        <v>1445.3999999999999</v>
      </c>
      <c r="P313" s="7">
        <f t="shared" si="140"/>
        <v>9.7858904845518779</v>
      </c>
      <c r="Q313">
        <f>ROUNDUP(몬스터!$P$32/F313, 0)</f>
        <v>16</v>
      </c>
      <c r="R313" s="6">
        <f t="shared" si="148"/>
        <v>18.539976825028969</v>
      </c>
      <c r="S313" s="7">
        <f>B313/몬스터!$C$32*R313</f>
        <v>318.39572445432401</v>
      </c>
      <c r="U313">
        <f>ROUNDDOWN(R313*몬스터!$H$32, 0)*몬스터!$G$32*(1+몬스터!$I$32)</f>
        <v>2823.8399999999997</v>
      </c>
      <c r="V313" s="2">
        <f t="shared" si="141"/>
        <v>1.9536737235367372</v>
      </c>
    </row>
    <row r="314" spans="1:22" x14ac:dyDescent="0.4">
      <c r="A314">
        <v>100</v>
      </c>
      <c r="B314" s="4">
        <f>170*A314</f>
        <v>17000</v>
      </c>
      <c r="C314">
        <f t="shared" si="130"/>
        <v>1000</v>
      </c>
      <c r="D314">
        <f t="shared" si="131"/>
        <v>47</v>
      </c>
      <c r="E314" s="2">
        <v>0</v>
      </c>
      <c r="F314">
        <f t="shared" si="132"/>
        <v>164</v>
      </c>
      <c r="G314">
        <f t="shared" si="133"/>
        <v>0.86499999999999999</v>
      </c>
      <c r="H314" s="3">
        <f t="shared" si="139"/>
        <v>0.05</v>
      </c>
      <c r="I314" s="2">
        <v>2</v>
      </c>
      <c r="J314" s="2">
        <v>0</v>
      </c>
      <c r="K314" s="2">
        <v>1</v>
      </c>
      <c r="L314" s="16">
        <f>2</f>
        <v>2</v>
      </c>
      <c r="M314" s="5">
        <f t="shared" si="134"/>
        <v>1290</v>
      </c>
      <c r="N314" s="6">
        <f t="shared" si="135"/>
        <v>148.953</v>
      </c>
      <c r="O314">
        <f t="shared" si="136"/>
        <v>1470</v>
      </c>
      <c r="P314" s="7">
        <f t="shared" si="140"/>
        <v>9.8688848160157896</v>
      </c>
      <c r="Q314">
        <f>ROUNDUP(몬스터!$P$32/F314, 0)</f>
        <v>16</v>
      </c>
      <c r="R314" s="6">
        <f t="shared" si="148"/>
        <v>18.497109826589597</v>
      </c>
      <c r="S314" s="7">
        <f>B314/몬스터!$C$32*R314</f>
        <v>320.8682316857379</v>
      </c>
      <c r="T314" s="7">
        <f t="shared" ref="T314" si="149">SUM(S310:S314)</f>
        <v>1579.5008174307463</v>
      </c>
      <c r="U314">
        <f>ROUNDDOWN(R314*몬스터!$H$32, 0)*몬스터!$G$32*(1+몬스터!$I$32)</f>
        <v>2823.8399999999997</v>
      </c>
      <c r="V314" s="2">
        <f t="shared" si="141"/>
        <v>1.9209795918367345</v>
      </c>
    </row>
    <row r="316" spans="1:22" x14ac:dyDescent="0.4">
      <c r="A316" t="s">
        <v>282</v>
      </c>
      <c r="B316" t="s">
        <v>304</v>
      </c>
    </row>
    <row r="318" spans="1:22" ht="19.8" thickBot="1" x14ac:dyDescent="0.45">
      <c r="B318" s="44" t="s">
        <v>284</v>
      </c>
    </row>
    <row r="319" spans="1:22" ht="18" thickBot="1" x14ac:dyDescent="0.45">
      <c r="A319" s="36" t="s">
        <v>18</v>
      </c>
      <c r="B319" s="36" t="s">
        <v>300</v>
      </c>
      <c r="C319" s="28" t="s">
        <v>301</v>
      </c>
      <c r="D319" s="28" t="s">
        <v>302</v>
      </c>
      <c r="E319" s="28" t="s">
        <v>303</v>
      </c>
      <c r="F319" s="37" t="s">
        <v>305</v>
      </c>
      <c r="G319" s="37" t="s">
        <v>306</v>
      </c>
      <c r="H319" s="37" t="s">
        <v>307</v>
      </c>
      <c r="I319" s="37" t="s">
        <v>308</v>
      </c>
      <c r="J319" s="37" t="s">
        <v>309</v>
      </c>
      <c r="K319" s="38" t="s">
        <v>310</v>
      </c>
      <c r="L319" s="38" t="s">
        <v>312</v>
      </c>
      <c r="M319" s="38" t="s">
        <v>311</v>
      </c>
      <c r="N319" s="23" t="s">
        <v>313</v>
      </c>
      <c r="O319" s="23" t="s">
        <v>314</v>
      </c>
      <c r="P319" s="23" t="s">
        <v>315</v>
      </c>
      <c r="Q319" s="39" t="s">
        <v>316</v>
      </c>
      <c r="R319" s="39" t="s">
        <v>317</v>
      </c>
      <c r="S319" s="39" t="s">
        <v>318</v>
      </c>
      <c r="T319" s="39" t="s">
        <v>319</v>
      </c>
      <c r="U319" s="39" t="s">
        <v>320</v>
      </c>
      <c r="V319" s="39" t="s">
        <v>321</v>
      </c>
    </row>
    <row r="320" spans="1:22" ht="18" thickTop="1" x14ac:dyDescent="0.4">
      <c r="A320">
        <v>1</v>
      </c>
      <c r="B320" s="4">
        <f>150*A320</f>
        <v>150</v>
      </c>
      <c r="C320">
        <f t="shared" ref="C320:C351" si="150">MROUND((150+A320*11)*1.02,5)</f>
        <v>165</v>
      </c>
      <c r="D320">
        <f t="shared" ref="D320:D351" si="151">ROUNDDOWN((30+A320*0.3), 0)</f>
        <v>30</v>
      </c>
      <c r="E320" s="2">
        <v>0</v>
      </c>
      <c r="F320">
        <f t="shared" ref="F320:F351" si="152">ROUND((28+A320*1.8)*2/3, 0)</f>
        <v>20</v>
      </c>
      <c r="G320">
        <f t="shared" ref="G320:G351" si="153">0.665+0.002*A320</f>
        <v>0.66700000000000004</v>
      </c>
      <c r="H320" s="3">
        <f>0.05</f>
        <v>0.05</v>
      </c>
      <c r="I320" s="2">
        <v>2</v>
      </c>
      <c r="J320" s="2">
        <v>0</v>
      </c>
      <c r="K320" s="2">
        <v>1</v>
      </c>
      <c r="L320" s="16">
        <v>1</v>
      </c>
      <c r="M320" s="5">
        <f t="shared" ref="M320:M351" si="154">290+10*A320</f>
        <v>300</v>
      </c>
      <c r="N320" s="6">
        <f t="shared" ref="N320:N351" si="155">F320*G320*(1+H320)</f>
        <v>14.007</v>
      </c>
      <c r="O320">
        <f t="shared" ref="O320:O351" si="156">C320*(1+D320/100)*(1+E320)</f>
        <v>214.5</v>
      </c>
      <c r="P320" s="7">
        <f>O320/N320</f>
        <v>15.313771685585779</v>
      </c>
      <c r="Q320">
        <f>ROUNDUP(몬스터!$P$5/F320, 0)</f>
        <v>7</v>
      </c>
      <c r="R320" s="6">
        <f t="shared" ref="R320:R351" si="157">Q320/G320</f>
        <v>10.494752623688155</v>
      </c>
      <c r="S320" s="7">
        <f>B320/몬스터!$C$5*R320</f>
        <v>52.473763118440779</v>
      </c>
      <c r="U320">
        <f>ROUNDDOWN(R320*몬스터!$H$5, 0)*몬스터!$G$5*(1+몬스터!$I$5)</f>
        <v>37.800000000000004</v>
      </c>
      <c r="V320" s="2">
        <f>U320/O320</f>
        <v>0.17622377622377625</v>
      </c>
    </row>
    <row r="321" spans="1:22" x14ac:dyDescent="0.4">
      <c r="A321">
        <v>2</v>
      </c>
      <c r="B321" s="4">
        <f>150*A321</f>
        <v>300</v>
      </c>
      <c r="C321">
        <f t="shared" si="150"/>
        <v>175</v>
      </c>
      <c r="D321">
        <f t="shared" si="151"/>
        <v>30</v>
      </c>
      <c r="E321" s="2">
        <v>0</v>
      </c>
      <c r="F321">
        <f t="shared" si="152"/>
        <v>21</v>
      </c>
      <c r="G321">
        <f t="shared" si="153"/>
        <v>0.66900000000000004</v>
      </c>
      <c r="H321" s="3">
        <f t="shared" ref="H321:H384" si="158">0.05</f>
        <v>0.05</v>
      </c>
      <c r="I321" s="2">
        <v>2</v>
      </c>
      <c r="J321" s="2">
        <v>0</v>
      </c>
      <c r="K321" s="2">
        <v>1</v>
      </c>
      <c r="L321" s="16">
        <v>1</v>
      </c>
      <c r="M321" s="5">
        <f t="shared" si="154"/>
        <v>310</v>
      </c>
      <c r="N321" s="6">
        <f t="shared" si="155"/>
        <v>14.751450000000002</v>
      </c>
      <c r="O321">
        <f t="shared" si="156"/>
        <v>227.5</v>
      </c>
      <c r="P321" s="7">
        <f t="shared" ref="P321:P384" si="159">O321/N321</f>
        <v>15.42221273162977</v>
      </c>
      <c r="Q321">
        <f>ROUNDUP(몬스터!$P$5/F321, 0)</f>
        <v>7</v>
      </c>
      <c r="R321" s="6">
        <f t="shared" si="157"/>
        <v>10.46337817638266</v>
      </c>
      <c r="S321" s="7">
        <f>B321/몬스터!$C$5*R321</f>
        <v>104.6337817638266</v>
      </c>
      <c r="U321">
        <f>ROUNDDOWN(R321*몬스터!$H$5, 0)*몬스터!$G$5*(1+몬스터!$I$5)</f>
        <v>37.800000000000004</v>
      </c>
      <c r="V321" s="2">
        <f t="shared" ref="V321:V384" si="160">U321/O321</f>
        <v>0.16615384615384618</v>
      </c>
    </row>
    <row r="322" spans="1:22" x14ac:dyDescent="0.4">
      <c r="A322">
        <v>3</v>
      </c>
      <c r="B322" s="4">
        <f>150*A322</f>
        <v>450</v>
      </c>
      <c r="C322">
        <f t="shared" si="150"/>
        <v>185</v>
      </c>
      <c r="D322">
        <f t="shared" si="151"/>
        <v>30</v>
      </c>
      <c r="E322" s="2">
        <v>0</v>
      </c>
      <c r="F322">
        <f t="shared" si="152"/>
        <v>22</v>
      </c>
      <c r="G322">
        <f t="shared" si="153"/>
        <v>0.67100000000000004</v>
      </c>
      <c r="H322" s="3">
        <f t="shared" si="158"/>
        <v>0.05</v>
      </c>
      <c r="I322" s="2">
        <v>2</v>
      </c>
      <c r="J322" s="2">
        <v>0</v>
      </c>
      <c r="K322" s="2">
        <v>1</v>
      </c>
      <c r="L322" s="16">
        <v>1</v>
      </c>
      <c r="M322" s="5">
        <f t="shared" si="154"/>
        <v>320</v>
      </c>
      <c r="N322" s="6">
        <f t="shared" si="155"/>
        <v>15.500100000000002</v>
      </c>
      <c r="O322">
        <f t="shared" si="156"/>
        <v>240.5</v>
      </c>
      <c r="P322" s="7">
        <f t="shared" si="159"/>
        <v>15.516028928845619</v>
      </c>
      <c r="Q322">
        <f>ROUNDUP(몬스터!$P$5/F322, 0)</f>
        <v>7</v>
      </c>
      <c r="R322" s="6">
        <f t="shared" si="157"/>
        <v>10.432190760059612</v>
      </c>
      <c r="S322" s="7">
        <f>B322/몬스터!$C$5*R322</f>
        <v>156.48286140089419</v>
      </c>
      <c r="U322">
        <f>ROUNDDOWN(R322*몬스터!$H$5, 0)*몬스터!$G$5*(1+몬스터!$I$5)</f>
        <v>37.800000000000004</v>
      </c>
      <c r="V322" s="2">
        <f t="shared" si="160"/>
        <v>0.15717255717255718</v>
      </c>
    </row>
    <row r="323" spans="1:22" x14ac:dyDescent="0.4">
      <c r="A323">
        <v>4</v>
      </c>
      <c r="B323" s="4">
        <f>150*A323+50</f>
        <v>650</v>
      </c>
      <c r="C323">
        <f t="shared" si="150"/>
        <v>200</v>
      </c>
      <c r="D323">
        <f t="shared" si="151"/>
        <v>31</v>
      </c>
      <c r="E323" s="2">
        <v>0</v>
      </c>
      <c r="F323">
        <f t="shared" si="152"/>
        <v>23</v>
      </c>
      <c r="G323">
        <f t="shared" si="153"/>
        <v>0.67300000000000004</v>
      </c>
      <c r="H323" s="3">
        <f t="shared" si="158"/>
        <v>0.05</v>
      </c>
      <c r="I323" s="2">
        <v>2</v>
      </c>
      <c r="J323" s="2">
        <v>0</v>
      </c>
      <c r="K323" s="2">
        <v>1</v>
      </c>
      <c r="L323" s="16">
        <v>1</v>
      </c>
      <c r="M323" s="5">
        <f t="shared" si="154"/>
        <v>330</v>
      </c>
      <c r="N323" s="6">
        <f t="shared" si="155"/>
        <v>16.252950000000002</v>
      </c>
      <c r="O323">
        <f t="shared" si="156"/>
        <v>262</v>
      </c>
      <c r="P323" s="7">
        <f t="shared" si="159"/>
        <v>16.120150495756153</v>
      </c>
      <c r="Q323">
        <f>ROUNDUP(몬스터!$P$5/F323, 0)</f>
        <v>6</v>
      </c>
      <c r="R323" s="6">
        <f t="shared" si="157"/>
        <v>8.9153046062407135</v>
      </c>
      <c r="S323" s="7">
        <f>B323/몬스터!$C$5*R323</f>
        <v>193.16493313521548</v>
      </c>
      <c r="U323">
        <f>ROUNDDOWN(R323*몬스터!$H$5, 0)*몬스터!$G$5*(1+몬스터!$I$5)</f>
        <v>31.5</v>
      </c>
      <c r="V323" s="2">
        <f t="shared" si="160"/>
        <v>0.12022900763358779</v>
      </c>
    </row>
    <row r="324" spans="1:22" x14ac:dyDescent="0.4">
      <c r="A324">
        <v>5</v>
      </c>
      <c r="B324" s="4">
        <f>150*A324+75</f>
        <v>825</v>
      </c>
      <c r="C324">
        <f t="shared" si="150"/>
        <v>210</v>
      </c>
      <c r="D324">
        <f t="shared" si="151"/>
        <v>31</v>
      </c>
      <c r="E324" s="2">
        <v>0</v>
      </c>
      <c r="F324">
        <f t="shared" si="152"/>
        <v>25</v>
      </c>
      <c r="G324">
        <f t="shared" si="153"/>
        <v>0.67500000000000004</v>
      </c>
      <c r="H324" s="3">
        <f t="shared" si="158"/>
        <v>0.05</v>
      </c>
      <c r="I324" s="2">
        <v>2</v>
      </c>
      <c r="J324" s="2">
        <v>0</v>
      </c>
      <c r="K324" s="2">
        <v>1</v>
      </c>
      <c r="L324" s="16">
        <v>1</v>
      </c>
      <c r="M324" s="5">
        <f t="shared" si="154"/>
        <v>340</v>
      </c>
      <c r="N324" s="6">
        <f t="shared" si="155"/>
        <v>17.71875</v>
      </c>
      <c r="O324">
        <f t="shared" si="156"/>
        <v>275.10000000000002</v>
      </c>
      <c r="P324" s="7">
        <f t="shared" si="159"/>
        <v>15.525925925925927</v>
      </c>
      <c r="Q324">
        <f>ROUNDUP(몬스터!$P$5/F324, 0)</f>
        <v>6</v>
      </c>
      <c r="R324" s="6">
        <f t="shared" si="157"/>
        <v>8.8888888888888875</v>
      </c>
      <c r="S324" s="7">
        <f>B324/몬스터!$C$5*R324</f>
        <v>244.4444444444444</v>
      </c>
      <c r="T324" s="7">
        <f>SUM(S320:S324)</f>
        <v>751.1997838628215</v>
      </c>
      <c r="U324">
        <f>ROUNDDOWN(R324*몬스터!$H$5, 0)*몬스터!$G$5*(1+몬스터!$I$5)</f>
        <v>31.5</v>
      </c>
      <c r="V324" s="2">
        <f t="shared" si="160"/>
        <v>0.11450381679389313</v>
      </c>
    </row>
    <row r="325" spans="1:22" x14ac:dyDescent="0.4">
      <c r="A325">
        <v>6</v>
      </c>
      <c r="B325" s="4">
        <f>150*A325</f>
        <v>900</v>
      </c>
      <c r="C325">
        <f t="shared" si="150"/>
        <v>220</v>
      </c>
      <c r="D325">
        <f t="shared" si="151"/>
        <v>31</v>
      </c>
      <c r="E325" s="2">
        <v>0</v>
      </c>
      <c r="F325">
        <f t="shared" si="152"/>
        <v>26</v>
      </c>
      <c r="G325">
        <f t="shared" si="153"/>
        <v>0.67700000000000005</v>
      </c>
      <c r="H325" s="3">
        <f t="shared" si="158"/>
        <v>0.05</v>
      </c>
      <c r="I325" s="2">
        <v>2</v>
      </c>
      <c r="J325" s="2">
        <v>0</v>
      </c>
      <c r="K325" s="2">
        <v>1</v>
      </c>
      <c r="L325" s="16">
        <v>1</v>
      </c>
      <c r="M325" s="5">
        <f t="shared" si="154"/>
        <v>350</v>
      </c>
      <c r="N325" s="6">
        <f t="shared" si="155"/>
        <v>18.482100000000003</v>
      </c>
      <c r="O325">
        <f t="shared" si="156"/>
        <v>288.2</v>
      </c>
      <c r="P325" s="7">
        <f t="shared" si="159"/>
        <v>15.593466110452814</v>
      </c>
      <c r="Q325">
        <f>ROUNDUP(몬스터!$P$6/F325, 0)</f>
        <v>9</v>
      </c>
      <c r="R325" s="6">
        <f t="shared" si="157"/>
        <v>13.29394387001477</v>
      </c>
      <c r="S325" s="7">
        <f>B325/몬스터!$C$6*R325</f>
        <v>149.55686853766616</v>
      </c>
      <c r="U325">
        <f>ROUNDDOWN(R325*몬스터!$H$6, 0)*몬스터!$G$6*(1+몬스터!$I$6)</f>
        <v>109.98000000000002</v>
      </c>
      <c r="V325" s="2">
        <f t="shared" si="160"/>
        <v>0.3816099930603748</v>
      </c>
    </row>
    <row r="326" spans="1:22" x14ac:dyDescent="0.4">
      <c r="A326">
        <v>7</v>
      </c>
      <c r="B326" s="4">
        <f>150*A326</f>
        <v>1050</v>
      </c>
      <c r="C326">
        <f t="shared" si="150"/>
        <v>230</v>
      </c>
      <c r="D326">
        <f t="shared" si="151"/>
        <v>32</v>
      </c>
      <c r="E326" s="2">
        <v>0</v>
      </c>
      <c r="F326">
        <f t="shared" si="152"/>
        <v>27</v>
      </c>
      <c r="G326">
        <f t="shared" si="153"/>
        <v>0.67900000000000005</v>
      </c>
      <c r="H326" s="3">
        <f t="shared" si="158"/>
        <v>0.05</v>
      </c>
      <c r="I326" s="2">
        <v>2</v>
      </c>
      <c r="J326" s="2">
        <v>0</v>
      </c>
      <c r="K326" s="2">
        <v>1</v>
      </c>
      <c r="L326" s="16">
        <v>1</v>
      </c>
      <c r="M326" s="5">
        <f t="shared" si="154"/>
        <v>360</v>
      </c>
      <c r="N326" s="6">
        <f t="shared" si="155"/>
        <v>19.249650000000003</v>
      </c>
      <c r="O326">
        <f t="shared" si="156"/>
        <v>303.60000000000002</v>
      </c>
      <c r="P326" s="7">
        <f t="shared" si="159"/>
        <v>15.771715329889114</v>
      </c>
      <c r="Q326">
        <f>ROUNDUP(몬스터!$P$6/F326, 0)</f>
        <v>9</v>
      </c>
      <c r="R326" s="6">
        <f t="shared" si="157"/>
        <v>13.254786450662738</v>
      </c>
      <c r="S326" s="7">
        <f>B326/몬스터!$C$6*R326</f>
        <v>173.96907216494844</v>
      </c>
      <c r="U326">
        <f>ROUNDDOWN(R326*몬스터!$H$6, 0)*몬스터!$G$6*(1+몬스터!$I$6)</f>
        <v>109.98000000000002</v>
      </c>
      <c r="V326" s="2">
        <f t="shared" si="160"/>
        <v>0.36225296442687749</v>
      </c>
    </row>
    <row r="327" spans="1:22" x14ac:dyDescent="0.4">
      <c r="A327">
        <v>8</v>
      </c>
      <c r="B327" s="4">
        <f>150*A327+50</f>
        <v>1250</v>
      </c>
      <c r="C327">
        <f t="shared" si="150"/>
        <v>245</v>
      </c>
      <c r="D327">
        <f t="shared" si="151"/>
        <v>32</v>
      </c>
      <c r="E327" s="2">
        <v>0</v>
      </c>
      <c r="F327">
        <f t="shared" si="152"/>
        <v>28</v>
      </c>
      <c r="G327">
        <f t="shared" si="153"/>
        <v>0.68100000000000005</v>
      </c>
      <c r="H327" s="3">
        <f t="shared" si="158"/>
        <v>0.05</v>
      </c>
      <c r="I327" s="2">
        <v>2</v>
      </c>
      <c r="J327" s="2">
        <v>0</v>
      </c>
      <c r="K327" s="2">
        <v>1</v>
      </c>
      <c r="L327" s="16">
        <v>1</v>
      </c>
      <c r="M327" s="5">
        <f t="shared" si="154"/>
        <v>370</v>
      </c>
      <c r="N327" s="6">
        <f t="shared" si="155"/>
        <v>20.021400000000003</v>
      </c>
      <c r="O327">
        <f t="shared" si="156"/>
        <v>323.40000000000003</v>
      </c>
      <c r="P327" s="7">
        <f t="shared" si="159"/>
        <v>16.152716593245227</v>
      </c>
      <c r="Q327">
        <f>ROUNDUP(몬스터!$P$6/F327, 0)</f>
        <v>8</v>
      </c>
      <c r="R327" s="6">
        <f t="shared" si="157"/>
        <v>11.747430249632892</v>
      </c>
      <c r="S327" s="7">
        <f>B327/몬스터!$C$6*R327</f>
        <v>183.55359765051392</v>
      </c>
      <c r="U327">
        <f>ROUNDDOWN(R327*몬스터!$H$6, 0)*몬스터!$G$6*(1+몬스터!$I$6)</f>
        <v>96.232500000000016</v>
      </c>
      <c r="V327" s="2">
        <f t="shared" si="160"/>
        <v>0.29756493506493509</v>
      </c>
    </row>
    <row r="328" spans="1:22" x14ac:dyDescent="0.4">
      <c r="A328">
        <v>9</v>
      </c>
      <c r="B328" s="4">
        <f>150*A328+50</f>
        <v>1400</v>
      </c>
      <c r="C328">
        <f t="shared" si="150"/>
        <v>255</v>
      </c>
      <c r="D328">
        <f t="shared" si="151"/>
        <v>32</v>
      </c>
      <c r="E328" s="2">
        <v>0</v>
      </c>
      <c r="F328">
        <f t="shared" si="152"/>
        <v>29</v>
      </c>
      <c r="G328">
        <f t="shared" si="153"/>
        <v>0.68300000000000005</v>
      </c>
      <c r="H328" s="3">
        <f t="shared" si="158"/>
        <v>0.05</v>
      </c>
      <c r="I328" s="2">
        <v>2</v>
      </c>
      <c r="J328" s="2">
        <v>0</v>
      </c>
      <c r="K328" s="2">
        <v>1</v>
      </c>
      <c r="L328" s="16">
        <v>1</v>
      </c>
      <c r="M328" s="5">
        <f t="shared" si="154"/>
        <v>380</v>
      </c>
      <c r="N328" s="6">
        <f t="shared" si="155"/>
        <v>20.797350000000002</v>
      </c>
      <c r="O328">
        <f t="shared" si="156"/>
        <v>336.6</v>
      </c>
      <c r="P328" s="7">
        <f t="shared" si="159"/>
        <v>16.184754307640155</v>
      </c>
      <c r="Q328">
        <f>ROUNDUP(몬스터!$P$6/F328, 0)</f>
        <v>8</v>
      </c>
      <c r="R328" s="6">
        <f t="shared" si="157"/>
        <v>11.713030746705709</v>
      </c>
      <c r="S328" s="7">
        <f>B328/몬스터!$C$6*R328</f>
        <v>204.9780380673499</v>
      </c>
      <c r="U328">
        <f>ROUNDDOWN(R328*몬스터!$H$6, 0)*몬스터!$G$6*(1+몬스터!$I$6)</f>
        <v>96.232500000000016</v>
      </c>
      <c r="V328" s="2">
        <f t="shared" si="160"/>
        <v>0.28589572192513374</v>
      </c>
    </row>
    <row r="329" spans="1:22" x14ac:dyDescent="0.4">
      <c r="A329">
        <v>10</v>
      </c>
      <c r="B329" s="4">
        <f>150*A329+50</f>
        <v>1550</v>
      </c>
      <c r="C329">
        <f t="shared" si="150"/>
        <v>265</v>
      </c>
      <c r="D329">
        <f t="shared" si="151"/>
        <v>33</v>
      </c>
      <c r="E329" s="2">
        <v>0</v>
      </c>
      <c r="F329">
        <f t="shared" si="152"/>
        <v>31</v>
      </c>
      <c r="G329">
        <f t="shared" si="153"/>
        <v>0.68500000000000005</v>
      </c>
      <c r="H329" s="3">
        <f t="shared" si="158"/>
        <v>0.05</v>
      </c>
      <c r="I329" s="2">
        <v>2</v>
      </c>
      <c r="J329" s="2">
        <v>0</v>
      </c>
      <c r="K329" s="2">
        <v>1</v>
      </c>
      <c r="L329" s="16">
        <v>1</v>
      </c>
      <c r="M329" s="5">
        <f t="shared" si="154"/>
        <v>390</v>
      </c>
      <c r="N329" s="6">
        <f t="shared" si="155"/>
        <v>22.296750000000003</v>
      </c>
      <c r="O329">
        <f t="shared" si="156"/>
        <v>352.45000000000005</v>
      </c>
      <c r="P329" s="7">
        <f t="shared" si="159"/>
        <v>15.80723648065301</v>
      </c>
      <c r="Q329">
        <f>ROUNDUP(몬스터!$P$6/F329, 0)</f>
        <v>8</v>
      </c>
      <c r="R329" s="6">
        <f t="shared" si="157"/>
        <v>11.678832116788321</v>
      </c>
      <c r="S329" s="7">
        <f>B329/몬스터!$C$6*R329</f>
        <v>226.27737226277372</v>
      </c>
      <c r="T329" s="7">
        <f>SUM(S325:S329)</f>
        <v>938.33494868325215</v>
      </c>
      <c r="U329">
        <f>ROUNDDOWN(R329*몬스터!$H$6, 0)*몬스터!$G$6*(1+몬스터!$I$6)</f>
        <v>96.232500000000016</v>
      </c>
      <c r="V329" s="2">
        <f t="shared" si="160"/>
        <v>0.27303872889771602</v>
      </c>
    </row>
    <row r="330" spans="1:22" x14ac:dyDescent="0.4">
      <c r="A330">
        <v>11</v>
      </c>
      <c r="B330" s="4">
        <f>160*A330</f>
        <v>1760</v>
      </c>
      <c r="C330">
        <f t="shared" si="150"/>
        <v>275</v>
      </c>
      <c r="D330">
        <f t="shared" si="151"/>
        <v>33</v>
      </c>
      <c r="E330" s="2">
        <v>0</v>
      </c>
      <c r="F330">
        <f t="shared" si="152"/>
        <v>32</v>
      </c>
      <c r="G330">
        <f t="shared" si="153"/>
        <v>0.68700000000000006</v>
      </c>
      <c r="H330" s="3">
        <f t="shared" si="158"/>
        <v>0.05</v>
      </c>
      <c r="I330" s="2">
        <v>2</v>
      </c>
      <c r="J330" s="2">
        <v>0</v>
      </c>
      <c r="K330" s="2">
        <v>1</v>
      </c>
      <c r="L330" s="16">
        <v>1</v>
      </c>
      <c r="M330" s="5">
        <f t="shared" si="154"/>
        <v>400</v>
      </c>
      <c r="N330" s="6">
        <f t="shared" si="155"/>
        <v>23.083200000000001</v>
      </c>
      <c r="O330">
        <f t="shared" si="156"/>
        <v>365.75</v>
      </c>
      <c r="P330" s="7">
        <f t="shared" si="159"/>
        <v>15.844856865599223</v>
      </c>
      <c r="Q330">
        <f>ROUNDUP(몬스터!$P$7/F330, 0)</f>
        <v>8</v>
      </c>
      <c r="R330" s="6">
        <f t="shared" si="157"/>
        <v>11.644832605531295</v>
      </c>
      <c r="S330" s="7">
        <f>B330/몬스터!$C$7*R330</f>
        <v>157.6531183518083</v>
      </c>
      <c r="U330">
        <f>ROUNDDOWN(R330*몬스터!$H$7, 0)*몬스터!$G$7*(1+몬스터!$I$7)</f>
        <v>156.55499999999998</v>
      </c>
      <c r="V330" s="2">
        <f t="shared" si="160"/>
        <v>0.42803827751196166</v>
      </c>
    </row>
    <row r="331" spans="1:22" x14ac:dyDescent="0.4">
      <c r="A331">
        <v>12</v>
      </c>
      <c r="B331" s="4">
        <f>160*A331</f>
        <v>1920</v>
      </c>
      <c r="C331">
        <f t="shared" si="150"/>
        <v>290</v>
      </c>
      <c r="D331">
        <f t="shared" si="151"/>
        <v>33</v>
      </c>
      <c r="E331" s="2">
        <v>0</v>
      </c>
      <c r="F331">
        <f t="shared" si="152"/>
        <v>33</v>
      </c>
      <c r="G331">
        <f t="shared" si="153"/>
        <v>0.68900000000000006</v>
      </c>
      <c r="H331" s="3">
        <f t="shared" si="158"/>
        <v>0.05</v>
      </c>
      <c r="I331" s="2">
        <v>2</v>
      </c>
      <c r="J331" s="2">
        <v>0</v>
      </c>
      <c r="K331" s="2">
        <v>1</v>
      </c>
      <c r="L331" s="16">
        <v>1</v>
      </c>
      <c r="M331" s="5">
        <f t="shared" si="154"/>
        <v>410</v>
      </c>
      <c r="N331" s="6">
        <f t="shared" si="155"/>
        <v>23.873850000000004</v>
      </c>
      <c r="O331">
        <f t="shared" si="156"/>
        <v>385.70000000000005</v>
      </c>
      <c r="P331" s="7">
        <f t="shared" si="159"/>
        <v>16.155752004808608</v>
      </c>
      <c r="Q331">
        <f>ROUNDUP(몬스터!$P$7/F331, 0)</f>
        <v>8</v>
      </c>
      <c r="R331" s="6">
        <f t="shared" si="157"/>
        <v>11.611030478955007</v>
      </c>
      <c r="S331" s="7">
        <f>B331/몬스터!$C$7*R331</f>
        <v>171.48598861225858</v>
      </c>
      <c r="U331">
        <f>ROUNDDOWN(R331*몬스터!$H$7, 0)*몬스터!$G$7*(1+몬스터!$I$7)</f>
        <v>156.55499999999998</v>
      </c>
      <c r="V331" s="2">
        <f t="shared" si="160"/>
        <v>0.40589836660617051</v>
      </c>
    </row>
    <row r="332" spans="1:22" x14ac:dyDescent="0.4">
      <c r="A332">
        <v>13</v>
      </c>
      <c r="B332" s="4">
        <f>160*A332+40</f>
        <v>2120</v>
      </c>
      <c r="C332">
        <f t="shared" si="150"/>
        <v>300</v>
      </c>
      <c r="D332">
        <f t="shared" si="151"/>
        <v>33</v>
      </c>
      <c r="E332" s="2">
        <v>0</v>
      </c>
      <c r="F332">
        <f t="shared" si="152"/>
        <v>34</v>
      </c>
      <c r="G332">
        <f t="shared" si="153"/>
        <v>0.69100000000000006</v>
      </c>
      <c r="H332" s="3">
        <f t="shared" si="158"/>
        <v>0.05</v>
      </c>
      <c r="I332" s="2">
        <v>2</v>
      </c>
      <c r="J332" s="2">
        <v>0</v>
      </c>
      <c r="K332" s="2">
        <v>1</v>
      </c>
      <c r="L332" s="16">
        <v>1</v>
      </c>
      <c r="M332" s="5">
        <f t="shared" si="154"/>
        <v>420</v>
      </c>
      <c r="N332" s="6">
        <f t="shared" si="155"/>
        <v>24.668700000000005</v>
      </c>
      <c r="O332">
        <f t="shared" si="156"/>
        <v>399</v>
      </c>
      <c r="P332" s="7">
        <f t="shared" si="159"/>
        <v>16.174342385289858</v>
      </c>
      <c r="Q332">
        <f>ROUNDUP(몬스터!$P$7/F332, 0)</f>
        <v>8</v>
      </c>
      <c r="R332" s="6">
        <f t="shared" si="157"/>
        <v>11.577424023154848</v>
      </c>
      <c r="S332" s="7">
        <f>B332/몬스터!$C$7*R332</f>
        <v>188.80106868529441</v>
      </c>
      <c r="U332">
        <f>ROUNDDOWN(R332*몬스터!$H$7, 0)*몬스터!$G$7*(1+몬스터!$I$7)</f>
        <v>156.55499999999998</v>
      </c>
      <c r="V332" s="2">
        <f t="shared" si="160"/>
        <v>0.39236842105263153</v>
      </c>
    </row>
    <row r="333" spans="1:22" x14ac:dyDescent="0.4">
      <c r="A333">
        <v>14</v>
      </c>
      <c r="B333" s="4">
        <f>160*A333+120</f>
        <v>2360</v>
      </c>
      <c r="C333">
        <f t="shared" si="150"/>
        <v>310</v>
      </c>
      <c r="D333">
        <f t="shared" si="151"/>
        <v>34</v>
      </c>
      <c r="E333" s="2">
        <v>0</v>
      </c>
      <c r="F333">
        <f t="shared" si="152"/>
        <v>35</v>
      </c>
      <c r="G333">
        <f t="shared" si="153"/>
        <v>0.69300000000000006</v>
      </c>
      <c r="H333" s="3">
        <f t="shared" si="158"/>
        <v>0.05</v>
      </c>
      <c r="I333" s="2">
        <v>2</v>
      </c>
      <c r="J333" s="2">
        <v>0</v>
      </c>
      <c r="K333" s="2">
        <v>1</v>
      </c>
      <c r="L333" s="16">
        <v>1</v>
      </c>
      <c r="M333" s="5">
        <f t="shared" si="154"/>
        <v>430</v>
      </c>
      <c r="N333" s="6">
        <f t="shared" si="155"/>
        <v>25.467750000000002</v>
      </c>
      <c r="O333">
        <f t="shared" si="156"/>
        <v>415.40000000000003</v>
      </c>
      <c r="P333" s="7">
        <f t="shared" si="159"/>
        <v>16.310824474089781</v>
      </c>
      <c r="Q333">
        <f>ROUNDUP(몬스터!$P$7/F333, 0)</f>
        <v>8</v>
      </c>
      <c r="R333" s="6">
        <f t="shared" si="157"/>
        <v>11.544011544011543</v>
      </c>
      <c r="S333" s="7">
        <f>B333/몬스터!$C$7*R333</f>
        <v>209.56820956820954</v>
      </c>
      <c r="U333">
        <f>ROUNDDOWN(R333*몬스터!$H$7, 0)*몬스터!$G$7*(1+몬스터!$I$7)</f>
        <v>156.55499999999998</v>
      </c>
      <c r="V333" s="2">
        <f t="shared" si="160"/>
        <v>0.3768777082330283</v>
      </c>
    </row>
    <row r="334" spans="1:22" x14ac:dyDescent="0.4">
      <c r="A334">
        <v>15</v>
      </c>
      <c r="B334" s="4">
        <f>160*A334+100</f>
        <v>2500</v>
      </c>
      <c r="C334">
        <f t="shared" si="150"/>
        <v>320</v>
      </c>
      <c r="D334">
        <f t="shared" si="151"/>
        <v>34</v>
      </c>
      <c r="E334" s="2">
        <v>0</v>
      </c>
      <c r="F334">
        <f t="shared" si="152"/>
        <v>37</v>
      </c>
      <c r="G334">
        <f t="shared" si="153"/>
        <v>0.69500000000000006</v>
      </c>
      <c r="H334" s="3">
        <f t="shared" si="158"/>
        <v>0.05</v>
      </c>
      <c r="I334" s="2">
        <v>2</v>
      </c>
      <c r="J334" s="2">
        <v>0</v>
      </c>
      <c r="K334" s="2">
        <v>1</v>
      </c>
      <c r="L334" s="16">
        <v>1</v>
      </c>
      <c r="M334" s="5">
        <f t="shared" si="154"/>
        <v>440</v>
      </c>
      <c r="N334" s="6">
        <f t="shared" si="155"/>
        <v>27.000750000000004</v>
      </c>
      <c r="O334">
        <f t="shared" si="156"/>
        <v>428.8</v>
      </c>
      <c r="P334" s="7">
        <f t="shared" si="159"/>
        <v>15.881040341471994</v>
      </c>
      <c r="Q334">
        <f>ROUNDUP(몬스터!$P$7/F334, 0)</f>
        <v>7</v>
      </c>
      <c r="R334" s="6">
        <f t="shared" si="157"/>
        <v>10.071942446043165</v>
      </c>
      <c r="S334" s="7">
        <f>B334/몬스터!$C$7*R334</f>
        <v>193.69120088544548</v>
      </c>
      <c r="T334" s="7">
        <f t="shared" ref="T334" si="161">SUM(S330:S334)</f>
        <v>921.19958610301626</v>
      </c>
      <c r="U334">
        <f>ROUNDDOWN(R334*몬스터!$H$7, 0)*몬스터!$G$7*(1+몬스터!$I$7)</f>
        <v>134.19</v>
      </c>
      <c r="V334" s="2">
        <f t="shared" si="160"/>
        <v>0.31294309701492534</v>
      </c>
    </row>
    <row r="335" spans="1:22" x14ac:dyDescent="0.4">
      <c r="A335">
        <v>16</v>
      </c>
      <c r="B335" s="4">
        <f>160*A335</f>
        <v>2560</v>
      </c>
      <c r="C335">
        <f t="shared" si="150"/>
        <v>335</v>
      </c>
      <c r="D335">
        <f t="shared" si="151"/>
        <v>34</v>
      </c>
      <c r="E335" s="2">
        <v>0</v>
      </c>
      <c r="F335">
        <f t="shared" si="152"/>
        <v>38</v>
      </c>
      <c r="G335">
        <f t="shared" si="153"/>
        <v>0.69700000000000006</v>
      </c>
      <c r="H335" s="3">
        <f t="shared" si="158"/>
        <v>0.05</v>
      </c>
      <c r="I335" s="2">
        <v>2</v>
      </c>
      <c r="J335" s="2">
        <v>0</v>
      </c>
      <c r="K335" s="2">
        <v>1</v>
      </c>
      <c r="L335" s="16">
        <v>1</v>
      </c>
      <c r="M335" s="5">
        <f t="shared" si="154"/>
        <v>450</v>
      </c>
      <c r="N335" s="6">
        <f t="shared" si="155"/>
        <v>27.810300000000005</v>
      </c>
      <c r="O335">
        <f t="shared" si="156"/>
        <v>448.90000000000003</v>
      </c>
      <c r="P335" s="7">
        <f t="shared" si="159"/>
        <v>16.141501530008664</v>
      </c>
      <c r="Q335">
        <f>ROUNDUP(몬스터!$P$8/F335, 0)</f>
        <v>9</v>
      </c>
      <c r="R335" s="6">
        <f t="shared" si="157"/>
        <v>12.91248206599713</v>
      </c>
      <c r="S335" s="7">
        <f>B335/몬스터!$C$8*R335</f>
        <v>183.64418938307028</v>
      </c>
      <c r="U335">
        <f>ROUNDDOWN(R335*몬스터!$H$8, 0)*몬스터!$G$8*(1+몬스터!$I$8)</f>
        <v>240.24</v>
      </c>
      <c r="V335" s="2">
        <f t="shared" si="160"/>
        <v>0.53517487190911117</v>
      </c>
    </row>
    <row r="336" spans="1:22" x14ac:dyDescent="0.4">
      <c r="A336">
        <v>17</v>
      </c>
      <c r="B336" s="4">
        <f>160*A336</f>
        <v>2720</v>
      </c>
      <c r="C336">
        <f t="shared" si="150"/>
        <v>345</v>
      </c>
      <c r="D336">
        <f t="shared" si="151"/>
        <v>35</v>
      </c>
      <c r="E336" s="2">
        <v>0</v>
      </c>
      <c r="F336">
        <f t="shared" si="152"/>
        <v>39</v>
      </c>
      <c r="G336">
        <f t="shared" si="153"/>
        <v>0.69900000000000007</v>
      </c>
      <c r="H336" s="3">
        <f t="shared" si="158"/>
        <v>0.05</v>
      </c>
      <c r="I336" s="2">
        <v>2</v>
      </c>
      <c r="J336" s="2">
        <v>0</v>
      </c>
      <c r="K336" s="2">
        <v>1</v>
      </c>
      <c r="L336" s="16">
        <v>1</v>
      </c>
      <c r="M336" s="5">
        <f t="shared" si="154"/>
        <v>460</v>
      </c>
      <c r="N336" s="6">
        <f t="shared" si="155"/>
        <v>28.624050000000004</v>
      </c>
      <c r="O336">
        <f t="shared" si="156"/>
        <v>465.75000000000006</v>
      </c>
      <c r="P336" s="7">
        <f t="shared" si="159"/>
        <v>16.271282365702966</v>
      </c>
      <c r="Q336">
        <f>ROUNDUP(몬스터!$P$8/F336, 0)</f>
        <v>9</v>
      </c>
      <c r="R336" s="6">
        <f t="shared" si="157"/>
        <v>12.875536480686694</v>
      </c>
      <c r="S336" s="7">
        <f>B336/몬스터!$C$8*R336</f>
        <v>194.56366237482115</v>
      </c>
      <c r="U336">
        <f>ROUNDDOWN(R336*몬스터!$H$8, 0)*몬스터!$G$8*(1+몬스터!$I$8)</f>
        <v>240.24</v>
      </c>
      <c r="V336" s="2">
        <f t="shared" si="160"/>
        <v>0.51581320450885659</v>
      </c>
    </row>
    <row r="337" spans="1:22" x14ac:dyDescent="0.4">
      <c r="A337">
        <v>18</v>
      </c>
      <c r="B337" s="4">
        <f>160*A337</f>
        <v>2880</v>
      </c>
      <c r="C337">
        <f t="shared" si="150"/>
        <v>355</v>
      </c>
      <c r="D337">
        <f t="shared" si="151"/>
        <v>35</v>
      </c>
      <c r="E337" s="2">
        <v>0</v>
      </c>
      <c r="F337">
        <f t="shared" si="152"/>
        <v>40</v>
      </c>
      <c r="G337">
        <f t="shared" si="153"/>
        <v>0.70100000000000007</v>
      </c>
      <c r="H337" s="3">
        <f t="shared" si="158"/>
        <v>0.05</v>
      </c>
      <c r="I337" s="2">
        <v>2</v>
      </c>
      <c r="J337" s="2">
        <v>0</v>
      </c>
      <c r="K337" s="2">
        <v>1</v>
      </c>
      <c r="L337" s="16">
        <v>1</v>
      </c>
      <c r="M337" s="5">
        <f t="shared" si="154"/>
        <v>470</v>
      </c>
      <c r="N337" s="6">
        <f t="shared" si="155"/>
        <v>29.442000000000004</v>
      </c>
      <c r="O337">
        <f t="shared" si="156"/>
        <v>479.25000000000006</v>
      </c>
      <c r="P337" s="7">
        <f t="shared" si="159"/>
        <v>16.277766456083146</v>
      </c>
      <c r="Q337">
        <f>ROUNDUP(몬스터!$P$8/F337, 0)</f>
        <v>9</v>
      </c>
      <c r="R337" s="6">
        <f t="shared" si="157"/>
        <v>12.838801711840228</v>
      </c>
      <c r="S337" s="7">
        <f>B337/몬스터!$C$8*R337</f>
        <v>205.42082738944364</v>
      </c>
      <c r="U337">
        <f>ROUNDDOWN(R337*몬스터!$H$8, 0)*몬스터!$G$8*(1+몬스터!$I$8)</f>
        <v>240.24</v>
      </c>
      <c r="V337" s="2">
        <f t="shared" si="160"/>
        <v>0.50128325508607197</v>
      </c>
    </row>
    <row r="338" spans="1:22" x14ac:dyDescent="0.4">
      <c r="A338">
        <v>19</v>
      </c>
      <c r="B338" s="4">
        <f>160*A338</f>
        <v>3040</v>
      </c>
      <c r="C338">
        <f t="shared" si="150"/>
        <v>365</v>
      </c>
      <c r="D338">
        <f t="shared" si="151"/>
        <v>35</v>
      </c>
      <c r="E338" s="2">
        <v>0</v>
      </c>
      <c r="F338">
        <f t="shared" si="152"/>
        <v>41</v>
      </c>
      <c r="G338">
        <f t="shared" si="153"/>
        <v>0.70300000000000007</v>
      </c>
      <c r="H338" s="3">
        <f t="shared" si="158"/>
        <v>0.05</v>
      </c>
      <c r="I338" s="2">
        <v>2</v>
      </c>
      <c r="J338" s="2">
        <v>0</v>
      </c>
      <c r="K338" s="2">
        <v>1</v>
      </c>
      <c r="L338" s="16">
        <v>1</v>
      </c>
      <c r="M338" s="5">
        <f t="shared" si="154"/>
        <v>480</v>
      </c>
      <c r="N338" s="6">
        <f t="shared" si="155"/>
        <v>30.264150000000004</v>
      </c>
      <c r="O338">
        <f t="shared" si="156"/>
        <v>492.75000000000006</v>
      </c>
      <c r="P338" s="7">
        <f t="shared" si="159"/>
        <v>16.281640158405242</v>
      </c>
      <c r="Q338">
        <f>ROUNDUP(몬스터!$P$8/F338, 0)</f>
        <v>9</v>
      </c>
      <c r="R338" s="6">
        <f t="shared" si="157"/>
        <v>12.802275960170697</v>
      </c>
      <c r="S338" s="7">
        <f>B338/몬스터!$C$8*R338</f>
        <v>216.21621621621622</v>
      </c>
      <c r="U338">
        <f>ROUNDDOWN(R338*몬스터!$H$8, 0)*몬스터!$G$8*(1+몬스터!$I$8)</f>
        <v>240.24</v>
      </c>
      <c r="V338" s="2">
        <f t="shared" si="160"/>
        <v>0.48754946727549464</v>
      </c>
    </row>
    <row r="339" spans="1:22" x14ac:dyDescent="0.4">
      <c r="A339">
        <v>20</v>
      </c>
      <c r="B339" s="4">
        <f>160*A339+80</f>
        <v>3280</v>
      </c>
      <c r="C339">
        <f t="shared" si="150"/>
        <v>375</v>
      </c>
      <c r="D339">
        <f t="shared" si="151"/>
        <v>36</v>
      </c>
      <c r="E339" s="2">
        <v>0</v>
      </c>
      <c r="F339">
        <f t="shared" si="152"/>
        <v>43</v>
      </c>
      <c r="G339">
        <f t="shared" si="153"/>
        <v>0.70500000000000007</v>
      </c>
      <c r="H339" s="3">
        <f t="shared" si="158"/>
        <v>0.05</v>
      </c>
      <c r="I339" s="2">
        <v>2</v>
      </c>
      <c r="J339" s="2">
        <v>0</v>
      </c>
      <c r="K339" s="2">
        <v>1</v>
      </c>
      <c r="L339" s="16">
        <v>1</v>
      </c>
      <c r="M339" s="5">
        <f t="shared" si="154"/>
        <v>490</v>
      </c>
      <c r="N339" s="6">
        <f t="shared" si="155"/>
        <v>31.830750000000005</v>
      </c>
      <c r="O339">
        <f t="shared" si="156"/>
        <v>509.99999999999994</v>
      </c>
      <c r="P339" s="7">
        <f t="shared" si="159"/>
        <v>16.022242642727548</v>
      </c>
      <c r="Q339">
        <f>ROUNDUP(몬스터!$P$8/F339, 0)</f>
        <v>8</v>
      </c>
      <c r="R339" s="6">
        <f t="shared" si="157"/>
        <v>11.347517730496453</v>
      </c>
      <c r="S339" s="7">
        <f>B339/몬스터!$C$8*R339</f>
        <v>206.77698975571312</v>
      </c>
      <c r="T339" s="7">
        <f t="shared" ref="T339" si="162">SUM(S335:S339)</f>
        <v>1006.6218851192644</v>
      </c>
      <c r="U339">
        <f>ROUNDDOWN(R339*몬스터!$H$8, 0)*몬스터!$G$8*(1+몬스터!$I$8)</f>
        <v>210.21</v>
      </c>
      <c r="V339" s="2">
        <f t="shared" si="160"/>
        <v>0.41217647058823537</v>
      </c>
    </row>
    <row r="340" spans="1:22" x14ac:dyDescent="0.4">
      <c r="A340">
        <v>21</v>
      </c>
      <c r="B340" s="4">
        <f>160*A340</f>
        <v>3360</v>
      </c>
      <c r="C340">
        <f t="shared" si="150"/>
        <v>390</v>
      </c>
      <c r="D340">
        <f t="shared" si="151"/>
        <v>36</v>
      </c>
      <c r="E340" s="2">
        <v>0</v>
      </c>
      <c r="F340">
        <f t="shared" si="152"/>
        <v>44</v>
      </c>
      <c r="G340">
        <f t="shared" si="153"/>
        <v>0.70700000000000007</v>
      </c>
      <c r="H340" s="3">
        <f t="shared" si="158"/>
        <v>0.05</v>
      </c>
      <c r="I340" s="2">
        <v>2</v>
      </c>
      <c r="J340" s="2">
        <v>0</v>
      </c>
      <c r="K340" s="2">
        <v>1</v>
      </c>
      <c r="L340" s="16">
        <v>1</v>
      </c>
      <c r="M340" s="5">
        <f t="shared" si="154"/>
        <v>500</v>
      </c>
      <c r="N340" s="6">
        <f t="shared" si="155"/>
        <v>32.663400000000003</v>
      </c>
      <c r="O340">
        <f t="shared" si="156"/>
        <v>530.4</v>
      </c>
      <c r="P340" s="7">
        <f t="shared" si="159"/>
        <v>16.238358529730522</v>
      </c>
      <c r="Q340">
        <f>ROUNDUP(몬스터!$P$11/F340, 0)</f>
        <v>10</v>
      </c>
      <c r="R340" s="6">
        <f t="shared" si="157"/>
        <v>14.144271570014142</v>
      </c>
      <c r="S340" s="7">
        <f>B340/몬스터!$C$11*R340</f>
        <v>206.62935858803269</v>
      </c>
      <c r="U340">
        <f>ROUNDDOWN(R340*몬스터!$H$11, 0)*몬스터!$G$11*(1+몬스터!$I$11)</f>
        <v>349.92</v>
      </c>
      <c r="V340" s="2">
        <f t="shared" si="160"/>
        <v>0.65972850678733042</v>
      </c>
    </row>
    <row r="341" spans="1:22" x14ac:dyDescent="0.4">
      <c r="A341">
        <v>22</v>
      </c>
      <c r="B341" s="4">
        <f>160*A341</f>
        <v>3520</v>
      </c>
      <c r="C341">
        <f t="shared" si="150"/>
        <v>400</v>
      </c>
      <c r="D341">
        <f t="shared" si="151"/>
        <v>36</v>
      </c>
      <c r="E341" s="2">
        <v>0</v>
      </c>
      <c r="F341">
        <f t="shared" si="152"/>
        <v>45</v>
      </c>
      <c r="G341">
        <f t="shared" si="153"/>
        <v>0.70900000000000007</v>
      </c>
      <c r="H341" s="3">
        <f t="shared" si="158"/>
        <v>0.05</v>
      </c>
      <c r="I341" s="2">
        <v>2</v>
      </c>
      <c r="J341" s="2">
        <v>0</v>
      </c>
      <c r="K341" s="2">
        <v>1</v>
      </c>
      <c r="L341" s="16">
        <v>1</v>
      </c>
      <c r="M341" s="5">
        <f t="shared" si="154"/>
        <v>510</v>
      </c>
      <c r="N341" s="6">
        <f t="shared" si="155"/>
        <v>33.500250000000008</v>
      </c>
      <c r="O341">
        <f t="shared" si="156"/>
        <v>544</v>
      </c>
      <c r="P341" s="7">
        <f t="shared" si="159"/>
        <v>16.238684785934428</v>
      </c>
      <c r="Q341">
        <f>ROUNDUP(몬스터!$P$11/F341, 0)</f>
        <v>10</v>
      </c>
      <c r="R341" s="6">
        <f t="shared" si="157"/>
        <v>14.104372355430183</v>
      </c>
      <c r="S341" s="7">
        <f>B341/몬스터!$C$11*R341</f>
        <v>215.85822039614888</v>
      </c>
      <c r="U341">
        <f>ROUNDDOWN(R341*몬스터!$H$11, 0)*몬스터!$G$11*(1+몬스터!$I$11)</f>
        <v>349.92</v>
      </c>
      <c r="V341" s="2">
        <f t="shared" si="160"/>
        <v>0.64323529411764713</v>
      </c>
    </row>
    <row r="342" spans="1:22" x14ac:dyDescent="0.4">
      <c r="A342">
        <v>23</v>
      </c>
      <c r="B342" s="4">
        <f>160*A342</f>
        <v>3680</v>
      </c>
      <c r="C342">
        <f t="shared" si="150"/>
        <v>410</v>
      </c>
      <c r="D342">
        <f t="shared" si="151"/>
        <v>36</v>
      </c>
      <c r="E342" s="2">
        <v>0</v>
      </c>
      <c r="F342">
        <f t="shared" si="152"/>
        <v>46</v>
      </c>
      <c r="G342">
        <f t="shared" si="153"/>
        <v>0.71100000000000008</v>
      </c>
      <c r="H342" s="3">
        <f t="shared" si="158"/>
        <v>0.05</v>
      </c>
      <c r="I342" s="2">
        <v>2</v>
      </c>
      <c r="J342" s="2">
        <v>0</v>
      </c>
      <c r="K342" s="2">
        <v>1</v>
      </c>
      <c r="L342" s="16">
        <v>1</v>
      </c>
      <c r="M342" s="5">
        <f t="shared" si="154"/>
        <v>520</v>
      </c>
      <c r="N342" s="6">
        <f t="shared" si="155"/>
        <v>34.341300000000004</v>
      </c>
      <c r="O342">
        <f t="shared" si="156"/>
        <v>557.59999999999991</v>
      </c>
      <c r="P342" s="7">
        <f t="shared" si="159"/>
        <v>16.237009082358554</v>
      </c>
      <c r="Q342">
        <f>ROUNDUP(몬스터!$P$11/F342, 0)</f>
        <v>10</v>
      </c>
      <c r="R342" s="6">
        <f t="shared" si="157"/>
        <v>14.064697609001405</v>
      </c>
      <c r="S342" s="7">
        <f>B342/몬스터!$C$11*R342</f>
        <v>225.03516174402247</v>
      </c>
      <c r="U342">
        <f>ROUNDDOWN(R342*몬스터!$H$11, 0)*몬스터!$G$11*(1+몬스터!$I$11)</f>
        <v>349.92</v>
      </c>
      <c r="V342" s="2">
        <f t="shared" si="160"/>
        <v>0.62754662840746067</v>
      </c>
    </row>
    <row r="343" spans="1:22" x14ac:dyDescent="0.4">
      <c r="A343">
        <v>24</v>
      </c>
      <c r="B343" s="4">
        <f>160*A343</f>
        <v>3840</v>
      </c>
      <c r="C343">
        <f t="shared" si="150"/>
        <v>420</v>
      </c>
      <c r="D343">
        <f t="shared" si="151"/>
        <v>37</v>
      </c>
      <c r="E343" s="2">
        <v>0</v>
      </c>
      <c r="F343">
        <f t="shared" si="152"/>
        <v>47</v>
      </c>
      <c r="G343">
        <f t="shared" si="153"/>
        <v>0.71300000000000008</v>
      </c>
      <c r="H343" s="3">
        <f t="shared" si="158"/>
        <v>0.05</v>
      </c>
      <c r="I343" s="2">
        <v>2</v>
      </c>
      <c r="J343" s="2">
        <v>0</v>
      </c>
      <c r="K343" s="2">
        <v>1</v>
      </c>
      <c r="L343" s="16">
        <v>1</v>
      </c>
      <c r="M343" s="5">
        <f t="shared" si="154"/>
        <v>530</v>
      </c>
      <c r="N343" s="6">
        <f t="shared" si="155"/>
        <v>35.186550000000004</v>
      </c>
      <c r="O343">
        <f t="shared" si="156"/>
        <v>575.40000000000009</v>
      </c>
      <c r="P343" s="7">
        <f t="shared" si="159"/>
        <v>16.352839366178269</v>
      </c>
      <c r="Q343">
        <f>ROUNDUP(몬스터!$P$11/F343, 0)</f>
        <v>10</v>
      </c>
      <c r="R343" s="6">
        <f t="shared" si="157"/>
        <v>14.02524544179523</v>
      </c>
      <c r="S343" s="7">
        <f>B343/몬스터!$C$11*R343</f>
        <v>234.16061954997252</v>
      </c>
      <c r="U343">
        <f>ROUNDDOWN(R343*몬스터!$H$11, 0)*몬스터!$G$11*(1+몬스터!$I$11)</f>
        <v>349.92</v>
      </c>
      <c r="V343" s="2">
        <f t="shared" si="160"/>
        <v>0.60813347236704896</v>
      </c>
    </row>
    <row r="344" spans="1:22" x14ac:dyDescent="0.4">
      <c r="A344">
        <v>25</v>
      </c>
      <c r="B344" s="4">
        <f>160*A344</f>
        <v>4000</v>
      </c>
      <c r="C344">
        <f t="shared" si="150"/>
        <v>435</v>
      </c>
      <c r="D344">
        <f t="shared" si="151"/>
        <v>37</v>
      </c>
      <c r="E344" s="2">
        <v>0</v>
      </c>
      <c r="F344">
        <f t="shared" si="152"/>
        <v>49</v>
      </c>
      <c r="G344">
        <f t="shared" si="153"/>
        <v>0.71500000000000008</v>
      </c>
      <c r="H344" s="3">
        <f t="shared" si="158"/>
        <v>0.05</v>
      </c>
      <c r="I344" s="2">
        <v>2</v>
      </c>
      <c r="J344" s="2">
        <v>0</v>
      </c>
      <c r="K344" s="2">
        <v>1</v>
      </c>
      <c r="L344" s="16">
        <v>1</v>
      </c>
      <c r="M344" s="5">
        <f t="shared" si="154"/>
        <v>540</v>
      </c>
      <c r="N344" s="6">
        <f t="shared" si="155"/>
        <v>36.786750000000005</v>
      </c>
      <c r="O344">
        <f t="shared" si="156"/>
        <v>595.95000000000005</v>
      </c>
      <c r="P344" s="7">
        <f t="shared" si="159"/>
        <v>16.200126404208035</v>
      </c>
      <c r="Q344">
        <f>ROUNDUP(몬스터!$P$11/F344, 0)</f>
        <v>9</v>
      </c>
      <c r="R344" s="6">
        <f t="shared" si="157"/>
        <v>12.587412587412587</v>
      </c>
      <c r="S344" s="7">
        <f>B344/몬스터!$C$11*R344</f>
        <v>218.91152325934931</v>
      </c>
      <c r="T344" s="7">
        <f t="shared" ref="T344" si="163">SUM(S340:S344)</f>
        <v>1100.5948835375259</v>
      </c>
      <c r="U344">
        <f>ROUNDDOWN(R344*몬스터!$H$11, 0)*몬스터!$G$11*(1+몬스터!$I$11)</f>
        <v>311.04000000000002</v>
      </c>
      <c r="V344" s="2">
        <f t="shared" si="160"/>
        <v>0.52192298011578153</v>
      </c>
    </row>
    <row r="345" spans="1:22" x14ac:dyDescent="0.4">
      <c r="A345">
        <v>26</v>
      </c>
      <c r="B345" s="4">
        <f>170*A345</f>
        <v>4420</v>
      </c>
      <c r="C345">
        <f t="shared" si="150"/>
        <v>445</v>
      </c>
      <c r="D345">
        <f t="shared" si="151"/>
        <v>37</v>
      </c>
      <c r="E345" s="2">
        <v>0</v>
      </c>
      <c r="F345">
        <f t="shared" si="152"/>
        <v>50</v>
      </c>
      <c r="G345">
        <f t="shared" si="153"/>
        <v>0.71700000000000008</v>
      </c>
      <c r="H345" s="3">
        <f t="shared" si="158"/>
        <v>0.05</v>
      </c>
      <c r="I345" s="2">
        <v>2</v>
      </c>
      <c r="J345" s="2">
        <v>0</v>
      </c>
      <c r="K345" s="2">
        <v>1</v>
      </c>
      <c r="L345" s="16">
        <v>1</v>
      </c>
      <c r="M345" s="5">
        <f t="shared" si="154"/>
        <v>550</v>
      </c>
      <c r="N345" s="6">
        <f t="shared" si="155"/>
        <v>37.642500000000005</v>
      </c>
      <c r="O345">
        <f t="shared" si="156"/>
        <v>609.65000000000009</v>
      </c>
      <c r="P345" s="7">
        <f t="shared" si="159"/>
        <v>16.195789333864649</v>
      </c>
      <c r="Q345">
        <f>ROUNDUP(몬스터!$P$12/F345, 0)</f>
        <v>11</v>
      </c>
      <c r="R345" s="6">
        <f t="shared" si="157"/>
        <v>15.341701534170152</v>
      </c>
      <c r="S345" s="7">
        <f>B345/몬스터!$C$12*R345</f>
        <v>242.17971707511455</v>
      </c>
      <c r="U345">
        <f>ROUNDDOWN(R345*몬스터!$H$12, 0)*몬스터!$G$12*(1+몬스터!$I$12)</f>
        <v>467.62499999999994</v>
      </c>
      <c r="V345" s="2">
        <f t="shared" si="160"/>
        <v>0.7670384646928563</v>
      </c>
    </row>
    <row r="346" spans="1:22" x14ac:dyDescent="0.4">
      <c r="A346">
        <v>27</v>
      </c>
      <c r="B346" s="4">
        <f>170*A346</f>
        <v>4590</v>
      </c>
      <c r="C346">
        <f t="shared" si="150"/>
        <v>455</v>
      </c>
      <c r="D346">
        <f t="shared" si="151"/>
        <v>38</v>
      </c>
      <c r="E346" s="2">
        <v>0</v>
      </c>
      <c r="F346">
        <f t="shared" si="152"/>
        <v>51</v>
      </c>
      <c r="G346">
        <f t="shared" si="153"/>
        <v>0.71900000000000008</v>
      </c>
      <c r="H346" s="3">
        <f t="shared" si="158"/>
        <v>0.05</v>
      </c>
      <c r="I346" s="2">
        <v>2</v>
      </c>
      <c r="J346" s="2">
        <v>0</v>
      </c>
      <c r="K346" s="2">
        <v>1</v>
      </c>
      <c r="L346" s="16">
        <v>1</v>
      </c>
      <c r="M346" s="5">
        <f t="shared" si="154"/>
        <v>560</v>
      </c>
      <c r="N346" s="6">
        <f t="shared" si="155"/>
        <v>38.502450000000003</v>
      </c>
      <c r="O346">
        <f t="shared" si="156"/>
        <v>627.9</v>
      </c>
      <c r="P346" s="7">
        <f t="shared" si="159"/>
        <v>16.308053123892115</v>
      </c>
      <c r="Q346">
        <f>ROUNDUP(몬스터!$P$12/F346, 0)</f>
        <v>11</v>
      </c>
      <c r="R346" s="6">
        <f t="shared" si="157"/>
        <v>15.299026425591096</v>
      </c>
      <c r="S346" s="7">
        <f>B346/몬스터!$C$12*R346</f>
        <v>250.79475461951117</v>
      </c>
      <c r="U346">
        <f>ROUNDDOWN(R346*몬스터!$H$12, 0)*몬스터!$G$12*(1+몬스터!$I$12)</f>
        <v>467.62499999999994</v>
      </c>
      <c r="V346" s="2">
        <f t="shared" si="160"/>
        <v>0.74474438604873383</v>
      </c>
    </row>
    <row r="347" spans="1:22" x14ac:dyDescent="0.4">
      <c r="A347">
        <v>28</v>
      </c>
      <c r="B347" s="4">
        <f>170*A347</f>
        <v>4760</v>
      </c>
      <c r="C347">
        <f t="shared" si="150"/>
        <v>465</v>
      </c>
      <c r="D347">
        <f t="shared" si="151"/>
        <v>38</v>
      </c>
      <c r="E347" s="2">
        <v>0</v>
      </c>
      <c r="F347">
        <f t="shared" si="152"/>
        <v>52</v>
      </c>
      <c r="G347">
        <f t="shared" si="153"/>
        <v>0.72100000000000009</v>
      </c>
      <c r="H347" s="3">
        <f t="shared" si="158"/>
        <v>0.05</v>
      </c>
      <c r="I347" s="2">
        <v>2</v>
      </c>
      <c r="J347" s="2">
        <v>0</v>
      </c>
      <c r="K347" s="2">
        <v>1</v>
      </c>
      <c r="L347" s="16">
        <v>1</v>
      </c>
      <c r="M347" s="5">
        <f t="shared" si="154"/>
        <v>570</v>
      </c>
      <c r="N347" s="6">
        <f t="shared" si="155"/>
        <v>39.366600000000005</v>
      </c>
      <c r="O347">
        <f t="shared" si="156"/>
        <v>641.69999999999993</v>
      </c>
      <c r="P347" s="7">
        <f t="shared" si="159"/>
        <v>16.300620322811721</v>
      </c>
      <c r="Q347">
        <f>ROUNDUP(몬스터!$P$12/F347, 0)</f>
        <v>10</v>
      </c>
      <c r="R347" s="6">
        <f t="shared" si="157"/>
        <v>13.869625520110956</v>
      </c>
      <c r="S347" s="7">
        <f>B347/몬스터!$C$12*R347</f>
        <v>235.78363384188626</v>
      </c>
      <c r="U347">
        <f>ROUNDDOWN(R347*몬스터!$H$12, 0)*몬스터!$G$12*(1+몬스터!$I$12)</f>
        <v>420.86249999999995</v>
      </c>
      <c r="V347" s="2">
        <f t="shared" si="160"/>
        <v>0.65585553997194945</v>
      </c>
    </row>
    <row r="348" spans="1:22" x14ac:dyDescent="0.4">
      <c r="A348">
        <v>29</v>
      </c>
      <c r="B348" s="4">
        <f>170*A348</f>
        <v>4930</v>
      </c>
      <c r="C348">
        <f t="shared" si="150"/>
        <v>480</v>
      </c>
      <c r="D348">
        <f t="shared" si="151"/>
        <v>38</v>
      </c>
      <c r="E348" s="2">
        <v>0</v>
      </c>
      <c r="F348">
        <f t="shared" si="152"/>
        <v>53</v>
      </c>
      <c r="G348">
        <f t="shared" si="153"/>
        <v>0.72300000000000009</v>
      </c>
      <c r="H348" s="3">
        <f t="shared" si="158"/>
        <v>0.05</v>
      </c>
      <c r="I348" s="2">
        <v>2</v>
      </c>
      <c r="J348" s="2">
        <v>0</v>
      </c>
      <c r="K348" s="2">
        <v>1</v>
      </c>
      <c r="L348" s="16">
        <v>1</v>
      </c>
      <c r="M348" s="5">
        <f t="shared" si="154"/>
        <v>580</v>
      </c>
      <c r="N348" s="6">
        <f t="shared" si="155"/>
        <v>40.234950000000005</v>
      </c>
      <c r="O348">
        <f t="shared" si="156"/>
        <v>662.4</v>
      </c>
      <c r="P348" s="7">
        <f t="shared" si="159"/>
        <v>16.463298699265188</v>
      </c>
      <c r="Q348">
        <f>ROUNDUP(몬스터!$P$12/F348, 0)</f>
        <v>10</v>
      </c>
      <c r="R348" s="6">
        <f t="shared" si="157"/>
        <v>13.831258644536652</v>
      </c>
      <c r="S348" s="7">
        <f>B348/몬스터!$C$12*R348</f>
        <v>243.5289468484489</v>
      </c>
      <c r="U348">
        <f>ROUNDDOWN(R348*몬스터!$H$12, 0)*몬스터!$G$12*(1+몬스터!$I$12)</f>
        <v>420.86249999999995</v>
      </c>
      <c r="V348" s="2">
        <f t="shared" si="160"/>
        <v>0.63536005434782605</v>
      </c>
    </row>
    <row r="349" spans="1:22" x14ac:dyDescent="0.4">
      <c r="A349">
        <v>30</v>
      </c>
      <c r="B349" s="4">
        <f>170*A349</f>
        <v>5100</v>
      </c>
      <c r="C349">
        <f t="shared" si="150"/>
        <v>490</v>
      </c>
      <c r="D349">
        <f t="shared" si="151"/>
        <v>39</v>
      </c>
      <c r="E349" s="2">
        <v>0</v>
      </c>
      <c r="F349">
        <f t="shared" si="152"/>
        <v>55</v>
      </c>
      <c r="G349">
        <f t="shared" si="153"/>
        <v>0.72500000000000009</v>
      </c>
      <c r="H349" s="3">
        <f t="shared" si="158"/>
        <v>0.05</v>
      </c>
      <c r="I349" s="2">
        <v>2</v>
      </c>
      <c r="J349" s="2">
        <v>0</v>
      </c>
      <c r="K349" s="2">
        <v>1</v>
      </c>
      <c r="L349" s="16">
        <v>1</v>
      </c>
      <c r="M349" s="5">
        <f t="shared" si="154"/>
        <v>590</v>
      </c>
      <c r="N349" s="6">
        <f t="shared" si="155"/>
        <v>41.868750000000006</v>
      </c>
      <c r="O349">
        <f t="shared" si="156"/>
        <v>681.1</v>
      </c>
      <c r="P349" s="7">
        <f t="shared" si="159"/>
        <v>16.267502612330198</v>
      </c>
      <c r="Q349">
        <f>ROUNDUP(몬스터!$P$12/F349, 0)</f>
        <v>10</v>
      </c>
      <c r="R349" s="6">
        <f t="shared" si="157"/>
        <v>13.793103448275861</v>
      </c>
      <c r="S349" s="7">
        <f>B349/몬스터!$C$12*R349</f>
        <v>251.23152709359607</v>
      </c>
      <c r="T349" s="7">
        <f t="shared" ref="T349" si="164">SUM(S345:S349)</f>
        <v>1223.5185794785568</v>
      </c>
      <c r="U349">
        <f>ROUNDDOWN(R349*몬스터!$H$12, 0)*몬스터!$G$12*(1+몬스터!$I$12)</f>
        <v>420.86249999999995</v>
      </c>
      <c r="V349" s="2">
        <f t="shared" si="160"/>
        <v>0.61791587138452497</v>
      </c>
    </row>
    <row r="350" spans="1:22" x14ac:dyDescent="0.4">
      <c r="A350">
        <v>31</v>
      </c>
      <c r="B350" s="4">
        <f>160*A350</f>
        <v>4960</v>
      </c>
      <c r="C350">
        <f t="shared" si="150"/>
        <v>500</v>
      </c>
      <c r="D350">
        <f t="shared" si="151"/>
        <v>39</v>
      </c>
      <c r="E350" s="2">
        <v>0</v>
      </c>
      <c r="F350">
        <f t="shared" si="152"/>
        <v>56</v>
      </c>
      <c r="G350">
        <f t="shared" si="153"/>
        <v>0.72700000000000009</v>
      </c>
      <c r="H350" s="3">
        <f t="shared" si="158"/>
        <v>0.05</v>
      </c>
      <c r="I350" s="2">
        <v>2</v>
      </c>
      <c r="J350" s="2">
        <v>0</v>
      </c>
      <c r="K350" s="2">
        <v>1</v>
      </c>
      <c r="L350" s="16">
        <v>1</v>
      </c>
      <c r="M350" s="5">
        <f t="shared" si="154"/>
        <v>600</v>
      </c>
      <c r="N350" s="6">
        <f t="shared" si="155"/>
        <v>42.747600000000006</v>
      </c>
      <c r="O350">
        <f t="shared" si="156"/>
        <v>695.00000000000011</v>
      </c>
      <c r="P350" s="7">
        <f t="shared" si="159"/>
        <v>16.258222683846579</v>
      </c>
      <c r="Q350">
        <f>ROUNDUP(몬스터!$P$13/F350, 0)</f>
        <v>12</v>
      </c>
      <c r="R350" s="6">
        <f t="shared" si="157"/>
        <v>16.506189821182943</v>
      </c>
      <c r="S350" s="7">
        <f>B350/몬스터!$C$13*R350</f>
        <v>248.09303488808303</v>
      </c>
      <c r="U350">
        <f>ROUNDDOWN(R350*몬스터!$H$13, 0)*몬스터!$G$13*(1+몬스터!$I$13)</f>
        <v>614.29499999999996</v>
      </c>
      <c r="V350" s="2">
        <f t="shared" si="160"/>
        <v>0.88387769784172643</v>
      </c>
    </row>
    <row r="351" spans="1:22" x14ac:dyDescent="0.4">
      <c r="A351">
        <v>32</v>
      </c>
      <c r="B351" s="4">
        <f>160*A351</f>
        <v>5120</v>
      </c>
      <c r="C351">
        <f t="shared" si="150"/>
        <v>510</v>
      </c>
      <c r="D351">
        <f t="shared" si="151"/>
        <v>39</v>
      </c>
      <c r="E351" s="2">
        <v>0</v>
      </c>
      <c r="F351">
        <f t="shared" si="152"/>
        <v>57</v>
      </c>
      <c r="G351">
        <f t="shared" si="153"/>
        <v>0.72900000000000009</v>
      </c>
      <c r="H351" s="3">
        <f t="shared" si="158"/>
        <v>0.05</v>
      </c>
      <c r="I351" s="2">
        <v>2</v>
      </c>
      <c r="J351" s="2">
        <v>0</v>
      </c>
      <c r="K351" s="2">
        <v>1</v>
      </c>
      <c r="L351" s="16">
        <v>1</v>
      </c>
      <c r="M351" s="5">
        <f t="shared" si="154"/>
        <v>610</v>
      </c>
      <c r="N351" s="6">
        <f t="shared" si="155"/>
        <v>43.63065000000001</v>
      </c>
      <c r="O351">
        <f t="shared" si="156"/>
        <v>708.90000000000009</v>
      </c>
      <c r="P351" s="7">
        <f t="shared" si="159"/>
        <v>16.247752440085122</v>
      </c>
      <c r="Q351">
        <f>ROUNDUP(몬스터!$P$13/F351, 0)</f>
        <v>11</v>
      </c>
      <c r="R351" s="6">
        <f t="shared" si="157"/>
        <v>15.089163237311384</v>
      </c>
      <c r="S351" s="7">
        <f>B351/몬스터!$C$13*R351</f>
        <v>234.11065386374025</v>
      </c>
      <c r="U351">
        <f>ROUNDDOWN(R351*몬스터!$H$13, 0)*몬스터!$G$13*(1+몬스터!$I$13)</f>
        <v>558.44999999999993</v>
      </c>
      <c r="V351" s="2">
        <f t="shared" si="160"/>
        <v>0.78776978417266164</v>
      </c>
    </row>
    <row r="352" spans="1:22" x14ac:dyDescent="0.4">
      <c r="A352">
        <v>33</v>
      </c>
      <c r="B352" s="4">
        <f>160*A352</f>
        <v>5280</v>
      </c>
      <c r="C352">
        <f t="shared" ref="C352:C383" si="165">MROUND((150+A352*11)*1.02,5)</f>
        <v>525</v>
      </c>
      <c r="D352">
        <f t="shared" ref="D352:D383" si="166">ROUNDDOWN((30+A352*0.3), 0)</f>
        <v>39</v>
      </c>
      <c r="E352" s="2">
        <v>0</v>
      </c>
      <c r="F352">
        <f t="shared" ref="F352:F383" si="167">ROUND((28+A352*1.8)*2/3, 0)</f>
        <v>58</v>
      </c>
      <c r="G352">
        <f t="shared" ref="G352:G383" si="168">0.665+0.002*A352</f>
        <v>0.73100000000000009</v>
      </c>
      <c r="H352" s="3">
        <f t="shared" si="158"/>
        <v>0.05</v>
      </c>
      <c r="I352" s="2">
        <v>2</v>
      </c>
      <c r="J352" s="2">
        <v>0</v>
      </c>
      <c r="K352" s="2">
        <v>1</v>
      </c>
      <c r="L352" s="16">
        <v>1</v>
      </c>
      <c r="M352" s="5">
        <f t="shared" ref="M352:M383" si="169">290+10*A352</f>
        <v>620</v>
      </c>
      <c r="N352" s="6">
        <f t="shared" ref="N352:N383" si="170">F352*G352*(1+H352)</f>
        <v>44.517900000000004</v>
      </c>
      <c r="O352">
        <f t="shared" ref="O352:O383" si="171">C352*(1+D352/100)*(1+E352)</f>
        <v>729.75000000000011</v>
      </c>
      <c r="P352" s="7">
        <f t="shared" si="159"/>
        <v>16.392282654842209</v>
      </c>
      <c r="Q352">
        <f>ROUNDUP(몬스터!$P$13/F352, 0)</f>
        <v>11</v>
      </c>
      <c r="R352" s="6">
        <f t="shared" ref="R352:R383" si="172">Q352/G352</f>
        <v>15.047879616963062</v>
      </c>
      <c r="S352" s="7">
        <f>B352/몬스터!$C$13*R352</f>
        <v>240.76607387140899</v>
      </c>
      <c r="U352">
        <f>ROUNDDOWN(R352*몬스터!$H$13, 0)*몬스터!$G$13*(1+몬스터!$I$13)</f>
        <v>558.44999999999993</v>
      </c>
      <c r="V352" s="2">
        <f t="shared" si="160"/>
        <v>0.76526207605344276</v>
      </c>
    </row>
    <row r="353" spans="1:22" x14ac:dyDescent="0.4">
      <c r="A353">
        <v>34</v>
      </c>
      <c r="B353" s="4">
        <f>160*A353</f>
        <v>5440</v>
      </c>
      <c r="C353">
        <f t="shared" si="165"/>
        <v>535</v>
      </c>
      <c r="D353">
        <f t="shared" si="166"/>
        <v>40</v>
      </c>
      <c r="E353" s="2">
        <v>0</v>
      </c>
      <c r="F353">
        <f t="shared" si="167"/>
        <v>59</v>
      </c>
      <c r="G353">
        <f t="shared" si="168"/>
        <v>0.7330000000000001</v>
      </c>
      <c r="H353" s="3">
        <f t="shared" si="158"/>
        <v>0.05</v>
      </c>
      <c r="I353" s="2">
        <v>2</v>
      </c>
      <c r="J353" s="2">
        <v>0</v>
      </c>
      <c r="K353" s="2">
        <v>1</v>
      </c>
      <c r="L353" s="16">
        <v>1</v>
      </c>
      <c r="M353" s="5">
        <f t="shared" si="169"/>
        <v>630</v>
      </c>
      <c r="N353" s="6">
        <f t="shared" si="170"/>
        <v>45.409350000000011</v>
      </c>
      <c r="O353">
        <f t="shared" si="171"/>
        <v>749</v>
      </c>
      <c r="P353" s="7">
        <f t="shared" si="159"/>
        <v>16.494400382300118</v>
      </c>
      <c r="Q353">
        <f>ROUNDUP(몬스터!$P$13/F353, 0)</f>
        <v>11</v>
      </c>
      <c r="R353" s="6">
        <f t="shared" si="172"/>
        <v>15.00682128240109</v>
      </c>
      <c r="S353" s="7">
        <f>B353/몬스터!$C$13*R353</f>
        <v>247.38517507958159</v>
      </c>
      <c r="U353">
        <f>ROUNDDOWN(R353*몬스터!$H$13, 0)*몬스터!$G$13*(1+몬스터!$I$13)</f>
        <v>558.44999999999993</v>
      </c>
      <c r="V353" s="2">
        <f t="shared" si="160"/>
        <v>0.7455941255006675</v>
      </c>
    </row>
    <row r="354" spans="1:22" x14ac:dyDescent="0.4">
      <c r="A354">
        <v>35</v>
      </c>
      <c r="B354" s="4">
        <f>160*A354</f>
        <v>5600</v>
      </c>
      <c r="C354">
        <f t="shared" si="165"/>
        <v>545</v>
      </c>
      <c r="D354">
        <f t="shared" si="166"/>
        <v>40</v>
      </c>
      <c r="E354" s="2">
        <v>0</v>
      </c>
      <c r="F354">
        <f t="shared" si="167"/>
        <v>61</v>
      </c>
      <c r="G354">
        <f t="shared" si="168"/>
        <v>0.7350000000000001</v>
      </c>
      <c r="H354" s="3">
        <f t="shared" si="158"/>
        <v>0.05</v>
      </c>
      <c r="I354" s="2">
        <v>2</v>
      </c>
      <c r="J354" s="2">
        <v>0</v>
      </c>
      <c r="K354" s="2">
        <v>1</v>
      </c>
      <c r="L354" s="16">
        <v>1</v>
      </c>
      <c r="M354" s="5">
        <f t="shared" si="169"/>
        <v>640</v>
      </c>
      <c r="N354" s="6">
        <f t="shared" si="170"/>
        <v>47.076750000000011</v>
      </c>
      <c r="O354">
        <f t="shared" si="171"/>
        <v>763</v>
      </c>
      <c r="P354" s="7">
        <f t="shared" si="159"/>
        <v>16.207575926545477</v>
      </c>
      <c r="Q354">
        <f>ROUNDUP(몬스터!$P$13/F354, 0)</f>
        <v>11</v>
      </c>
      <c r="R354" s="6">
        <f t="shared" si="172"/>
        <v>14.965986394557822</v>
      </c>
      <c r="S354" s="7">
        <f>B354/몬스터!$C$13*R354</f>
        <v>253.96825396825395</v>
      </c>
      <c r="T354" s="7">
        <f t="shared" ref="T354" si="173">SUM(S350:S354)</f>
        <v>1224.3231916710679</v>
      </c>
      <c r="U354">
        <f>ROUNDDOWN(R354*몬스터!$H$13, 0)*몬스터!$G$13*(1+몬스터!$I$13)</f>
        <v>558.44999999999993</v>
      </c>
      <c r="V354" s="2">
        <f t="shared" si="160"/>
        <v>0.73191349934469196</v>
      </c>
    </row>
    <row r="355" spans="1:22" x14ac:dyDescent="0.4">
      <c r="A355">
        <v>36</v>
      </c>
      <c r="B355" s="4">
        <f>170*A355</f>
        <v>6120</v>
      </c>
      <c r="C355">
        <f t="shared" si="165"/>
        <v>555</v>
      </c>
      <c r="D355">
        <f t="shared" si="166"/>
        <v>40</v>
      </c>
      <c r="E355" s="2">
        <v>0</v>
      </c>
      <c r="F355">
        <f t="shared" si="167"/>
        <v>62</v>
      </c>
      <c r="G355">
        <f t="shared" si="168"/>
        <v>0.7370000000000001</v>
      </c>
      <c r="H355" s="3">
        <f t="shared" si="158"/>
        <v>0.05</v>
      </c>
      <c r="I355" s="2">
        <v>2</v>
      </c>
      <c r="J355" s="2">
        <v>0</v>
      </c>
      <c r="K355" s="2">
        <v>1</v>
      </c>
      <c r="L355" s="16">
        <v>1</v>
      </c>
      <c r="M355" s="5">
        <f t="shared" si="169"/>
        <v>650</v>
      </c>
      <c r="N355" s="6">
        <f t="shared" si="170"/>
        <v>47.978700000000003</v>
      </c>
      <c r="O355">
        <f t="shared" si="171"/>
        <v>777</v>
      </c>
      <c r="P355" s="7">
        <f t="shared" si="159"/>
        <v>16.194686392086489</v>
      </c>
      <c r="Q355">
        <f>ROUNDUP(몬스터!$P$14/F355, 0)</f>
        <v>11</v>
      </c>
      <c r="R355" s="6">
        <f t="shared" si="172"/>
        <v>14.925373134328357</v>
      </c>
      <c r="S355" s="7">
        <f>B355/몬스터!$C$14*R355</f>
        <v>240.37706205813038</v>
      </c>
      <c r="U355">
        <f>ROUNDDOWN(R355*몬스터!$H$14, 0)*몬스터!$G$14*(1+몬스터!$I$14)</f>
        <v>639.45000000000005</v>
      </c>
      <c r="V355" s="2">
        <f t="shared" si="160"/>
        <v>0.822972972972973</v>
      </c>
    </row>
    <row r="356" spans="1:22" x14ac:dyDescent="0.4">
      <c r="A356">
        <v>37</v>
      </c>
      <c r="B356" s="4">
        <f>170*A356</f>
        <v>6290</v>
      </c>
      <c r="C356">
        <f t="shared" si="165"/>
        <v>570</v>
      </c>
      <c r="D356">
        <f t="shared" si="166"/>
        <v>41</v>
      </c>
      <c r="E356" s="2">
        <v>0</v>
      </c>
      <c r="F356">
        <f t="shared" si="167"/>
        <v>63</v>
      </c>
      <c r="G356">
        <f t="shared" si="168"/>
        <v>0.73899999999999999</v>
      </c>
      <c r="H356" s="3">
        <f t="shared" si="158"/>
        <v>0.05</v>
      </c>
      <c r="I356" s="2">
        <v>2</v>
      </c>
      <c r="J356" s="2">
        <v>0</v>
      </c>
      <c r="K356" s="2">
        <v>1</v>
      </c>
      <c r="L356" s="16">
        <v>1</v>
      </c>
      <c r="M356" s="5">
        <f t="shared" si="169"/>
        <v>660</v>
      </c>
      <c r="N356" s="6">
        <f t="shared" si="170"/>
        <v>48.884850000000007</v>
      </c>
      <c r="O356">
        <f t="shared" si="171"/>
        <v>803.69999999999993</v>
      </c>
      <c r="P356" s="7">
        <f t="shared" si="159"/>
        <v>16.440676405880346</v>
      </c>
      <c r="Q356">
        <f>ROUNDUP(몬스터!$P$14/F356, 0)</f>
        <v>11</v>
      </c>
      <c r="R356" s="6">
        <f t="shared" si="172"/>
        <v>14.884979702300406</v>
      </c>
      <c r="S356" s="7">
        <f>B356/몬스터!$C$14*R356</f>
        <v>246.38558507228831</v>
      </c>
      <c r="U356">
        <f>ROUNDDOWN(R356*몬스터!$H$14, 0)*몬스터!$G$14*(1+몬스터!$I$14)</f>
        <v>639.45000000000005</v>
      </c>
      <c r="V356" s="2">
        <f t="shared" si="160"/>
        <v>0.7956326987681972</v>
      </c>
    </row>
    <row r="357" spans="1:22" x14ac:dyDescent="0.4">
      <c r="A357">
        <v>38</v>
      </c>
      <c r="B357" s="4">
        <f>170*A357</f>
        <v>6460</v>
      </c>
      <c r="C357">
        <f t="shared" si="165"/>
        <v>580</v>
      </c>
      <c r="D357">
        <f t="shared" si="166"/>
        <v>41</v>
      </c>
      <c r="E357" s="2">
        <v>0</v>
      </c>
      <c r="F357">
        <f t="shared" si="167"/>
        <v>64</v>
      </c>
      <c r="G357">
        <f t="shared" si="168"/>
        <v>0.74099999999999999</v>
      </c>
      <c r="H357" s="3">
        <f t="shared" si="158"/>
        <v>0.05</v>
      </c>
      <c r="I357" s="2">
        <v>2</v>
      </c>
      <c r="J357" s="2">
        <v>0</v>
      </c>
      <c r="K357" s="2">
        <v>1</v>
      </c>
      <c r="L357" s="16">
        <v>1</v>
      </c>
      <c r="M357" s="5">
        <f t="shared" si="169"/>
        <v>670</v>
      </c>
      <c r="N357" s="6">
        <f t="shared" si="170"/>
        <v>49.795200000000001</v>
      </c>
      <c r="O357">
        <f t="shared" si="171"/>
        <v>817.8</v>
      </c>
      <c r="P357" s="7">
        <f t="shared" si="159"/>
        <v>16.423269712743394</v>
      </c>
      <c r="Q357">
        <f>ROUNDUP(몬스터!$P$14/F357, 0)</f>
        <v>11</v>
      </c>
      <c r="R357" s="6">
        <f t="shared" si="172"/>
        <v>14.84480431848853</v>
      </c>
      <c r="S357" s="7">
        <f>B357/몬스터!$C$14*R357</f>
        <v>252.36167341430502</v>
      </c>
      <c r="U357">
        <f>ROUNDDOWN(R357*몬스터!$H$14, 0)*몬스터!$G$14*(1+몬스터!$I$14)</f>
        <v>639.45000000000005</v>
      </c>
      <c r="V357" s="2">
        <f t="shared" si="160"/>
        <v>0.78191489361702138</v>
      </c>
    </row>
    <row r="358" spans="1:22" x14ac:dyDescent="0.4">
      <c r="A358">
        <v>39</v>
      </c>
      <c r="B358" s="4">
        <f>170*A358</f>
        <v>6630</v>
      </c>
      <c r="C358">
        <f t="shared" si="165"/>
        <v>590</v>
      </c>
      <c r="D358">
        <f t="shared" si="166"/>
        <v>41</v>
      </c>
      <c r="E358" s="2">
        <v>0</v>
      </c>
      <c r="F358">
        <f t="shared" si="167"/>
        <v>65</v>
      </c>
      <c r="G358">
        <f t="shared" si="168"/>
        <v>0.74299999999999999</v>
      </c>
      <c r="H358" s="3">
        <f t="shared" si="158"/>
        <v>0.05</v>
      </c>
      <c r="I358" s="2">
        <v>2</v>
      </c>
      <c r="J358" s="2">
        <v>0</v>
      </c>
      <c r="K358" s="2">
        <v>1</v>
      </c>
      <c r="L358" s="16">
        <v>1</v>
      </c>
      <c r="M358" s="5">
        <f t="shared" si="169"/>
        <v>680</v>
      </c>
      <c r="N358" s="6">
        <f t="shared" si="170"/>
        <v>50.709750000000007</v>
      </c>
      <c r="O358">
        <f t="shared" si="171"/>
        <v>831.9</v>
      </c>
      <c r="P358" s="7">
        <f t="shared" si="159"/>
        <v>16.405129191131881</v>
      </c>
      <c r="Q358">
        <f>ROUNDUP(몬스터!$P$14/F358, 0)</f>
        <v>11</v>
      </c>
      <c r="R358" s="6">
        <f t="shared" si="172"/>
        <v>14.804845222072679</v>
      </c>
      <c r="S358" s="7">
        <f>B358/몬스터!$C$14*R358</f>
        <v>258.30558900616279</v>
      </c>
      <c r="U358">
        <f>ROUNDDOWN(R358*몬스터!$H$14, 0)*몬스터!$G$14*(1+몬스터!$I$14)</f>
        <v>639.45000000000005</v>
      </c>
      <c r="V358" s="2">
        <f t="shared" si="160"/>
        <v>0.76866209880995318</v>
      </c>
    </row>
    <row r="359" spans="1:22" x14ac:dyDescent="0.4">
      <c r="A359">
        <v>40</v>
      </c>
      <c r="B359" s="4">
        <f>170*A359</f>
        <v>6800</v>
      </c>
      <c r="C359">
        <f t="shared" si="165"/>
        <v>600</v>
      </c>
      <c r="D359">
        <f t="shared" si="166"/>
        <v>42</v>
      </c>
      <c r="E359" s="2">
        <v>0</v>
      </c>
      <c r="F359">
        <f t="shared" si="167"/>
        <v>67</v>
      </c>
      <c r="G359">
        <f t="shared" si="168"/>
        <v>0.745</v>
      </c>
      <c r="H359" s="3">
        <f t="shared" si="158"/>
        <v>0.05</v>
      </c>
      <c r="I359" s="2">
        <v>2</v>
      </c>
      <c r="J359" s="2">
        <v>0</v>
      </c>
      <c r="K359" s="2">
        <v>1</v>
      </c>
      <c r="L359" s="16">
        <v>1</v>
      </c>
      <c r="M359" s="5">
        <f t="shared" si="169"/>
        <v>690</v>
      </c>
      <c r="N359" s="6">
        <f t="shared" si="170"/>
        <v>52.41075</v>
      </c>
      <c r="O359">
        <f t="shared" si="171"/>
        <v>852</v>
      </c>
      <c r="P359" s="7">
        <f t="shared" si="159"/>
        <v>16.256206980438172</v>
      </c>
      <c r="Q359">
        <f>ROUNDUP(몬스터!$P$14/F359, 0)</f>
        <v>10</v>
      </c>
      <c r="R359" s="6">
        <f t="shared" si="172"/>
        <v>13.422818791946309</v>
      </c>
      <c r="S359" s="7">
        <f>B359/몬스터!$C$14*R359</f>
        <v>240.19780996114449</v>
      </c>
      <c r="T359" s="7">
        <f t="shared" ref="T359" si="174">SUM(S355:S359)</f>
        <v>1237.627719512031</v>
      </c>
      <c r="U359">
        <f>ROUNDDOWN(R359*몬스터!$H$14, 0)*몬스터!$G$14*(1+몬스터!$I$14)</f>
        <v>575.505</v>
      </c>
      <c r="V359" s="2">
        <f t="shared" si="160"/>
        <v>0.67547535211267606</v>
      </c>
    </row>
    <row r="360" spans="1:22" x14ac:dyDescent="0.4">
      <c r="A360">
        <v>41</v>
      </c>
      <c r="B360" s="4">
        <f>160*A360</f>
        <v>6560</v>
      </c>
      <c r="C360">
        <f t="shared" si="165"/>
        <v>615</v>
      </c>
      <c r="D360">
        <f t="shared" si="166"/>
        <v>42</v>
      </c>
      <c r="E360" s="2">
        <v>0</v>
      </c>
      <c r="F360">
        <f t="shared" si="167"/>
        <v>68</v>
      </c>
      <c r="G360">
        <f t="shared" si="168"/>
        <v>0.747</v>
      </c>
      <c r="H360" s="3">
        <f t="shared" si="158"/>
        <v>0.05</v>
      </c>
      <c r="I360" s="2">
        <v>2</v>
      </c>
      <c r="J360" s="2">
        <v>0</v>
      </c>
      <c r="K360" s="2">
        <v>1</v>
      </c>
      <c r="L360" s="16">
        <v>1</v>
      </c>
      <c r="M360" s="5">
        <f t="shared" si="169"/>
        <v>700</v>
      </c>
      <c r="N360" s="6">
        <f t="shared" si="170"/>
        <v>53.335799999999999</v>
      </c>
      <c r="O360">
        <f t="shared" si="171"/>
        <v>873.3</v>
      </c>
      <c r="P360" s="7">
        <f t="shared" si="159"/>
        <v>16.373617720180441</v>
      </c>
      <c r="Q360">
        <f>ROUNDUP(몬스터!$P$17/F360, 0)</f>
        <v>13</v>
      </c>
      <c r="R360" s="6">
        <f t="shared" si="172"/>
        <v>17.402945113788487</v>
      </c>
      <c r="S360" s="7">
        <f>B360/몬스터!$C$17*R360</f>
        <v>265.49609289872672</v>
      </c>
      <c r="U360">
        <f>ROUNDDOWN(R360*몬스터!$H$17, 0)*몬스터!$G$17*(1+몬스터!$I$17)</f>
        <v>879.12000000000012</v>
      </c>
      <c r="V360" s="2">
        <f t="shared" si="160"/>
        <v>1.0066643765029202</v>
      </c>
    </row>
    <row r="361" spans="1:22" x14ac:dyDescent="0.4">
      <c r="A361">
        <v>42</v>
      </c>
      <c r="B361" s="4">
        <f>160*A361</f>
        <v>6720</v>
      </c>
      <c r="C361">
        <f t="shared" si="165"/>
        <v>625</v>
      </c>
      <c r="D361">
        <f t="shared" si="166"/>
        <v>42</v>
      </c>
      <c r="E361" s="2">
        <v>0</v>
      </c>
      <c r="F361">
        <f t="shared" si="167"/>
        <v>69</v>
      </c>
      <c r="G361">
        <f t="shared" si="168"/>
        <v>0.749</v>
      </c>
      <c r="H361" s="3">
        <f t="shared" si="158"/>
        <v>0.05</v>
      </c>
      <c r="I361" s="2">
        <v>2</v>
      </c>
      <c r="J361" s="2">
        <v>0</v>
      </c>
      <c r="K361" s="2">
        <v>1</v>
      </c>
      <c r="L361" s="16">
        <v>1</v>
      </c>
      <c r="M361" s="5">
        <f t="shared" si="169"/>
        <v>710</v>
      </c>
      <c r="N361" s="6">
        <f t="shared" si="170"/>
        <v>54.265050000000002</v>
      </c>
      <c r="O361">
        <f t="shared" si="171"/>
        <v>887.5</v>
      </c>
      <c r="P361" s="7">
        <f t="shared" si="159"/>
        <v>16.354909836073126</v>
      </c>
      <c r="Q361">
        <f>ROUNDUP(몬스터!$P$17/F361, 0)</f>
        <v>13</v>
      </c>
      <c r="R361" s="6">
        <f t="shared" si="172"/>
        <v>17.356475300400533</v>
      </c>
      <c r="S361" s="7">
        <f>B361/몬스터!$C$17*R361</f>
        <v>271.24538143881762</v>
      </c>
      <c r="U361">
        <f>ROUNDDOWN(R361*몬스터!$H$17, 0)*몬스터!$G$17*(1+몬스터!$I$17)</f>
        <v>879.12000000000012</v>
      </c>
      <c r="V361" s="2">
        <f t="shared" si="160"/>
        <v>0.9905577464788734</v>
      </c>
    </row>
    <row r="362" spans="1:22" x14ac:dyDescent="0.4">
      <c r="A362">
        <v>43</v>
      </c>
      <c r="B362" s="4">
        <f>160*A362</f>
        <v>6880</v>
      </c>
      <c r="C362">
        <f t="shared" si="165"/>
        <v>635</v>
      </c>
      <c r="D362">
        <f t="shared" si="166"/>
        <v>42</v>
      </c>
      <c r="E362" s="2">
        <v>0</v>
      </c>
      <c r="F362">
        <f t="shared" si="167"/>
        <v>70</v>
      </c>
      <c r="G362">
        <f t="shared" si="168"/>
        <v>0.751</v>
      </c>
      <c r="H362" s="3">
        <f t="shared" si="158"/>
        <v>0.05</v>
      </c>
      <c r="I362" s="2">
        <v>2</v>
      </c>
      <c r="J362" s="2">
        <v>0</v>
      </c>
      <c r="K362" s="2">
        <v>1</v>
      </c>
      <c r="L362" s="16">
        <v>1</v>
      </c>
      <c r="M362" s="5">
        <f t="shared" si="169"/>
        <v>720</v>
      </c>
      <c r="N362" s="6">
        <f t="shared" si="170"/>
        <v>55.198500000000003</v>
      </c>
      <c r="O362">
        <f t="shared" si="171"/>
        <v>901.69999999999993</v>
      </c>
      <c r="P362" s="7">
        <f t="shared" si="159"/>
        <v>16.335588829406593</v>
      </c>
      <c r="Q362">
        <f>ROUNDUP(몬스터!$P$17/F362, 0)</f>
        <v>12</v>
      </c>
      <c r="R362" s="6">
        <f t="shared" si="172"/>
        <v>15.978695073235686</v>
      </c>
      <c r="S362" s="7">
        <f>B362/몬스터!$C$17*R362</f>
        <v>255.65912117177098</v>
      </c>
      <c r="U362">
        <f>ROUNDDOWN(R362*몬스터!$H$17, 0)*몬스터!$G$17*(1+몬스터!$I$17)</f>
        <v>805.86000000000013</v>
      </c>
      <c r="V362" s="2">
        <f t="shared" si="160"/>
        <v>0.89371187756460035</v>
      </c>
    </row>
    <row r="363" spans="1:22" x14ac:dyDescent="0.4">
      <c r="A363">
        <v>44</v>
      </c>
      <c r="B363" s="4">
        <f>160*A363</f>
        <v>7040</v>
      </c>
      <c r="C363">
        <f t="shared" si="165"/>
        <v>645</v>
      </c>
      <c r="D363">
        <f t="shared" si="166"/>
        <v>43</v>
      </c>
      <c r="E363" s="2">
        <v>0</v>
      </c>
      <c r="F363">
        <f t="shared" si="167"/>
        <v>71</v>
      </c>
      <c r="G363">
        <f t="shared" si="168"/>
        <v>0.753</v>
      </c>
      <c r="H363" s="3">
        <f t="shared" si="158"/>
        <v>0.05</v>
      </c>
      <c r="I363" s="2">
        <v>2</v>
      </c>
      <c r="J363" s="2">
        <v>0</v>
      </c>
      <c r="K363" s="2">
        <v>1</v>
      </c>
      <c r="L363" s="16">
        <v>1</v>
      </c>
      <c r="M363" s="5">
        <f t="shared" si="169"/>
        <v>730</v>
      </c>
      <c r="N363" s="6">
        <f t="shared" si="170"/>
        <v>56.136150000000001</v>
      </c>
      <c r="O363">
        <f t="shared" si="171"/>
        <v>922.34999999999991</v>
      </c>
      <c r="P363" s="7">
        <f t="shared" si="159"/>
        <v>16.430588845155928</v>
      </c>
      <c r="Q363">
        <f>ROUNDUP(몬스터!$P$17/F363, 0)</f>
        <v>12</v>
      </c>
      <c r="R363" s="6">
        <f t="shared" si="172"/>
        <v>15.936254980079681</v>
      </c>
      <c r="S363" s="7">
        <f>B363/몬스터!$C$17*R363</f>
        <v>260.9098489761883</v>
      </c>
      <c r="U363">
        <f>ROUNDDOWN(R363*몬스터!$H$17, 0)*몬스터!$G$17*(1+몬스터!$I$17)</f>
        <v>805.86000000000013</v>
      </c>
      <c r="V363" s="2">
        <f t="shared" si="160"/>
        <v>0.87370304114490183</v>
      </c>
    </row>
    <row r="364" spans="1:22" x14ac:dyDescent="0.4">
      <c r="A364">
        <v>45</v>
      </c>
      <c r="B364" s="4">
        <f>160*A364</f>
        <v>7200</v>
      </c>
      <c r="C364">
        <f t="shared" si="165"/>
        <v>660</v>
      </c>
      <c r="D364">
        <f t="shared" si="166"/>
        <v>43</v>
      </c>
      <c r="E364" s="2">
        <v>0</v>
      </c>
      <c r="F364">
        <f t="shared" si="167"/>
        <v>73</v>
      </c>
      <c r="G364">
        <f t="shared" si="168"/>
        <v>0.755</v>
      </c>
      <c r="H364" s="3">
        <f t="shared" si="158"/>
        <v>0.05</v>
      </c>
      <c r="I364" s="2">
        <v>2</v>
      </c>
      <c r="J364" s="2">
        <v>0</v>
      </c>
      <c r="K364" s="2">
        <v>1</v>
      </c>
      <c r="L364" s="16">
        <v>1</v>
      </c>
      <c r="M364" s="5">
        <f t="shared" si="169"/>
        <v>740</v>
      </c>
      <c r="N364" s="6">
        <f t="shared" si="170"/>
        <v>57.870750000000001</v>
      </c>
      <c r="O364">
        <f t="shared" si="171"/>
        <v>943.8</v>
      </c>
      <c r="P364" s="7">
        <f t="shared" si="159"/>
        <v>16.308757014553983</v>
      </c>
      <c r="Q364">
        <f>ROUNDUP(몬스터!$P$17/F364, 0)</f>
        <v>12</v>
      </c>
      <c r="R364" s="6">
        <f t="shared" si="172"/>
        <v>15.894039735099337</v>
      </c>
      <c r="S364" s="7">
        <f>B364/몬스터!$C$17*R364</f>
        <v>266.13275835515174</v>
      </c>
      <c r="T364" s="7">
        <f t="shared" ref="T364" si="175">SUM(S360:S364)</f>
        <v>1319.4432028406552</v>
      </c>
      <c r="U364">
        <f>ROUNDDOWN(R364*몬스터!$H$17, 0)*몬스터!$G$17*(1+몬스터!$I$17)</f>
        <v>805.86000000000013</v>
      </c>
      <c r="V364" s="2">
        <f t="shared" si="160"/>
        <v>0.85384615384615403</v>
      </c>
    </row>
    <row r="365" spans="1:22" x14ac:dyDescent="0.4">
      <c r="A365">
        <v>46</v>
      </c>
      <c r="B365" s="4">
        <f>170*A365-620</f>
        <v>7200</v>
      </c>
      <c r="C365">
        <f t="shared" si="165"/>
        <v>670</v>
      </c>
      <c r="D365">
        <f t="shared" si="166"/>
        <v>43</v>
      </c>
      <c r="E365" s="2">
        <v>0</v>
      </c>
      <c r="F365">
        <f t="shared" si="167"/>
        <v>74</v>
      </c>
      <c r="G365">
        <f t="shared" si="168"/>
        <v>0.75700000000000001</v>
      </c>
      <c r="H365" s="3">
        <f t="shared" si="158"/>
        <v>0.05</v>
      </c>
      <c r="I365" s="2">
        <v>2</v>
      </c>
      <c r="J365" s="2">
        <v>0</v>
      </c>
      <c r="K365" s="2">
        <v>1</v>
      </c>
      <c r="L365" s="16">
        <v>1</v>
      </c>
      <c r="M365" s="5">
        <f t="shared" si="169"/>
        <v>750</v>
      </c>
      <c r="N365" s="6">
        <f t="shared" si="170"/>
        <v>58.818900000000006</v>
      </c>
      <c r="O365">
        <f t="shared" si="171"/>
        <v>958.09999999999991</v>
      </c>
      <c r="P365" s="7">
        <f t="shared" si="159"/>
        <v>16.288981942878902</v>
      </c>
      <c r="Q365">
        <f>ROUNDUP(몬스터!$P$18/F365, 0)</f>
        <v>13</v>
      </c>
      <c r="R365" s="6">
        <f t="shared" si="172"/>
        <v>17.173051519154559</v>
      </c>
      <c r="S365" s="7">
        <f>B365/몬스터!$C$18*R365</f>
        <v>257.59577278731837</v>
      </c>
      <c r="U365">
        <f>ROUNDDOWN(R365*몬스터!$H$18, 0)*몬스터!$G$18*(1+몬스터!$I$18)</f>
        <v>978.93</v>
      </c>
      <c r="V365" s="2">
        <f t="shared" si="160"/>
        <v>1.0217409456215427</v>
      </c>
    </row>
    <row r="366" spans="1:22" x14ac:dyDescent="0.4">
      <c r="A366">
        <v>47</v>
      </c>
      <c r="B366" s="4">
        <f>170*A366</f>
        <v>7990</v>
      </c>
      <c r="C366">
        <f t="shared" si="165"/>
        <v>680</v>
      </c>
      <c r="D366">
        <f t="shared" si="166"/>
        <v>44</v>
      </c>
      <c r="E366" s="2">
        <v>0</v>
      </c>
      <c r="F366">
        <f t="shared" si="167"/>
        <v>75</v>
      </c>
      <c r="G366">
        <f t="shared" si="168"/>
        <v>0.75900000000000001</v>
      </c>
      <c r="H366" s="3">
        <f t="shared" si="158"/>
        <v>0.05</v>
      </c>
      <c r="I366" s="2">
        <v>2</v>
      </c>
      <c r="J366" s="2">
        <v>0</v>
      </c>
      <c r="K366" s="2">
        <v>1</v>
      </c>
      <c r="L366" s="16">
        <v>1</v>
      </c>
      <c r="M366" s="5">
        <f t="shared" si="169"/>
        <v>760</v>
      </c>
      <c r="N366" s="6">
        <f t="shared" si="170"/>
        <v>59.771250000000002</v>
      </c>
      <c r="O366">
        <f t="shared" si="171"/>
        <v>979.19999999999993</v>
      </c>
      <c r="P366" s="7">
        <f t="shared" si="159"/>
        <v>16.382458121588556</v>
      </c>
      <c r="Q366">
        <f>ROUNDUP(몬스터!$P$18/F366, 0)</f>
        <v>13</v>
      </c>
      <c r="R366" s="6">
        <f t="shared" si="172"/>
        <v>17.127799736495387</v>
      </c>
      <c r="S366" s="7">
        <f>B366/몬스터!$C$18*R366</f>
        <v>285.10649978041278</v>
      </c>
      <c r="U366">
        <f>ROUNDDOWN(R366*몬스터!$H$18, 0)*몬스터!$G$18*(1+몬스터!$I$18)</f>
        <v>978.93</v>
      </c>
      <c r="V366" s="2">
        <f t="shared" si="160"/>
        <v>0.99972426470588238</v>
      </c>
    </row>
    <row r="367" spans="1:22" x14ac:dyDescent="0.4">
      <c r="A367">
        <v>48</v>
      </c>
      <c r="B367" s="4">
        <f>170*A367</f>
        <v>8160</v>
      </c>
      <c r="C367">
        <f t="shared" si="165"/>
        <v>690</v>
      </c>
      <c r="D367">
        <f t="shared" si="166"/>
        <v>44</v>
      </c>
      <c r="E367" s="2">
        <v>0</v>
      </c>
      <c r="F367">
        <f t="shared" si="167"/>
        <v>76</v>
      </c>
      <c r="G367">
        <f t="shared" si="168"/>
        <v>0.76100000000000001</v>
      </c>
      <c r="H367" s="3">
        <f t="shared" si="158"/>
        <v>0.05</v>
      </c>
      <c r="I367" s="2">
        <v>2</v>
      </c>
      <c r="J367" s="2">
        <v>0</v>
      </c>
      <c r="K367" s="2">
        <v>1</v>
      </c>
      <c r="L367" s="16">
        <v>1</v>
      </c>
      <c r="M367" s="5">
        <f t="shared" si="169"/>
        <v>770</v>
      </c>
      <c r="N367" s="6">
        <f t="shared" si="170"/>
        <v>60.727800000000002</v>
      </c>
      <c r="O367">
        <f t="shared" si="171"/>
        <v>993.59999999999991</v>
      </c>
      <c r="P367" s="7">
        <f t="shared" si="159"/>
        <v>16.361534585478147</v>
      </c>
      <c r="Q367">
        <f>ROUNDUP(몬스터!$P$18/F367, 0)</f>
        <v>13</v>
      </c>
      <c r="R367" s="6">
        <f t="shared" si="172"/>
        <v>17.082785808147175</v>
      </c>
      <c r="S367" s="7">
        <f>B367/몬스터!$C$18*R367</f>
        <v>290.40735873850196</v>
      </c>
      <c r="U367">
        <f>ROUNDDOWN(R367*몬스터!$H$18, 0)*몬스터!$G$18*(1+몬스터!$I$18)</f>
        <v>978.93</v>
      </c>
      <c r="V367" s="2">
        <f t="shared" si="160"/>
        <v>0.98523550724637687</v>
      </c>
    </row>
    <row r="368" spans="1:22" x14ac:dyDescent="0.4">
      <c r="A368">
        <v>49</v>
      </c>
      <c r="B368" s="4">
        <f>170*A368</f>
        <v>8330</v>
      </c>
      <c r="C368">
        <f t="shared" si="165"/>
        <v>705</v>
      </c>
      <c r="D368">
        <f t="shared" si="166"/>
        <v>44</v>
      </c>
      <c r="E368" s="2">
        <v>0</v>
      </c>
      <c r="F368">
        <f t="shared" si="167"/>
        <v>77</v>
      </c>
      <c r="G368">
        <f t="shared" si="168"/>
        <v>0.76300000000000001</v>
      </c>
      <c r="H368" s="3">
        <f t="shared" si="158"/>
        <v>0.05</v>
      </c>
      <c r="I368" s="2">
        <v>2</v>
      </c>
      <c r="J368" s="2">
        <v>0</v>
      </c>
      <c r="K368" s="2">
        <v>1</v>
      </c>
      <c r="L368" s="16">
        <v>1</v>
      </c>
      <c r="M368" s="5">
        <f t="shared" si="169"/>
        <v>780</v>
      </c>
      <c r="N368" s="6">
        <f t="shared" si="170"/>
        <v>61.688549999999999</v>
      </c>
      <c r="O368">
        <f t="shared" si="171"/>
        <v>1015.1999999999999</v>
      </c>
      <c r="P368" s="7">
        <f t="shared" si="159"/>
        <v>16.456862740330255</v>
      </c>
      <c r="Q368">
        <f>ROUNDUP(몬스터!$P$18/F368, 0)</f>
        <v>13</v>
      </c>
      <c r="R368" s="6">
        <f t="shared" si="172"/>
        <v>17.038007863695938</v>
      </c>
      <c r="S368" s="7">
        <f>B368/몬스터!$C$18*R368</f>
        <v>295.68042813455662</v>
      </c>
      <c r="U368">
        <f>ROUNDDOWN(R368*몬스터!$H$18, 0)*몬스터!$G$18*(1+몬스터!$I$18)</f>
        <v>978.93</v>
      </c>
      <c r="V368" s="2">
        <f t="shared" si="160"/>
        <v>0.96427304964539007</v>
      </c>
    </row>
    <row r="369" spans="1:22" x14ac:dyDescent="0.4">
      <c r="A369">
        <v>50</v>
      </c>
      <c r="B369" s="4">
        <f>170*A369</f>
        <v>8500</v>
      </c>
      <c r="C369">
        <f t="shared" si="165"/>
        <v>715</v>
      </c>
      <c r="D369">
        <f t="shared" si="166"/>
        <v>45</v>
      </c>
      <c r="E369" s="2">
        <v>0</v>
      </c>
      <c r="F369">
        <f t="shared" si="167"/>
        <v>79</v>
      </c>
      <c r="G369">
        <f t="shared" si="168"/>
        <v>0.76500000000000001</v>
      </c>
      <c r="H369" s="3">
        <f t="shared" si="158"/>
        <v>0.05</v>
      </c>
      <c r="I369" s="2">
        <v>2</v>
      </c>
      <c r="J369" s="2">
        <v>0</v>
      </c>
      <c r="K369" s="2">
        <v>1</v>
      </c>
      <c r="L369" s="16">
        <v>1</v>
      </c>
      <c r="M369" s="5">
        <f t="shared" si="169"/>
        <v>790</v>
      </c>
      <c r="N369" s="6">
        <f t="shared" si="170"/>
        <v>63.456750000000007</v>
      </c>
      <c r="O369">
        <f t="shared" si="171"/>
        <v>1036.75</v>
      </c>
      <c r="P369" s="7">
        <f t="shared" si="159"/>
        <v>16.33789943544225</v>
      </c>
      <c r="Q369">
        <f>ROUNDUP(몬스터!$P$18/F369, 0)</f>
        <v>12</v>
      </c>
      <c r="R369" s="6">
        <f t="shared" si="172"/>
        <v>15.686274509803921</v>
      </c>
      <c r="S369" s="7">
        <f>B369/몬스터!$C$18*R369</f>
        <v>277.77777777777777</v>
      </c>
      <c r="T369" s="7">
        <f t="shared" ref="T369" si="176">SUM(S365:S369)</f>
        <v>1406.5678372185675</v>
      </c>
      <c r="U369">
        <f>ROUNDDOWN(R369*몬스터!$H$18, 0)*몬스터!$G$18*(1+몬스터!$I$18)</f>
        <v>897.35249999999996</v>
      </c>
      <c r="V369" s="2">
        <f t="shared" si="160"/>
        <v>0.86554376657824927</v>
      </c>
    </row>
    <row r="370" spans="1:22" x14ac:dyDescent="0.4">
      <c r="A370">
        <v>51</v>
      </c>
      <c r="B370" s="4">
        <f>160*A370</f>
        <v>8160</v>
      </c>
      <c r="C370">
        <f t="shared" si="165"/>
        <v>725</v>
      </c>
      <c r="D370">
        <f t="shared" si="166"/>
        <v>45</v>
      </c>
      <c r="E370" s="2">
        <v>0</v>
      </c>
      <c r="F370">
        <f t="shared" si="167"/>
        <v>80</v>
      </c>
      <c r="G370">
        <f t="shared" si="168"/>
        <v>0.76700000000000002</v>
      </c>
      <c r="H370" s="3">
        <f t="shared" si="158"/>
        <v>0.05</v>
      </c>
      <c r="I370" s="2">
        <v>2</v>
      </c>
      <c r="J370" s="2">
        <v>0</v>
      </c>
      <c r="K370" s="2">
        <v>1</v>
      </c>
      <c r="L370" s="16">
        <v>1</v>
      </c>
      <c r="M370" s="5">
        <f t="shared" si="169"/>
        <v>800</v>
      </c>
      <c r="N370" s="6">
        <f t="shared" si="170"/>
        <v>64.427999999999997</v>
      </c>
      <c r="O370">
        <f t="shared" si="171"/>
        <v>1051.25</v>
      </c>
      <c r="P370" s="7">
        <f t="shared" si="159"/>
        <v>16.316663562426275</v>
      </c>
      <c r="Q370">
        <f>ROUNDUP(몬스터!$P$19/F370, 0)</f>
        <v>14</v>
      </c>
      <c r="R370" s="6">
        <f t="shared" si="172"/>
        <v>18.252933507170795</v>
      </c>
      <c r="S370" s="7">
        <f>B370/몬스터!$C$19*R370</f>
        <v>281.02629701606355</v>
      </c>
      <c r="U370">
        <f>ROUNDDOWN(R370*몬스터!$H$19, 0)*몬스터!$G$19*(1+몬스터!$I$19)</f>
        <v>1184.625</v>
      </c>
      <c r="V370" s="2">
        <f t="shared" si="160"/>
        <v>1.126872770511296</v>
      </c>
    </row>
    <row r="371" spans="1:22" x14ac:dyDescent="0.4">
      <c r="A371">
        <v>52</v>
      </c>
      <c r="B371" s="4">
        <f>160*A371</f>
        <v>8320</v>
      </c>
      <c r="C371">
        <f t="shared" si="165"/>
        <v>735</v>
      </c>
      <c r="D371">
        <f t="shared" si="166"/>
        <v>45</v>
      </c>
      <c r="E371" s="2">
        <v>0</v>
      </c>
      <c r="F371">
        <f t="shared" si="167"/>
        <v>81</v>
      </c>
      <c r="G371">
        <f t="shared" si="168"/>
        <v>0.76900000000000002</v>
      </c>
      <c r="H371" s="3">
        <f t="shared" si="158"/>
        <v>0.05</v>
      </c>
      <c r="I371" s="2">
        <v>2</v>
      </c>
      <c r="J371" s="2">
        <v>0</v>
      </c>
      <c r="K371" s="2">
        <v>1</v>
      </c>
      <c r="L371" s="16">
        <v>1</v>
      </c>
      <c r="M371" s="5">
        <f t="shared" si="169"/>
        <v>810</v>
      </c>
      <c r="N371" s="6">
        <f t="shared" si="170"/>
        <v>65.403450000000007</v>
      </c>
      <c r="O371">
        <f t="shared" si="171"/>
        <v>1065.75</v>
      </c>
      <c r="P371" s="7">
        <f t="shared" si="159"/>
        <v>16.295011960378236</v>
      </c>
      <c r="Q371">
        <f>ROUNDUP(몬스터!$P$19/F371, 0)</f>
        <v>14</v>
      </c>
      <c r="R371" s="6">
        <f t="shared" si="172"/>
        <v>18.205461638491546</v>
      </c>
      <c r="S371" s="7">
        <f>B371/몬스터!$C$19*R371</f>
        <v>285.79139779669748</v>
      </c>
      <c r="U371">
        <f>ROUNDDOWN(R371*몬스터!$H$19, 0)*몬스터!$G$19*(1+몬스터!$I$19)</f>
        <v>1184.625</v>
      </c>
      <c r="V371" s="2">
        <f t="shared" si="160"/>
        <v>1.1115411681914145</v>
      </c>
    </row>
    <row r="372" spans="1:22" x14ac:dyDescent="0.4">
      <c r="A372">
        <v>53</v>
      </c>
      <c r="B372" s="4">
        <f>160*A372</f>
        <v>8480</v>
      </c>
      <c r="C372">
        <f t="shared" si="165"/>
        <v>750</v>
      </c>
      <c r="D372">
        <f t="shared" si="166"/>
        <v>45</v>
      </c>
      <c r="E372" s="2">
        <v>0</v>
      </c>
      <c r="F372">
        <f t="shared" si="167"/>
        <v>82</v>
      </c>
      <c r="G372">
        <f t="shared" si="168"/>
        <v>0.77100000000000002</v>
      </c>
      <c r="H372" s="3">
        <f t="shared" si="158"/>
        <v>0.05</v>
      </c>
      <c r="I372" s="2">
        <v>2</v>
      </c>
      <c r="J372" s="2">
        <v>0</v>
      </c>
      <c r="K372" s="2">
        <v>1</v>
      </c>
      <c r="L372" s="16">
        <v>1</v>
      </c>
      <c r="M372" s="5">
        <f t="shared" si="169"/>
        <v>820</v>
      </c>
      <c r="N372" s="6">
        <f t="shared" si="170"/>
        <v>66.383099999999999</v>
      </c>
      <c r="O372">
        <f t="shared" si="171"/>
        <v>1087.5</v>
      </c>
      <c r="P372" s="7">
        <f t="shared" si="159"/>
        <v>16.382181609475907</v>
      </c>
      <c r="Q372">
        <f>ROUNDUP(몬스터!$P$19/F372, 0)</f>
        <v>14</v>
      </c>
      <c r="R372" s="6">
        <f t="shared" si="172"/>
        <v>18.158236057068741</v>
      </c>
      <c r="S372" s="7">
        <f>B372/몬스터!$C$19*R372</f>
        <v>290.53177691309986</v>
      </c>
      <c r="U372">
        <f>ROUNDDOWN(R372*몬스터!$H$19, 0)*몬스터!$G$19*(1+몬스터!$I$19)</f>
        <v>1184.625</v>
      </c>
      <c r="V372" s="2">
        <f t="shared" si="160"/>
        <v>1.0893103448275863</v>
      </c>
    </row>
    <row r="373" spans="1:22" x14ac:dyDescent="0.4">
      <c r="A373">
        <v>54</v>
      </c>
      <c r="B373" s="4">
        <f>160*A373</f>
        <v>8640</v>
      </c>
      <c r="C373">
        <f t="shared" si="165"/>
        <v>760</v>
      </c>
      <c r="D373">
        <f t="shared" si="166"/>
        <v>46</v>
      </c>
      <c r="E373" s="2">
        <v>0</v>
      </c>
      <c r="F373">
        <f t="shared" si="167"/>
        <v>83</v>
      </c>
      <c r="G373">
        <f t="shared" si="168"/>
        <v>0.77300000000000002</v>
      </c>
      <c r="H373" s="3">
        <f t="shared" si="158"/>
        <v>0.05</v>
      </c>
      <c r="I373" s="2">
        <v>2</v>
      </c>
      <c r="J373" s="2">
        <v>0</v>
      </c>
      <c r="K373" s="2">
        <v>1</v>
      </c>
      <c r="L373" s="16">
        <v>1</v>
      </c>
      <c r="M373" s="5">
        <f t="shared" si="169"/>
        <v>830</v>
      </c>
      <c r="N373" s="6">
        <f t="shared" si="170"/>
        <v>67.366950000000003</v>
      </c>
      <c r="O373">
        <f t="shared" si="171"/>
        <v>1109.5999999999999</v>
      </c>
      <c r="P373" s="7">
        <f t="shared" si="159"/>
        <v>16.470984659391583</v>
      </c>
      <c r="Q373">
        <f>ROUNDUP(몬스터!$P$19/F373, 0)</f>
        <v>13</v>
      </c>
      <c r="R373" s="6">
        <f t="shared" si="172"/>
        <v>16.817593790426908</v>
      </c>
      <c r="S373" s="7">
        <f>B373/몬스터!$C$19*R373</f>
        <v>274.15851009299712</v>
      </c>
      <c r="U373">
        <f>ROUNDDOWN(R373*몬스터!$H$19, 0)*몬스터!$G$19*(1+몬스터!$I$19)</f>
        <v>1093.5</v>
      </c>
      <c r="V373" s="2">
        <f t="shared" si="160"/>
        <v>0.9854902667627975</v>
      </c>
    </row>
    <row r="374" spans="1:22" x14ac:dyDescent="0.4">
      <c r="A374">
        <v>55</v>
      </c>
      <c r="B374" s="4">
        <f>160*A374</f>
        <v>8800</v>
      </c>
      <c r="C374">
        <f t="shared" si="165"/>
        <v>770</v>
      </c>
      <c r="D374">
        <f t="shared" si="166"/>
        <v>46</v>
      </c>
      <c r="E374" s="2">
        <v>0</v>
      </c>
      <c r="F374">
        <f t="shared" si="167"/>
        <v>85</v>
      </c>
      <c r="G374">
        <f t="shared" si="168"/>
        <v>0.77500000000000002</v>
      </c>
      <c r="H374" s="3">
        <f t="shared" si="158"/>
        <v>0.05</v>
      </c>
      <c r="I374" s="2">
        <v>2</v>
      </c>
      <c r="J374" s="2">
        <v>0</v>
      </c>
      <c r="K374" s="2">
        <v>1</v>
      </c>
      <c r="L374" s="16">
        <v>1</v>
      </c>
      <c r="M374" s="5">
        <f t="shared" si="169"/>
        <v>840</v>
      </c>
      <c r="N374" s="6">
        <f t="shared" si="170"/>
        <v>69.168750000000003</v>
      </c>
      <c r="O374">
        <f t="shared" si="171"/>
        <v>1124.2</v>
      </c>
      <c r="P374" s="7">
        <f t="shared" si="159"/>
        <v>16.253004427577483</v>
      </c>
      <c r="Q374">
        <f>ROUNDUP(몬스터!$P$19/F374, 0)</f>
        <v>13</v>
      </c>
      <c r="R374" s="6">
        <f t="shared" si="172"/>
        <v>16.774193548387096</v>
      </c>
      <c r="S374" s="7">
        <f>B374/몬스터!$C$19*R374</f>
        <v>278.51491174680461</v>
      </c>
      <c r="T374" s="7">
        <f t="shared" ref="T374" si="177">SUM(S370:S374)</f>
        <v>1410.0228935656628</v>
      </c>
      <c r="U374">
        <f>ROUNDDOWN(R374*몬스터!$H$19, 0)*몬스터!$G$19*(1+몬스터!$I$19)</f>
        <v>1093.5</v>
      </c>
      <c r="V374" s="2">
        <f t="shared" si="160"/>
        <v>0.972691691869774</v>
      </c>
    </row>
    <row r="375" spans="1:22" x14ac:dyDescent="0.4">
      <c r="A375">
        <v>56</v>
      </c>
      <c r="B375" s="4">
        <f>170*A375</f>
        <v>9520</v>
      </c>
      <c r="C375">
        <f t="shared" si="165"/>
        <v>780</v>
      </c>
      <c r="D375">
        <f t="shared" si="166"/>
        <v>46</v>
      </c>
      <c r="E375" s="2">
        <v>0</v>
      </c>
      <c r="F375">
        <f t="shared" si="167"/>
        <v>86</v>
      </c>
      <c r="G375">
        <f t="shared" si="168"/>
        <v>0.77700000000000002</v>
      </c>
      <c r="H375" s="3">
        <f t="shared" si="158"/>
        <v>0.05</v>
      </c>
      <c r="I375" s="2">
        <v>2</v>
      </c>
      <c r="J375" s="2">
        <v>0</v>
      </c>
      <c r="K375" s="2">
        <v>1</v>
      </c>
      <c r="L375" s="16">
        <v>1</v>
      </c>
      <c r="M375" s="5">
        <f t="shared" si="169"/>
        <v>850</v>
      </c>
      <c r="N375" s="6">
        <f t="shared" si="170"/>
        <v>70.1631</v>
      </c>
      <c r="O375">
        <f t="shared" si="171"/>
        <v>1138.8</v>
      </c>
      <c r="P375" s="7">
        <f t="shared" si="159"/>
        <v>16.230753772282011</v>
      </c>
      <c r="Q375">
        <f>ROUNDUP(몬스터!$P$20/F375, 0)</f>
        <v>15</v>
      </c>
      <c r="R375" s="6">
        <f t="shared" si="172"/>
        <v>19.305019305019304</v>
      </c>
      <c r="S375" s="7">
        <f>B375/몬스터!$C$20*R375</f>
        <v>316.8685927306617</v>
      </c>
      <c r="U375">
        <f>ROUNDDOWN(R375*몬스터!$H$20, 0)*몬스터!$G$20*(1+몬스터!$I$20)</f>
        <v>1395.24</v>
      </c>
      <c r="V375" s="2">
        <f t="shared" si="160"/>
        <v>1.2251844046364595</v>
      </c>
    </row>
    <row r="376" spans="1:22" x14ac:dyDescent="0.4">
      <c r="A376">
        <v>57</v>
      </c>
      <c r="B376" s="4">
        <f>170*A376</f>
        <v>9690</v>
      </c>
      <c r="C376">
        <f t="shared" si="165"/>
        <v>795</v>
      </c>
      <c r="D376">
        <f t="shared" si="166"/>
        <v>47</v>
      </c>
      <c r="E376" s="2">
        <v>0</v>
      </c>
      <c r="F376">
        <f t="shared" si="167"/>
        <v>87</v>
      </c>
      <c r="G376">
        <f t="shared" si="168"/>
        <v>0.77900000000000003</v>
      </c>
      <c r="H376" s="3">
        <f t="shared" si="158"/>
        <v>0.05</v>
      </c>
      <c r="I376" s="2">
        <v>2</v>
      </c>
      <c r="J376" s="2">
        <v>0</v>
      </c>
      <c r="K376" s="2">
        <v>1</v>
      </c>
      <c r="L376" s="16">
        <v>1</v>
      </c>
      <c r="M376" s="5">
        <f t="shared" si="169"/>
        <v>860</v>
      </c>
      <c r="N376" s="6">
        <f t="shared" si="170"/>
        <v>71.161649999999995</v>
      </c>
      <c r="O376">
        <f t="shared" si="171"/>
        <v>1168.6500000000001</v>
      </c>
      <c r="P376" s="7">
        <f t="shared" si="159"/>
        <v>16.422469124872741</v>
      </c>
      <c r="Q376">
        <f>ROUNDUP(몬스터!$P$20/F376, 0)</f>
        <v>14</v>
      </c>
      <c r="R376" s="6">
        <f t="shared" si="172"/>
        <v>17.971758664955068</v>
      </c>
      <c r="S376" s="7">
        <f>B376/몬스터!$C$20*R376</f>
        <v>300.25231286795622</v>
      </c>
      <c r="U376">
        <f>ROUNDDOWN(R376*몬스터!$H$20, 0)*몬스터!$G$20*(1+몬스터!$I$20)</f>
        <v>1295.5800000000002</v>
      </c>
      <c r="V376" s="2">
        <f t="shared" si="160"/>
        <v>1.1086125016044155</v>
      </c>
    </row>
    <row r="377" spans="1:22" x14ac:dyDescent="0.4">
      <c r="A377">
        <v>58</v>
      </c>
      <c r="B377" s="4">
        <f>170*A377</f>
        <v>9860</v>
      </c>
      <c r="C377">
        <f t="shared" si="165"/>
        <v>805</v>
      </c>
      <c r="D377">
        <f t="shared" si="166"/>
        <v>47</v>
      </c>
      <c r="E377" s="2">
        <v>0</v>
      </c>
      <c r="F377">
        <f t="shared" si="167"/>
        <v>88</v>
      </c>
      <c r="G377">
        <f t="shared" si="168"/>
        <v>0.78100000000000003</v>
      </c>
      <c r="H377" s="3">
        <f t="shared" si="158"/>
        <v>0.05</v>
      </c>
      <c r="I377" s="2">
        <v>2</v>
      </c>
      <c r="J377" s="2">
        <v>0</v>
      </c>
      <c r="K377" s="2">
        <v>1</v>
      </c>
      <c r="L377" s="16">
        <v>1</v>
      </c>
      <c r="M377" s="5">
        <f t="shared" si="169"/>
        <v>870</v>
      </c>
      <c r="N377" s="6">
        <f t="shared" si="170"/>
        <v>72.164400000000015</v>
      </c>
      <c r="O377">
        <f t="shared" si="171"/>
        <v>1183.3499999999999</v>
      </c>
      <c r="P377" s="7">
        <f t="shared" si="159"/>
        <v>16.397974624607141</v>
      </c>
      <c r="Q377">
        <f>ROUNDUP(몬스터!$P$20/F377, 0)</f>
        <v>14</v>
      </c>
      <c r="R377" s="6">
        <f t="shared" si="172"/>
        <v>17.925736235595391</v>
      </c>
      <c r="S377" s="7">
        <f>B377/몬스터!$C$20*R377</f>
        <v>304.73751600512162</v>
      </c>
      <c r="U377">
        <f>ROUNDDOWN(R377*몬스터!$H$20, 0)*몬스터!$G$20*(1+몬스터!$I$20)</f>
        <v>1295.5800000000002</v>
      </c>
      <c r="V377" s="2">
        <f t="shared" si="160"/>
        <v>1.0948409177335532</v>
      </c>
    </row>
    <row r="378" spans="1:22" x14ac:dyDescent="0.4">
      <c r="A378">
        <v>59</v>
      </c>
      <c r="B378" s="4">
        <f>170*A378</f>
        <v>10030</v>
      </c>
      <c r="C378">
        <f t="shared" si="165"/>
        <v>815</v>
      </c>
      <c r="D378">
        <f t="shared" si="166"/>
        <v>47</v>
      </c>
      <c r="E378" s="2">
        <v>0</v>
      </c>
      <c r="F378">
        <f t="shared" si="167"/>
        <v>89</v>
      </c>
      <c r="G378">
        <f t="shared" si="168"/>
        <v>0.78300000000000003</v>
      </c>
      <c r="H378" s="3">
        <f t="shared" si="158"/>
        <v>0.05</v>
      </c>
      <c r="I378" s="2">
        <v>2</v>
      </c>
      <c r="J378" s="2">
        <v>0</v>
      </c>
      <c r="K378" s="2">
        <v>1</v>
      </c>
      <c r="L378" s="16">
        <v>1</v>
      </c>
      <c r="M378" s="5">
        <f t="shared" si="169"/>
        <v>880</v>
      </c>
      <c r="N378" s="6">
        <f t="shared" si="170"/>
        <v>73.171350000000004</v>
      </c>
      <c r="O378">
        <f t="shared" si="171"/>
        <v>1198.05</v>
      </c>
      <c r="P378" s="7">
        <f t="shared" si="159"/>
        <v>16.373211646361586</v>
      </c>
      <c r="Q378">
        <f>ROUNDUP(몬스터!$P$20/F378, 0)</f>
        <v>14</v>
      </c>
      <c r="R378" s="6">
        <f t="shared" si="172"/>
        <v>17.879948914431672</v>
      </c>
      <c r="S378" s="7">
        <f>B378/몬스터!$C$20*R378</f>
        <v>309.19980622715457</v>
      </c>
      <c r="U378">
        <f>ROUNDDOWN(R378*몬스터!$H$20, 0)*몬스터!$G$20*(1+몬스터!$I$20)</f>
        <v>1295.5800000000002</v>
      </c>
      <c r="V378" s="2">
        <f t="shared" si="160"/>
        <v>1.0814072868411171</v>
      </c>
    </row>
    <row r="379" spans="1:22" x14ac:dyDescent="0.4">
      <c r="A379">
        <v>60</v>
      </c>
      <c r="B379" s="4">
        <f>170*A379</f>
        <v>10200</v>
      </c>
      <c r="C379">
        <f t="shared" si="165"/>
        <v>825</v>
      </c>
      <c r="D379">
        <f t="shared" si="166"/>
        <v>48</v>
      </c>
      <c r="E379" s="2">
        <v>0</v>
      </c>
      <c r="F379">
        <f t="shared" si="167"/>
        <v>91</v>
      </c>
      <c r="G379">
        <f t="shared" si="168"/>
        <v>0.78500000000000003</v>
      </c>
      <c r="H379" s="3">
        <f t="shared" si="158"/>
        <v>0.05</v>
      </c>
      <c r="I379" s="2">
        <v>2</v>
      </c>
      <c r="J379" s="2">
        <v>0</v>
      </c>
      <c r="K379" s="2">
        <v>1</v>
      </c>
      <c r="L379" s="16">
        <v>1</v>
      </c>
      <c r="M379" s="5">
        <f t="shared" si="169"/>
        <v>890</v>
      </c>
      <c r="N379" s="6">
        <f t="shared" si="170"/>
        <v>75.006750000000011</v>
      </c>
      <c r="O379">
        <f t="shared" si="171"/>
        <v>1221</v>
      </c>
      <c r="P379" s="7">
        <f t="shared" si="159"/>
        <v>16.278534931856132</v>
      </c>
      <c r="Q379">
        <f>ROUNDUP(몬스터!$P$20/F379, 0)</f>
        <v>14</v>
      </c>
      <c r="R379" s="6">
        <f t="shared" si="172"/>
        <v>17.834394904458598</v>
      </c>
      <c r="S379" s="7">
        <f>B379/몬스터!$C$20*R379</f>
        <v>313.63935866461668</v>
      </c>
      <c r="T379" s="7">
        <f t="shared" ref="T379" si="178">SUM(S375:S379)</f>
        <v>1544.6975864955107</v>
      </c>
      <c r="U379">
        <f>ROUNDDOWN(R379*몬스터!$H$20, 0)*몬스터!$G$20*(1+몬스터!$I$20)</f>
        <v>1295.5800000000002</v>
      </c>
      <c r="V379" s="2">
        <f t="shared" si="160"/>
        <v>1.0610810810810811</v>
      </c>
    </row>
    <row r="380" spans="1:22" x14ac:dyDescent="0.4">
      <c r="A380">
        <v>61</v>
      </c>
      <c r="B380" s="4">
        <f>160*A380-320</f>
        <v>9440</v>
      </c>
      <c r="C380">
        <f t="shared" si="165"/>
        <v>835</v>
      </c>
      <c r="D380">
        <f t="shared" si="166"/>
        <v>48</v>
      </c>
      <c r="E380" s="2">
        <v>0</v>
      </c>
      <c r="F380">
        <f t="shared" si="167"/>
        <v>92</v>
      </c>
      <c r="G380">
        <f t="shared" si="168"/>
        <v>0.78700000000000003</v>
      </c>
      <c r="H380" s="3">
        <f t="shared" si="158"/>
        <v>0.05</v>
      </c>
      <c r="I380" s="2">
        <v>2</v>
      </c>
      <c r="J380" s="2">
        <v>0</v>
      </c>
      <c r="K380" s="2">
        <v>1</v>
      </c>
      <c r="L380" s="16">
        <v>1</v>
      </c>
      <c r="M380" s="5">
        <f t="shared" si="169"/>
        <v>900</v>
      </c>
      <c r="N380" s="6">
        <f t="shared" si="170"/>
        <v>76.024199999999993</v>
      </c>
      <c r="O380">
        <f t="shared" si="171"/>
        <v>1235.8</v>
      </c>
      <c r="P380" s="7">
        <f t="shared" si="159"/>
        <v>16.255350270045593</v>
      </c>
      <c r="Q380">
        <f>ROUNDUP(몬스터!$P$23/F380, 0)</f>
        <v>15</v>
      </c>
      <c r="R380" s="6">
        <f t="shared" si="172"/>
        <v>19.05972045743329</v>
      </c>
      <c r="S380" s="7">
        <f>B380/몬스터!$C$23*R380</f>
        <v>285.59327161614328</v>
      </c>
      <c r="U380">
        <f>ROUNDDOWN(R380*몬스터!$H$23, 0)*몬스터!$G$23*(1+몬스터!$I$23)</f>
        <v>1641.6000000000001</v>
      </c>
      <c r="V380" s="2">
        <f t="shared" si="160"/>
        <v>1.3283702864541189</v>
      </c>
    </row>
    <row r="381" spans="1:22" x14ac:dyDescent="0.4">
      <c r="A381">
        <v>62</v>
      </c>
      <c r="B381" s="4">
        <f>160*A381</f>
        <v>9920</v>
      </c>
      <c r="C381">
        <f t="shared" si="165"/>
        <v>850</v>
      </c>
      <c r="D381">
        <f t="shared" si="166"/>
        <v>48</v>
      </c>
      <c r="E381" s="2">
        <v>0</v>
      </c>
      <c r="F381">
        <f t="shared" si="167"/>
        <v>93</v>
      </c>
      <c r="G381">
        <f t="shared" si="168"/>
        <v>0.78900000000000003</v>
      </c>
      <c r="H381" s="3">
        <f t="shared" si="158"/>
        <v>0.05</v>
      </c>
      <c r="I381" s="2">
        <v>2</v>
      </c>
      <c r="J381" s="2">
        <v>0</v>
      </c>
      <c r="K381" s="2">
        <v>1</v>
      </c>
      <c r="L381" s="16">
        <v>1</v>
      </c>
      <c r="M381" s="5">
        <f t="shared" si="169"/>
        <v>910</v>
      </c>
      <c r="N381" s="6">
        <f t="shared" si="170"/>
        <v>77.045850000000016</v>
      </c>
      <c r="O381">
        <f t="shared" si="171"/>
        <v>1258</v>
      </c>
      <c r="P381" s="7">
        <f t="shared" si="159"/>
        <v>16.32793979169546</v>
      </c>
      <c r="Q381">
        <f>ROUNDUP(몬스터!$P$23/F381, 0)</f>
        <v>15</v>
      </c>
      <c r="R381" s="6">
        <f t="shared" si="172"/>
        <v>19.011406844106464</v>
      </c>
      <c r="S381" s="7">
        <f>B381/몬스터!$C$23*R381</f>
        <v>299.35421570402559</v>
      </c>
      <c r="U381">
        <f>ROUNDDOWN(R381*몬스터!$H$23, 0)*몬스터!$G$23*(1+몬스터!$I$23)</f>
        <v>1641.6000000000001</v>
      </c>
      <c r="V381" s="2">
        <f t="shared" si="160"/>
        <v>1.3049284578696345</v>
      </c>
    </row>
    <row r="382" spans="1:22" x14ac:dyDescent="0.4">
      <c r="A382">
        <v>63</v>
      </c>
      <c r="B382" s="4">
        <f>160*A382</f>
        <v>10080</v>
      </c>
      <c r="C382">
        <f t="shared" si="165"/>
        <v>860</v>
      </c>
      <c r="D382">
        <f t="shared" si="166"/>
        <v>48</v>
      </c>
      <c r="E382" s="2">
        <v>0</v>
      </c>
      <c r="F382">
        <f t="shared" si="167"/>
        <v>94</v>
      </c>
      <c r="G382">
        <f t="shared" si="168"/>
        <v>0.79100000000000004</v>
      </c>
      <c r="H382" s="3">
        <f t="shared" si="158"/>
        <v>0.05</v>
      </c>
      <c r="I382" s="2">
        <v>2</v>
      </c>
      <c r="J382" s="2">
        <v>0</v>
      </c>
      <c r="K382" s="2">
        <v>1</v>
      </c>
      <c r="L382" s="16">
        <v>1</v>
      </c>
      <c r="M382" s="5">
        <f t="shared" si="169"/>
        <v>920</v>
      </c>
      <c r="N382" s="6">
        <f t="shared" si="170"/>
        <v>78.071700000000007</v>
      </c>
      <c r="O382">
        <f t="shared" si="171"/>
        <v>1272.8</v>
      </c>
      <c r="P382" s="7">
        <f t="shared" si="159"/>
        <v>16.30296253315862</v>
      </c>
      <c r="Q382">
        <f>ROUNDUP(몬스터!$P$23/F382, 0)</f>
        <v>15</v>
      </c>
      <c r="R382" s="6">
        <f t="shared" si="172"/>
        <v>18.963337547408344</v>
      </c>
      <c r="S382" s="7">
        <f>B382/몬스터!$C$23*R382</f>
        <v>303.4134007585335</v>
      </c>
      <c r="U382">
        <f>ROUNDDOWN(R382*몬스터!$H$23, 0)*몬스터!$G$23*(1+몬스터!$I$23)</f>
        <v>1641.6000000000001</v>
      </c>
      <c r="V382" s="2">
        <f t="shared" si="160"/>
        <v>1.2897548711502203</v>
      </c>
    </row>
    <row r="383" spans="1:22" x14ac:dyDescent="0.4">
      <c r="A383">
        <v>64</v>
      </c>
      <c r="B383" s="4">
        <f>160*A383</f>
        <v>10240</v>
      </c>
      <c r="C383">
        <f t="shared" si="165"/>
        <v>870</v>
      </c>
      <c r="D383">
        <f t="shared" si="166"/>
        <v>49</v>
      </c>
      <c r="E383" s="2">
        <v>0</v>
      </c>
      <c r="F383">
        <f t="shared" si="167"/>
        <v>95</v>
      </c>
      <c r="G383">
        <f t="shared" si="168"/>
        <v>0.79300000000000004</v>
      </c>
      <c r="H383" s="3">
        <f t="shared" si="158"/>
        <v>0.05</v>
      </c>
      <c r="I383" s="2">
        <v>2</v>
      </c>
      <c r="J383" s="2">
        <v>0</v>
      </c>
      <c r="K383" s="2">
        <v>1</v>
      </c>
      <c r="L383" s="16">
        <v>1</v>
      </c>
      <c r="M383" s="5">
        <f t="shared" si="169"/>
        <v>930</v>
      </c>
      <c r="N383" s="6">
        <f t="shared" si="170"/>
        <v>79.10175000000001</v>
      </c>
      <c r="O383">
        <f t="shared" si="171"/>
        <v>1296.3</v>
      </c>
      <c r="P383" s="7">
        <f t="shared" si="159"/>
        <v>16.387753747546668</v>
      </c>
      <c r="Q383">
        <f>ROUNDUP(몬스터!$P$23/F383, 0)</f>
        <v>15</v>
      </c>
      <c r="R383" s="6">
        <f t="shared" si="172"/>
        <v>18.915510718789406</v>
      </c>
      <c r="S383" s="7">
        <f>B383/몬스터!$C$23*R383</f>
        <v>307.45211073079923</v>
      </c>
      <c r="U383">
        <f>ROUNDDOWN(R383*몬스터!$H$23, 0)*몬스터!$G$23*(1+몬스터!$I$23)</f>
        <v>1532.16</v>
      </c>
      <c r="V383" s="2">
        <f t="shared" si="160"/>
        <v>1.1819486230039344</v>
      </c>
    </row>
    <row r="384" spans="1:22" x14ac:dyDescent="0.4">
      <c r="A384">
        <v>65</v>
      </c>
      <c r="B384" s="4">
        <f>160*A384</f>
        <v>10400</v>
      </c>
      <c r="C384">
        <f t="shared" ref="C384:C419" si="179">MROUND((150+A384*11)*1.02,5)</f>
        <v>880</v>
      </c>
      <c r="D384">
        <f t="shared" ref="D384:D419" si="180">ROUNDDOWN((30+A384*0.3), 0)</f>
        <v>49</v>
      </c>
      <c r="E384" s="2">
        <v>0</v>
      </c>
      <c r="F384">
        <f t="shared" ref="F384:F418" si="181">ROUND((28+A384*1.8)*2/3, 0)</f>
        <v>97</v>
      </c>
      <c r="G384">
        <f t="shared" ref="G384:G419" si="182">0.665+0.002*A384</f>
        <v>0.79500000000000004</v>
      </c>
      <c r="H384" s="3">
        <f t="shared" si="158"/>
        <v>0.05</v>
      </c>
      <c r="I384" s="2">
        <v>2</v>
      </c>
      <c r="J384" s="2">
        <v>0</v>
      </c>
      <c r="K384" s="2">
        <v>1</v>
      </c>
      <c r="L384" s="16">
        <v>1</v>
      </c>
      <c r="M384" s="5">
        <f t="shared" ref="M384:M419" si="183">290+10*A384</f>
        <v>940</v>
      </c>
      <c r="N384" s="6">
        <f t="shared" ref="N384:N419" si="184">F384*G384*(1+H384)</f>
        <v>80.97075000000001</v>
      </c>
      <c r="O384">
        <f t="shared" ref="O384:O419" si="185">C384*(1+D384/100)*(1+E384)</f>
        <v>1311.2</v>
      </c>
      <c r="P384" s="7">
        <f t="shared" si="159"/>
        <v>16.193501974478437</v>
      </c>
      <c r="Q384">
        <f>ROUNDUP(몬스터!$P$23/F384, 0)</f>
        <v>14</v>
      </c>
      <c r="R384" s="6">
        <f t="shared" ref="R384:R415" si="186">Q384/G384</f>
        <v>17.610062893081761</v>
      </c>
      <c r="S384" s="7">
        <f>B384/몬스터!$C$23*R384</f>
        <v>290.7058001397624</v>
      </c>
      <c r="T384" s="7">
        <f t="shared" ref="T384" si="187">SUM(S380:S384)</f>
        <v>1486.518798949264</v>
      </c>
      <c r="U384">
        <f>ROUNDDOWN(R384*몬스터!$H$23, 0)*몬스터!$G$23*(1+몬스터!$I$23)</f>
        <v>1422.7200000000003</v>
      </c>
      <c r="V384" s="2">
        <f t="shared" si="160"/>
        <v>1.0850518608907873</v>
      </c>
    </row>
    <row r="385" spans="1:22" x14ac:dyDescent="0.4">
      <c r="A385">
        <v>66</v>
      </c>
      <c r="B385" s="4">
        <f>170*A385-680</f>
        <v>10540</v>
      </c>
      <c r="C385">
        <f t="shared" si="179"/>
        <v>895</v>
      </c>
      <c r="D385">
        <f t="shared" si="180"/>
        <v>49</v>
      </c>
      <c r="E385" s="2">
        <v>0</v>
      </c>
      <c r="F385">
        <f t="shared" si="181"/>
        <v>98</v>
      </c>
      <c r="G385">
        <f t="shared" si="182"/>
        <v>0.79700000000000004</v>
      </c>
      <c r="H385" s="3">
        <f t="shared" ref="H385:H419" si="188">0.05</f>
        <v>0.05</v>
      </c>
      <c r="I385" s="2">
        <v>2</v>
      </c>
      <c r="J385" s="2">
        <v>0</v>
      </c>
      <c r="K385" s="2">
        <v>1</v>
      </c>
      <c r="L385" s="16">
        <v>1</v>
      </c>
      <c r="M385" s="5">
        <f t="shared" si="183"/>
        <v>950</v>
      </c>
      <c r="N385" s="6">
        <f t="shared" si="184"/>
        <v>82.011300000000006</v>
      </c>
      <c r="O385">
        <f t="shared" si="185"/>
        <v>1333.55</v>
      </c>
      <c r="P385" s="7">
        <f t="shared" ref="P385:P419" si="189">O385/N385</f>
        <v>16.26056409299694</v>
      </c>
      <c r="Q385">
        <f>ROUNDUP(몬스터!$P$24/F385, 0)</f>
        <v>16</v>
      </c>
      <c r="R385" s="6">
        <f t="shared" si="186"/>
        <v>20.075282308657464</v>
      </c>
      <c r="S385" s="7">
        <f>B385/몬스터!$C$24*R385</f>
        <v>311.16687578419067</v>
      </c>
      <c r="U385">
        <f>ROUNDDOWN(R385*몬스터!$H$24, 0)*몬스터!$G$24*(1+몬스터!$I$24)</f>
        <v>1891.08</v>
      </c>
      <c r="V385" s="2">
        <f t="shared" ref="V385:V419" si="190">U385/O385</f>
        <v>1.4180795620711635</v>
      </c>
    </row>
    <row r="386" spans="1:22" x14ac:dyDescent="0.4">
      <c r="A386">
        <v>67</v>
      </c>
      <c r="B386" s="4">
        <f>170*A386</f>
        <v>11390</v>
      </c>
      <c r="C386">
        <f t="shared" si="179"/>
        <v>905</v>
      </c>
      <c r="D386">
        <f t="shared" si="180"/>
        <v>50</v>
      </c>
      <c r="E386" s="2">
        <v>0</v>
      </c>
      <c r="F386">
        <f t="shared" si="181"/>
        <v>99</v>
      </c>
      <c r="G386">
        <f t="shared" si="182"/>
        <v>0.79900000000000004</v>
      </c>
      <c r="H386" s="3">
        <f t="shared" si="188"/>
        <v>0.05</v>
      </c>
      <c r="I386" s="2">
        <v>2</v>
      </c>
      <c r="J386" s="2">
        <v>0</v>
      </c>
      <c r="K386" s="2">
        <v>1</v>
      </c>
      <c r="L386" s="16">
        <v>1</v>
      </c>
      <c r="M386" s="5">
        <f t="shared" si="183"/>
        <v>960</v>
      </c>
      <c r="N386" s="6">
        <f t="shared" si="184"/>
        <v>83.056049999999999</v>
      </c>
      <c r="O386">
        <f t="shared" si="185"/>
        <v>1357.5</v>
      </c>
      <c r="P386" s="7">
        <f t="shared" si="189"/>
        <v>16.344384304334241</v>
      </c>
      <c r="Q386">
        <f>ROUNDUP(몬스터!$P$24/F386, 0)</f>
        <v>16</v>
      </c>
      <c r="R386" s="6">
        <f t="shared" si="186"/>
        <v>20.025031289111389</v>
      </c>
      <c r="S386" s="7">
        <f>B386/몬스터!$C$24*R386</f>
        <v>335.41927409261575</v>
      </c>
      <c r="U386">
        <f>ROUNDDOWN(R386*몬스터!$H$24, 0)*몬스터!$G$24*(1+몬스터!$I$24)</f>
        <v>1891.08</v>
      </c>
      <c r="V386" s="2">
        <f t="shared" si="190"/>
        <v>1.393060773480663</v>
      </c>
    </row>
    <row r="387" spans="1:22" x14ac:dyDescent="0.4">
      <c r="A387">
        <v>68</v>
      </c>
      <c r="B387" s="4">
        <f>170*A387</f>
        <v>11560</v>
      </c>
      <c r="C387">
        <f t="shared" si="179"/>
        <v>915</v>
      </c>
      <c r="D387">
        <f t="shared" si="180"/>
        <v>50</v>
      </c>
      <c r="E387" s="2">
        <v>0</v>
      </c>
      <c r="F387">
        <f t="shared" si="181"/>
        <v>100</v>
      </c>
      <c r="G387">
        <f t="shared" si="182"/>
        <v>0.80100000000000005</v>
      </c>
      <c r="H387" s="3">
        <f t="shared" si="188"/>
        <v>0.05</v>
      </c>
      <c r="I387" s="2">
        <v>2</v>
      </c>
      <c r="J387" s="2">
        <v>0</v>
      </c>
      <c r="K387" s="2">
        <v>1</v>
      </c>
      <c r="L387" s="16">
        <v>1</v>
      </c>
      <c r="M387" s="5">
        <f t="shared" si="183"/>
        <v>970</v>
      </c>
      <c r="N387" s="6">
        <f t="shared" si="184"/>
        <v>84.105000000000018</v>
      </c>
      <c r="O387">
        <f t="shared" si="185"/>
        <v>1372.5</v>
      </c>
      <c r="P387" s="7">
        <f t="shared" si="189"/>
        <v>16.318887105403956</v>
      </c>
      <c r="Q387">
        <f>ROUNDUP(몬스터!$P$24/F387, 0)</f>
        <v>15</v>
      </c>
      <c r="R387" s="6">
        <f t="shared" si="186"/>
        <v>18.726591760299623</v>
      </c>
      <c r="S387" s="7">
        <f>B387/몬스터!$C$24*R387</f>
        <v>318.35205992509361</v>
      </c>
      <c r="U387">
        <f>ROUNDDOWN(R387*몬스터!$H$24, 0)*몬스터!$G$24*(1+몬스터!$I$24)</f>
        <v>1772.8875</v>
      </c>
      <c r="V387" s="2">
        <f t="shared" si="190"/>
        <v>1.2917213114754098</v>
      </c>
    </row>
    <row r="388" spans="1:22" x14ac:dyDescent="0.4">
      <c r="A388">
        <v>69</v>
      </c>
      <c r="B388" s="4">
        <f>170*A388</f>
        <v>11730</v>
      </c>
      <c r="C388">
        <f t="shared" si="179"/>
        <v>925</v>
      </c>
      <c r="D388">
        <f t="shared" si="180"/>
        <v>50</v>
      </c>
      <c r="E388" s="2">
        <v>0</v>
      </c>
      <c r="F388">
        <f t="shared" si="181"/>
        <v>101</v>
      </c>
      <c r="G388">
        <f t="shared" si="182"/>
        <v>0.80300000000000005</v>
      </c>
      <c r="H388" s="3">
        <f t="shared" si="188"/>
        <v>0.05</v>
      </c>
      <c r="I388" s="2">
        <v>2</v>
      </c>
      <c r="J388" s="2">
        <v>0</v>
      </c>
      <c r="K388" s="2">
        <v>1</v>
      </c>
      <c r="L388" s="16">
        <v>1</v>
      </c>
      <c r="M388" s="5">
        <f t="shared" si="183"/>
        <v>980</v>
      </c>
      <c r="N388" s="6">
        <f t="shared" si="184"/>
        <v>85.158150000000006</v>
      </c>
      <c r="O388">
        <f t="shared" si="185"/>
        <v>1387.5</v>
      </c>
      <c r="P388" s="7">
        <f t="shared" si="189"/>
        <v>16.293214448646427</v>
      </c>
      <c r="Q388">
        <f>ROUNDUP(몬스터!$P$24/F388, 0)</f>
        <v>15</v>
      </c>
      <c r="R388" s="6">
        <f t="shared" si="186"/>
        <v>18.679950186799502</v>
      </c>
      <c r="S388" s="7">
        <f>B388/몬스터!$C$24*R388</f>
        <v>322.22914072229139</v>
      </c>
      <c r="U388">
        <f>ROUNDDOWN(R388*몬스터!$H$24, 0)*몬스터!$G$24*(1+몬스터!$I$24)</f>
        <v>1772.8875</v>
      </c>
      <c r="V388" s="2">
        <f t="shared" si="190"/>
        <v>1.2777567567567567</v>
      </c>
    </row>
    <row r="389" spans="1:22" x14ac:dyDescent="0.4">
      <c r="A389">
        <v>70</v>
      </c>
      <c r="B389" s="4">
        <f>170*A389</f>
        <v>11900</v>
      </c>
      <c r="C389">
        <f t="shared" si="179"/>
        <v>940</v>
      </c>
      <c r="D389">
        <f t="shared" si="180"/>
        <v>51</v>
      </c>
      <c r="E389" s="2">
        <v>0</v>
      </c>
      <c r="F389">
        <f t="shared" si="181"/>
        <v>103</v>
      </c>
      <c r="G389">
        <f t="shared" si="182"/>
        <v>0.80500000000000005</v>
      </c>
      <c r="H389" s="3">
        <f t="shared" si="188"/>
        <v>0.05</v>
      </c>
      <c r="I389" s="2">
        <v>2</v>
      </c>
      <c r="J389" s="2">
        <v>0</v>
      </c>
      <c r="K389" s="2">
        <v>1</v>
      </c>
      <c r="L389" s="16">
        <v>1</v>
      </c>
      <c r="M389" s="5">
        <f t="shared" si="183"/>
        <v>990</v>
      </c>
      <c r="N389" s="6">
        <f t="shared" si="184"/>
        <v>87.060750000000013</v>
      </c>
      <c r="O389">
        <f t="shared" si="185"/>
        <v>1419.4</v>
      </c>
      <c r="P389" s="7">
        <f t="shared" si="189"/>
        <v>16.303558147615313</v>
      </c>
      <c r="Q389">
        <f>ROUNDUP(몬스터!$P$24/F389, 0)</f>
        <v>15</v>
      </c>
      <c r="R389" s="6">
        <f t="shared" si="186"/>
        <v>18.633540372670808</v>
      </c>
      <c r="S389" s="7">
        <f>B389/몬스터!$C$24*R389</f>
        <v>326.08695652173913</v>
      </c>
      <c r="T389" s="7">
        <f t="shared" ref="T389" si="191">SUM(S385:S389)</f>
        <v>1613.2543070459305</v>
      </c>
      <c r="U389">
        <f>ROUNDDOWN(R389*몬스터!$H$24, 0)*몬스터!$G$24*(1+몬스터!$I$24)</f>
        <v>1772.8875</v>
      </c>
      <c r="V389" s="2">
        <f t="shared" si="190"/>
        <v>1.2490400873608567</v>
      </c>
    </row>
    <row r="390" spans="1:22" x14ac:dyDescent="0.4">
      <c r="A390">
        <v>71</v>
      </c>
      <c r="B390" s="4">
        <f>160*A390</f>
        <v>11360</v>
      </c>
      <c r="C390">
        <f t="shared" si="179"/>
        <v>950</v>
      </c>
      <c r="D390">
        <f t="shared" si="180"/>
        <v>51</v>
      </c>
      <c r="E390" s="2">
        <v>0</v>
      </c>
      <c r="F390">
        <f t="shared" si="181"/>
        <v>104</v>
      </c>
      <c r="G390">
        <f t="shared" si="182"/>
        <v>0.80700000000000005</v>
      </c>
      <c r="H390" s="3">
        <f t="shared" si="188"/>
        <v>0.05</v>
      </c>
      <c r="I390" s="2">
        <v>2</v>
      </c>
      <c r="J390" s="2">
        <v>0</v>
      </c>
      <c r="K390" s="2">
        <v>1</v>
      </c>
      <c r="L390" s="16">
        <v>1</v>
      </c>
      <c r="M390" s="5">
        <f t="shared" si="183"/>
        <v>1000</v>
      </c>
      <c r="N390" s="6">
        <f t="shared" si="184"/>
        <v>88.124400000000023</v>
      </c>
      <c r="O390">
        <f t="shared" si="185"/>
        <v>1434.5</v>
      </c>
      <c r="P390" s="7">
        <f t="shared" si="189"/>
        <v>16.278125014184489</v>
      </c>
      <c r="Q390">
        <f>ROUNDUP(몬스터!$P$25/F390, 0)</f>
        <v>16</v>
      </c>
      <c r="R390" s="6">
        <f t="shared" si="186"/>
        <v>19.826517967781907</v>
      </c>
      <c r="S390" s="7">
        <f>B390/몬스터!$C$25*R390</f>
        <v>308.53321111507188</v>
      </c>
      <c r="U390">
        <f>ROUNDDOWN(R390*몬스터!$H$25, 0)*몬스터!$G$25*(1+몬스터!$I$25)</f>
        <v>2051.2800000000002</v>
      </c>
      <c r="V390" s="2">
        <f t="shared" si="190"/>
        <v>1.4299616591146742</v>
      </c>
    </row>
    <row r="391" spans="1:22" x14ac:dyDescent="0.4">
      <c r="A391">
        <v>72</v>
      </c>
      <c r="B391" s="4">
        <f>160*A391</f>
        <v>11520</v>
      </c>
      <c r="C391">
        <f t="shared" si="179"/>
        <v>960</v>
      </c>
      <c r="D391">
        <f t="shared" si="180"/>
        <v>51</v>
      </c>
      <c r="E391" s="2">
        <v>0</v>
      </c>
      <c r="F391">
        <f t="shared" si="181"/>
        <v>105</v>
      </c>
      <c r="G391">
        <f t="shared" si="182"/>
        <v>0.80900000000000005</v>
      </c>
      <c r="H391" s="3">
        <f t="shared" si="188"/>
        <v>0.05</v>
      </c>
      <c r="I391" s="2">
        <v>2</v>
      </c>
      <c r="J391" s="2">
        <v>0</v>
      </c>
      <c r="K391" s="2">
        <v>1</v>
      </c>
      <c r="L391" s="16">
        <v>1</v>
      </c>
      <c r="M391" s="5">
        <f t="shared" si="183"/>
        <v>1010</v>
      </c>
      <c r="N391" s="6">
        <f t="shared" si="184"/>
        <v>89.192250000000016</v>
      </c>
      <c r="O391">
        <f t="shared" si="185"/>
        <v>1449.6</v>
      </c>
      <c r="P391" s="7">
        <f t="shared" si="189"/>
        <v>16.252533151703201</v>
      </c>
      <c r="Q391">
        <f>ROUNDUP(몬스터!$P$25/F391, 0)</f>
        <v>16</v>
      </c>
      <c r="R391" s="6">
        <f t="shared" si="186"/>
        <v>19.777503090234855</v>
      </c>
      <c r="S391" s="7">
        <f>B391/몬스터!$C$25*R391</f>
        <v>312.10525424589798</v>
      </c>
      <c r="U391">
        <f>ROUNDDOWN(R391*몬스터!$H$25, 0)*몬스터!$G$25*(1+몬스터!$I$25)</f>
        <v>2051.2800000000002</v>
      </c>
      <c r="V391" s="2">
        <f t="shared" si="190"/>
        <v>1.4150662251655632</v>
      </c>
    </row>
    <row r="392" spans="1:22" x14ac:dyDescent="0.4">
      <c r="A392">
        <v>73</v>
      </c>
      <c r="B392" s="4">
        <f>160*A392</f>
        <v>11680</v>
      </c>
      <c r="C392">
        <f t="shared" si="179"/>
        <v>970</v>
      </c>
      <c r="D392">
        <f t="shared" si="180"/>
        <v>51</v>
      </c>
      <c r="E392" s="2">
        <v>0</v>
      </c>
      <c r="F392">
        <f t="shared" si="181"/>
        <v>106</v>
      </c>
      <c r="G392">
        <f t="shared" si="182"/>
        <v>0.81100000000000005</v>
      </c>
      <c r="H392" s="3">
        <f t="shared" si="188"/>
        <v>0.05</v>
      </c>
      <c r="I392" s="2">
        <v>2</v>
      </c>
      <c r="J392" s="2">
        <v>0</v>
      </c>
      <c r="K392" s="2">
        <v>1</v>
      </c>
      <c r="L392" s="16">
        <v>1</v>
      </c>
      <c r="M392" s="5">
        <f t="shared" si="183"/>
        <v>1020</v>
      </c>
      <c r="N392" s="6">
        <f t="shared" si="184"/>
        <v>90.264300000000006</v>
      </c>
      <c r="O392">
        <f t="shared" si="185"/>
        <v>1464.7</v>
      </c>
      <c r="P392" s="7">
        <f t="shared" si="189"/>
        <v>16.226791765958414</v>
      </c>
      <c r="Q392">
        <f>ROUNDUP(몬스터!$P$25/F392, 0)</f>
        <v>16</v>
      </c>
      <c r="R392" s="6">
        <f t="shared" si="186"/>
        <v>19.728729963008629</v>
      </c>
      <c r="S392" s="7">
        <f>B392/몬스터!$C$25*R392</f>
        <v>315.65967940813806</v>
      </c>
      <c r="U392">
        <f>ROUNDDOWN(R392*몬스터!$H$25, 0)*몬스터!$G$25*(1+몬스터!$I$25)</f>
        <v>2051.2800000000002</v>
      </c>
      <c r="V392" s="2">
        <f t="shared" si="190"/>
        <v>1.400477913565918</v>
      </c>
    </row>
    <row r="393" spans="1:22" x14ac:dyDescent="0.4">
      <c r="A393">
        <v>74</v>
      </c>
      <c r="B393" s="4">
        <f>160*A393</f>
        <v>11840</v>
      </c>
      <c r="C393">
        <f t="shared" si="179"/>
        <v>985</v>
      </c>
      <c r="D393">
        <f t="shared" si="180"/>
        <v>52</v>
      </c>
      <c r="E393" s="2">
        <v>0</v>
      </c>
      <c r="F393">
        <f t="shared" si="181"/>
        <v>107</v>
      </c>
      <c r="G393">
        <f t="shared" si="182"/>
        <v>0.81300000000000006</v>
      </c>
      <c r="H393" s="3">
        <f t="shared" si="188"/>
        <v>0.05</v>
      </c>
      <c r="I393" s="2">
        <v>2</v>
      </c>
      <c r="J393" s="2">
        <v>0</v>
      </c>
      <c r="K393" s="2">
        <v>1</v>
      </c>
      <c r="L393" s="16">
        <v>1</v>
      </c>
      <c r="M393" s="5">
        <f t="shared" si="183"/>
        <v>1030</v>
      </c>
      <c r="N393" s="6">
        <f t="shared" si="184"/>
        <v>91.340550000000007</v>
      </c>
      <c r="O393">
        <f t="shared" si="185"/>
        <v>1497.2</v>
      </c>
      <c r="P393" s="7">
        <f t="shared" si="189"/>
        <v>16.391405569596415</v>
      </c>
      <c r="Q393">
        <f>ROUNDUP(몬스터!$P$25/F393, 0)</f>
        <v>16</v>
      </c>
      <c r="R393" s="6">
        <f t="shared" si="186"/>
        <v>19.68019680196802</v>
      </c>
      <c r="S393" s="7">
        <f>B393/몬스터!$C$25*R393</f>
        <v>319.19661662370049</v>
      </c>
      <c r="U393">
        <f>ROUNDDOWN(R393*몬스터!$H$25, 0)*몬스터!$G$25*(1+몬스터!$I$25)</f>
        <v>2051.2800000000002</v>
      </c>
      <c r="V393" s="2">
        <f t="shared" si="190"/>
        <v>1.3700774779588567</v>
      </c>
    </row>
    <row r="394" spans="1:22" x14ac:dyDescent="0.4">
      <c r="A394">
        <v>75</v>
      </c>
      <c r="B394" s="4">
        <f>160*A394</f>
        <v>12000</v>
      </c>
      <c r="C394">
        <f t="shared" si="179"/>
        <v>995</v>
      </c>
      <c r="D394">
        <f t="shared" si="180"/>
        <v>52</v>
      </c>
      <c r="E394" s="2">
        <v>0</v>
      </c>
      <c r="F394">
        <f t="shared" si="181"/>
        <v>109</v>
      </c>
      <c r="G394">
        <f t="shared" si="182"/>
        <v>0.81500000000000006</v>
      </c>
      <c r="H394" s="3">
        <f t="shared" si="188"/>
        <v>0.05</v>
      </c>
      <c r="I394" s="2">
        <v>2</v>
      </c>
      <c r="J394" s="2">
        <v>0</v>
      </c>
      <c r="K394" s="2">
        <v>1</v>
      </c>
      <c r="L394" s="16">
        <v>1</v>
      </c>
      <c r="M394" s="5">
        <f t="shared" si="183"/>
        <v>1040</v>
      </c>
      <c r="N394" s="6">
        <f t="shared" si="184"/>
        <v>93.276750000000007</v>
      </c>
      <c r="O394">
        <f t="shared" si="185"/>
        <v>1512.4</v>
      </c>
      <c r="P394" s="7">
        <f t="shared" si="189"/>
        <v>16.214115521820819</v>
      </c>
      <c r="Q394">
        <f>ROUNDUP(몬스터!$P$25/F394, 0)</f>
        <v>16</v>
      </c>
      <c r="R394" s="6">
        <f t="shared" si="186"/>
        <v>19.631901840490798</v>
      </c>
      <c r="S394" s="7">
        <f>B394/몬스터!$C$25*R394</f>
        <v>322.71619463820491</v>
      </c>
      <c r="T394" s="7">
        <f t="shared" ref="T394" si="192">SUM(S390:S394)</f>
        <v>1578.2109560310132</v>
      </c>
      <c r="U394">
        <f>ROUNDDOWN(R394*몬스터!$H$25, 0)*몬스터!$G$25*(1+몬스터!$I$25)</f>
        <v>2051.2800000000002</v>
      </c>
      <c r="V394" s="2">
        <f t="shared" si="190"/>
        <v>1.3563078550647978</v>
      </c>
    </row>
    <row r="395" spans="1:22" x14ac:dyDescent="0.4">
      <c r="A395">
        <v>76</v>
      </c>
      <c r="B395" s="4">
        <f>170*A395</f>
        <v>12920</v>
      </c>
      <c r="C395">
        <f t="shared" si="179"/>
        <v>1005</v>
      </c>
      <c r="D395">
        <f t="shared" si="180"/>
        <v>52</v>
      </c>
      <c r="E395" s="2">
        <v>0</v>
      </c>
      <c r="F395">
        <f t="shared" si="181"/>
        <v>110</v>
      </c>
      <c r="G395">
        <f t="shared" si="182"/>
        <v>0.81700000000000006</v>
      </c>
      <c r="H395" s="3">
        <f t="shared" si="188"/>
        <v>0.05</v>
      </c>
      <c r="I395" s="2">
        <v>2</v>
      </c>
      <c r="J395" s="2">
        <v>0</v>
      </c>
      <c r="K395" s="2">
        <v>1</v>
      </c>
      <c r="L395" s="16">
        <v>1</v>
      </c>
      <c r="M395" s="5">
        <f t="shared" si="183"/>
        <v>1050</v>
      </c>
      <c r="N395" s="6">
        <f t="shared" si="184"/>
        <v>94.363500000000002</v>
      </c>
      <c r="O395">
        <f t="shared" si="185"/>
        <v>1527.6</v>
      </c>
      <c r="P395" s="7">
        <f t="shared" si="189"/>
        <v>16.188462700090607</v>
      </c>
      <c r="Q395">
        <f>ROUNDUP(몬스터!$P$26/F395, 0)</f>
        <v>17</v>
      </c>
      <c r="R395" s="6">
        <f t="shared" si="186"/>
        <v>20.8078335373317</v>
      </c>
      <c r="S395" s="7">
        <f>B395/몬스터!$C$26*R395</f>
        <v>344.66308884913536</v>
      </c>
      <c r="U395">
        <f>ROUNDDOWN(R395*몬스터!$H$26, 0)*몬스터!$G$26*(1+몬스터!$I$26)</f>
        <v>2331.9750000000004</v>
      </c>
      <c r="V395" s="2">
        <f t="shared" si="190"/>
        <v>1.5265612725844466</v>
      </c>
    </row>
    <row r="396" spans="1:22" x14ac:dyDescent="0.4">
      <c r="A396">
        <v>77</v>
      </c>
      <c r="B396" s="4">
        <f>170*A396</f>
        <v>13090</v>
      </c>
      <c r="C396">
        <f t="shared" si="179"/>
        <v>1015</v>
      </c>
      <c r="D396">
        <f t="shared" si="180"/>
        <v>53</v>
      </c>
      <c r="E396" s="2">
        <v>0</v>
      </c>
      <c r="F396">
        <f t="shared" si="181"/>
        <v>111</v>
      </c>
      <c r="G396">
        <f t="shared" si="182"/>
        <v>0.81900000000000006</v>
      </c>
      <c r="H396" s="3">
        <f t="shared" si="188"/>
        <v>0.05</v>
      </c>
      <c r="I396" s="2">
        <v>2</v>
      </c>
      <c r="J396" s="2">
        <v>0</v>
      </c>
      <c r="K396" s="2">
        <v>1</v>
      </c>
      <c r="L396" s="16">
        <v>1</v>
      </c>
      <c r="M396" s="5">
        <f t="shared" si="183"/>
        <v>1060</v>
      </c>
      <c r="N396" s="6">
        <f t="shared" si="184"/>
        <v>95.454450000000008</v>
      </c>
      <c r="O396">
        <f t="shared" si="185"/>
        <v>1552.95</v>
      </c>
      <c r="P396" s="7">
        <f t="shared" si="189"/>
        <v>16.269016269016269</v>
      </c>
      <c r="Q396">
        <f>ROUNDUP(몬스터!$P$26/F396, 0)</f>
        <v>17</v>
      </c>
      <c r="R396" s="6">
        <f t="shared" si="186"/>
        <v>20.757020757020754</v>
      </c>
      <c r="S396" s="7">
        <f>B396/몬스터!$C$26*R396</f>
        <v>348.34538680692521</v>
      </c>
      <c r="U396">
        <f>ROUNDDOWN(R396*몬스터!$H$26, 0)*몬스터!$G$26*(1+몬스터!$I$26)</f>
        <v>2331.9750000000004</v>
      </c>
      <c r="V396" s="2">
        <f t="shared" si="190"/>
        <v>1.5016420361247949</v>
      </c>
    </row>
    <row r="397" spans="1:22" x14ac:dyDescent="0.4">
      <c r="A397">
        <v>78</v>
      </c>
      <c r="B397" s="4">
        <f>170*A397</f>
        <v>13260</v>
      </c>
      <c r="C397">
        <f t="shared" si="179"/>
        <v>1030</v>
      </c>
      <c r="D397">
        <f t="shared" si="180"/>
        <v>53</v>
      </c>
      <c r="E397" s="2">
        <v>0</v>
      </c>
      <c r="F397">
        <f t="shared" si="181"/>
        <v>112</v>
      </c>
      <c r="G397">
        <f t="shared" si="182"/>
        <v>0.82100000000000006</v>
      </c>
      <c r="H397" s="3">
        <f t="shared" si="188"/>
        <v>0.05</v>
      </c>
      <c r="I397" s="2">
        <v>2</v>
      </c>
      <c r="J397" s="2">
        <v>0</v>
      </c>
      <c r="K397" s="2">
        <v>1</v>
      </c>
      <c r="L397" s="16">
        <v>1</v>
      </c>
      <c r="M397" s="5">
        <f t="shared" si="183"/>
        <v>1070</v>
      </c>
      <c r="N397" s="6">
        <f t="shared" si="184"/>
        <v>96.549600000000012</v>
      </c>
      <c r="O397">
        <f t="shared" si="185"/>
        <v>1575.9</v>
      </c>
      <c r="P397" s="7">
        <f t="shared" si="189"/>
        <v>16.32218051654279</v>
      </c>
      <c r="Q397">
        <f>ROUNDUP(몬스터!$P$26/F397, 0)</f>
        <v>17</v>
      </c>
      <c r="R397" s="6">
        <f t="shared" si="186"/>
        <v>20.706455542021924</v>
      </c>
      <c r="S397" s="7">
        <f>B397/몬스터!$C$26*R397</f>
        <v>352.00974421437269</v>
      </c>
      <c r="U397">
        <f>ROUNDDOWN(R397*몬스터!$H$26, 0)*몬스터!$G$26*(1+몬스터!$I$26)</f>
        <v>2331.9750000000004</v>
      </c>
      <c r="V397" s="2">
        <f t="shared" si="190"/>
        <v>1.4797734627831716</v>
      </c>
    </row>
    <row r="398" spans="1:22" x14ac:dyDescent="0.4">
      <c r="A398">
        <v>79</v>
      </c>
      <c r="B398" s="4">
        <f>170*A398</f>
        <v>13430</v>
      </c>
      <c r="C398">
        <f t="shared" si="179"/>
        <v>1040</v>
      </c>
      <c r="D398">
        <f t="shared" si="180"/>
        <v>53</v>
      </c>
      <c r="E398" s="2">
        <v>0</v>
      </c>
      <c r="F398">
        <f t="shared" si="181"/>
        <v>113</v>
      </c>
      <c r="G398">
        <f t="shared" si="182"/>
        <v>0.82300000000000006</v>
      </c>
      <c r="H398" s="3">
        <f t="shared" si="188"/>
        <v>0.05</v>
      </c>
      <c r="I398" s="2">
        <v>2</v>
      </c>
      <c r="J398" s="2">
        <v>0</v>
      </c>
      <c r="K398" s="2">
        <v>1</v>
      </c>
      <c r="L398" s="16">
        <v>1</v>
      </c>
      <c r="M398" s="5">
        <f t="shared" si="183"/>
        <v>1080</v>
      </c>
      <c r="N398" s="6">
        <f t="shared" si="184"/>
        <v>97.648950000000013</v>
      </c>
      <c r="O398">
        <f t="shared" si="185"/>
        <v>1591.2</v>
      </c>
      <c r="P398" s="7">
        <f t="shared" si="189"/>
        <v>16.29510609177057</v>
      </c>
      <c r="Q398">
        <f>ROUNDUP(몬스터!$P$26/F398, 0)</f>
        <v>16</v>
      </c>
      <c r="R398" s="6">
        <f t="shared" si="186"/>
        <v>19.441069258809232</v>
      </c>
      <c r="S398" s="7">
        <f>B398/몬스터!$C$26*R398</f>
        <v>334.73533352026669</v>
      </c>
      <c r="U398">
        <f>ROUNDDOWN(R398*몬스터!$H$26, 0)*몬스터!$G$26*(1+몬스터!$I$26)</f>
        <v>2194.8000000000002</v>
      </c>
      <c r="V398" s="2">
        <f t="shared" si="190"/>
        <v>1.3793363499245852</v>
      </c>
    </row>
    <row r="399" spans="1:22" x14ac:dyDescent="0.4">
      <c r="A399">
        <v>80</v>
      </c>
      <c r="B399" s="4">
        <f>170*A399</f>
        <v>13600</v>
      </c>
      <c r="C399">
        <f t="shared" si="179"/>
        <v>1050</v>
      </c>
      <c r="D399">
        <f t="shared" si="180"/>
        <v>54</v>
      </c>
      <c r="E399" s="2">
        <v>0</v>
      </c>
      <c r="F399">
        <f t="shared" si="181"/>
        <v>115</v>
      </c>
      <c r="G399">
        <f t="shared" si="182"/>
        <v>0.82500000000000007</v>
      </c>
      <c r="H399" s="3">
        <f t="shared" si="188"/>
        <v>0.05</v>
      </c>
      <c r="I399" s="2">
        <v>2</v>
      </c>
      <c r="J399" s="2">
        <v>0</v>
      </c>
      <c r="K399" s="2">
        <v>1</v>
      </c>
      <c r="L399" s="16">
        <v>1</v>
      </c>
      <c r="M399" s="5">
        <f t="shared" si="183"/>
        <v>1090</v>
      </c>
      <c r="N399" s="6">
        <f t="shared" si="184"/>
        <v>99.61875000000002</v>
      </c>
      <c r="O399">
        <f t="shared" si="185"/>
        <v>1617</v>
      </c>
      <c r="P399" s="7">
        <f t="shared" si="189"/>
        <v>16.231884057971012</v>
      </c>
      <c r="Q399">
        <f>ROUNDUP(몬스터!$P$26/F399, 0)</f>
        <v>16</v>
      </c>
      <c r="R399" s="6">
        <f t="shared" si="186"/>
        <v>19.393939393939391</v>
      </c>
      <c r="S399" s="7">
        <f>B399/몬스터!$C$26*R399</f>
        <v>338.15073815073805</v>
      </c>
      <c r="T399" s="7">
        <f t="shared" ref="T399" si="193">SUM(S395:S399)</f>
        <v>1717.9042915414382</v>
      </c>
      <c r="U399">
        <f>ROUNDDOWN(R399*몬스터!$H$26, 0)*몬스터!$G$26*(1+몬스터!$I$26)</f>
        <v>2194.8000000000002</v>
      </c>
      <c r="V399" s="2">
        <f t="shared" si="190"/>
        <v>1.3573283858998146</v>
      </c>
    </row>
    <row r="400" spans="1:22" x14ac:dyDescent="0.4">
      <c r="A400">
        <v>81</v>
      </c>
      <c r="B400" s="4">
        <f>160*A400</f>
        <v>12960</v>
      </c>
      <c r="C400">
        <f t="shared" si="179"/>
        <v>1060</v>
      </c>
      <c r="D400">
        <f t="shared" si="180"/>
        <v>54</v>
      </c>
      <c r="E400" s="2">
        <v>0</v>
      </c>
      <c r="F400">
        <f t="shared" si="181"/>
        <v>116</v>
      </c>
      <c r="G400">
        <f t="shared" si="182"/>
        <v>0.82700000000000007</v>
      </c>
      <c r="H400" s="3">
        <f t="shared" si="188"/>
        <v>0.05</v>
      </c>
      <c r="I400" s="2">
        <v>2</v>
      </c>
      <c r="J400" s="2">
        <v>0</v>
      </c>
      <c r="K400" s="2">
        <v>1</v>
      </c>
      <c r="L400" s="16">
        <v>1</v>
      </c>
      <c r="M400" s="5">
        <f t="shared" si="183"/>
        <v>1100</v>
      </c>
      <c r="N400" s="6">
        <f t="shared" si="184"/>
        <v>100.7286</v>
      </c>
      <c r="O400">
        <f t="shared" si="185"/>
        <v>1632.4</v>
      </c>
      <c r="P400" s="7">
        <f t="shared" si="189"/>
        <v>16.205923640356364</v>
      </c>
      <c r="Q400">
        <f>ROUNDUP(몬스터!$P$29/F400, 0)</f>
        <v>17</v>
      </c>
      <c r="R400" s="6">
        <f t="shared" si="186"/>
        <v>20.556227327690447</v>
      </c>
      <c r="S400" s="7">
        <f>B400/몬스터!$C$29*R400</f>
        <v>320.97434477935928</v>
      </c>
      <c r="U400">
        <f>ROUNDDOWN(R400*몬스터!$H$29, 0)*몬스터!$G$29*(1+몬스터!$I$29)</f>
        <v>2506.14</v>
      </c>
      <c r="V400" s="2">
        <f t="shared" si="190"/>
        <v>1.5352487135506001</v>
      </c>
    </row>
    <row r="401" spans="1:22" x14ac:dyDescent="0.4">
      <c r="A401">
        <v>82</v>
      </c>
      <c r="B401" s="4">
        <f>160*A401</f>
        <v>13120</v>
      </c>
      <c r="C401">
        <f t="shared" si="179"/>
        <v>1075</v>
      </c>
      <c r="D401">
        <f t="shared" si="180"/>
        <v>54</v>
      </c>
      <c r="E401" s="2">
        <v>0</v>
      </c>
      <c r="F401">
        <f t="shared" si="181"/>
        <v>117</v>
      </c>
      <c r="G401">
        <f t="shared" si="182"/>
        <v>0.82900000000000007</v>
      </c>
      <c r="H401" s="3">
        <f t="shared" si="188"/>
        <v>0.05</v>
      </c>
      <c r="I401" s="2">
        <v>2</v>
      </c>
      <c r="J401" s="2">
        <v>0</v>
      </c>
      <c r="K401" s="2">
        <v>1</v>
      </c>
      <c r="L401" s="16">
        <v>1</v>
      </c>
      <c r="M401" s="5">
        <f t="shared" si="183"/>
        <v>1110</v>
      </c>
      <c r="N401" s="6">
        <f t="shared" si="184"/>
        <v>101.84265000000002</v>
      </c>
      <c r="O401">
        <f t="shared" si="185"/>
        <v>1655.5</v>
      </c>
      <c r="P401" s="7">
        <f t="shared" si="189"/>
        <v>16.255468607700209</v>
      </c>
      <c r="Q401">
        <f>ROUNDUP(몬스터!$P$29/F401, 0)</f>
        <v>17</v>
      </c>
      <c r="R401" s="6">
        <f t="shared" si="186"/>
        <v>20.506634499396863</v>
      </c>
      <c r="S401" s="7">
        <f>B401/몬스터!$C$29*R401</f>
        <v>324.15306582179136</v>
      </c>
      <c r="U401">
        <f>ROUNDDOWN(R401*몬스터!$H$29, 0)*몬스터!$G$29*(1+몬스터!$I$29)</f>
        <v>2506.14</v>
      </c>
      <c r="V401" s="2">
        <f t="shared" si="190"/>
        <v>1.5138266384778012</v>
      </c>
    </row>
    <row r="402" spans="1:22" x14ac:dyDescent="0.4">
      <c r="A402">
        <v>83</v>
      </c>
      <c r="B402" s="4">
        <f>160*A402</f>
        <v>13280</v>
      </c>
      <c r="C402">
        <f t="shared" si="179"/>
        <v>1085</v>
      </c>
      <c r="D402">
        <f t="shared" si="180"/>
        <v>54</v>
      </c>
      <c r="E402" s="2">
        <v>0</v>
      </c>
      <c r="F402">
        <f t="shared" si="181"/>
        <v>118</v>
      </c>
      <c r="G402">
        <f t="shared" si="182"/>
        <v>0.83100000000000007</v>
      </c>
      <c r="H402" s="3">
        <f t="shared" si="188"/>
        <v>0.05</v>
      </c>
      <c r="I402" s="2">
        <v>2</v>
      </c>
      <c r="J402" s="2">
        <v>0</v>
      </c>
      <c r="K402" s="2">
        <v>1</v>
      </c>
      <c r="L402" s="16">
        <v>1</v>
      </c>
      <c r="M402" s="5">
        <f t="shared" si="183"/>
        <v>1120</v>
      </c>
      <c r="N402" s="6">
        <f t="shared" si="184"/>
        <v>102.96090000000001</v>
      </c>
      <c r="O402">
        <f t="shared" si="185"/>
        <v>1670.9</v>
      </c>
      <c r="P402" s="7">
        <f t="shared" si="189"/>
        <v>16.228490621196979</v>
      </c>
      <c r="Q402">
        <f>ROUNDUP(몬스터!$P$29/F402, 0)</f>
        <v>17</v>
      </c>
      <c r="R402" s="6">
        <f t="shared" si="186"/>
        <v>20.457280385078217</v>
      </c>
      <c r="S402" s="7">
        <f>B402/몬스터!$C$29*R402</f>
        <v>327.31648616125148</v>
      </c>
      <c r="U402">
        <f>ROUNDDOWN(R402*몬스터!$H$29, 0)*몬스터!$G$29*(1+몬스터!$I$29)</f>
        <v>2506.14</v>
      </c>
      <c r="V402" s="2">
        <f t="shared" si="190"/>
        <v>1.4998743192291577</v>
      </c>
    </row>
    <row r="403" spans="1:22" x14ac:dyDescent="0.4">
      <c r="A403">
        <v>84</v>
      </c>
      <c r="B403" s="4">
        <f>160*A403</f>
        <v>13440</v>
      </c>
      <c r="C403">
        <f t="shared" si="179"/>
        <v>1095</v>
      </c>
      <c r="D403">
        <f t="shared" si="180"/>
        <v>55</v>
      </c>
      <c r="E403" s="2">
        <v>0</v>
      </c>
      <c r="F403">
        <f t="shared" si="181"/>
        <v>119</v>
      </c>
      <c r="G403">
        <f t="shared" si="182"/>
        <v>0.83300000000000007</v>
      </c>
      <c r="H403" s="3">
        <f t="shared" si="188"/>
        <v>0.05</v>
      </c>
      <c r="I403" s="2">
        <v>2</v>
      </c>
      <c r="J403" s="2">
        <v>0</v>
      </c>
      <c r="K403" s="2">
        <v>1</v>
      </c>
      <c r="L403" s="16">
        <v>1</v>
      </c>
      <c r="M403" s="5">
        <f t="shared" si="183"/>
        <v>1130</v>
      </c>
      <c r="N403" s="6">
        <f t="shared" si="184"/>
        <v>104.08335000000001</v>
      </c>
      <c r="O403">
        <f t="shared" si="185"/>
        <v>1697.25</v>
      </c>
      <c r="P403" s="7">
        <f t="shared" si="189"/>
        <v>16.306642705101247</v>
      </c>
      <c r="Q403">
        <f>ROUNDUP(몬스터!$P$29/F403, 0)</f>
        <v>17</v>
      </c>
      <c r="R403" s="6">
        <f t="shared" si="186"/>
        <v>20.408163265306122</v>
      </c>
      <c r="S403" s="7">
        <f>B403/몬스터!$C$29*R403</f>
        <v>330.46471600688466</v>
      </c>
      <c r="U403">
        <f>ROUNDDOWN(R403*몬스터!$H$29, 0)*몬스터!$G$29*(1+몬스터!$I$29)</f>
        <v>2506.14</v>
      </c>
      <c r="V403" s="2">
        <f t="shared" si="190"/>
        <v>1.4765885992045955</v>
      </c>
    </row>
    <row r="404" spans="1:22" x14ac:dyDescent="0.4">
      <c r="A404">
        <v>85</v>
      </c>
      <c r="B404" s="4">
        <f>160*A404</f>
        <v>13600</v>
      </c>
      <c r="C404">
        <f t="shared" si="179"/>
        <v>1105</v>
      </c>
      <c r="D404">
        <f t="shared" si="180"/>
        <v>55</v>
      </c>
      <c r="E404" s="2">
        <v>0</v>
      </c>
      <c r="F404">
        <f t="shared" si="181"/>
        <v>121</v>
      </c>
      <c r="G404">
        <f t="shared" si="182"/>
        <v>0.83500000000000008</v>
      </c>
      <c r="H404" s="3">
        <f t="shared" si="188"/>
        <v>0.05</v>
      </c>
      <c r="I404" s="2">
        <v>2</v>
      </c>
      <c r="J404" s="2">
        <v>0</v>
      </c>
      <c r="K404" s="2">
        <v>1</v>
      </c>
      <c r="L404" s="16">
        <v>1</v>
      </c>
      <c r="M404" s="5">
        <f t="shared" si="183"/>
        <v>1140</v>
      </c>
      <c r="N404" s="6">
        <f t="shared" si="184"/>
        <v>106.08675000000001</v>
      </c>
      <c r="O404">
        <f t="shared" si="185"/>
        <v>1712.75</v>
      </c>
      <c r="P404" s="7">
        <f t="shared" si="189"/>
        <v>16.14480601960188</v>
      </c>
      <c r="Q404">
        <f>ROUNDUP(몬스터!$P$29/F404, 0)</f>
        <v>17</v>
      </c>
      <c r="R404" s="6">
        <f t="shared" si="186"/>
        <v>20.359281437125748</v>
      </c>
      <c r="S404" s="7">
        <f>B404/몬스터!$C$29*R404</f>
        <v>333.59786451193997</v>
      </c>
      <c r="T404" s="7">
        <f t="shared" ref="T404" si="194">SUM(S400:S404)</f>
        <v>1636.5064772812266</v>
      </c>
      <c r="U404">
        <f>ROUNDDOWN(R404*몬스터!$H$29, 0)*몬스터!$G$29*(1+몬스터!$I$29)</f>
        <v>2506.14</v>
      </c>
      <c r="V404" s="2">
        <f t="shared" si="190"/>
        <v>1.4632258064516128</v>
      </c>
    </row>
    <row r="405" spans="1:22" x14ac:dyDescent="0.4">
      <c r="A405">
        <v>86</v>
      </c>
      <c r="B405" s="4">
        <f>170*A405</f>
        <v>14620</v>
      </c>
      <c r="C405">
        <f t="shared" si="179"/>
        <v>1120</v>
      </c>
      <c r="D405">
        <f t="shared" si="180"/>
        <v>55</v>
      </c>
      <c r="E405" s="2">
        <v>0</v>
      </c>
      <c r="F405">
        <f t="shared" si="181"/>
        <v>122</v>
      </c>
      <c r="G405">
        <f t="shared" si="182"/>
        <v>0.83700000000000008</v>
      </c>
      <c r="H405" s="3">
        <f t="shared" si="188"/>
        <v>0.05</v>
      </c>
      <c r="I405" s="2">
        <v>2</v>
      </c>
      <c r="J405" s="2">
        <v>0</v>
      </c>
      <c r="K405" s="2">
        <v>1</v>
      </c>
      <c r="L405" s="16">
        <v>1</v>
      </c>
      <c r="M405" s="5">
        <f t="shared" si="183"/>
        <v>1150</v>
      </c>
      <c r="N405" s="6">
        <f t="shared" si="184"/>
        <v>107.2197</v>
      </c>
      <c r="O405">
        <f t="shared" si="185"/>
        <v>1736</v>
      </c>
      <c r="P405" s="7">
        <f t="shared" si="189"/>
        <v>16.191054442420562</v>
      </c>
      <c r="Q405">
        <f>ROUNDUP(몬스터!$P$30/F405, 0)</f>
        <v>18</v>
      </c>
      <c r="R405" s="6">
        <f t="shared" si="186"/>
        <v>21.50537634408602</v>
      </c>
      <c r="S405" s="7">
        <f>B405/몬스터!$C$30*R405</f>
        <v>357.28250244379274</v>
      </c>
      <c r="U405">
        <f>ROUNDDOWN(R405*몬스터!$H$30, 0)*몬스터!$G$30*(1+몬스터!$I$30)</f>
        <v>2818.9349999999999</v>
      </c>
      <c r="V405" s="2">
        <f t="shared" si="190"/>
        <v>1.6238104838709677</v>
      </c>
    </row>
    <row r="406" spans="1:22" x14ac:dyDescent="0.4">
      <c r="A406">
        <v>87</v>
      </c>
      <c r="B406" s="4">
        <f>170*A406</f>
        <v>14790</v>
      </c>
      <c r="C406">
        <f t="shared" si="179"/>
        <v>1130</v>
      </c>
      <c r="D406">
        <f t="shared" si="180"/>
        <v>56</v>
      </c>
      <c r="E406" s="2">
        <v>0</v>
      </c>
      <c r="F406">
        <f t="shared" si="181"/>
        <v>123</v>
      </c>
      <c r="G406">
        <f t="shared" si="182"/>
        <v>0.83900000000000008</v>
      </c>
      <c r="H406" s="3">
        <f t="shared" si="188"/>
        <v>0.05</v>
      </c>
      <c r="I406" s="2">
        <v>2</v>
      </c>
      <c r="J406" s="2">
        <v>0</v>
      </c>
      <c r="K406" s="2">
        <v>1</v>
      </c>
      <c r="L406" s="16">
        <v>1</v>
      </c>
      <c r="M406" s="5">
        <f t="shared" si="183"/>
        <v>1160</v>
      </c>
      <c r="N406" s="6">
        <f t="shared" si="184"/>
        <v>108.35685000000001</v>
      </c>
      <c r="O406">
        <f t="shared" si="185"/>
        <v>1762.8</v>
      </c>
      <c r="P406" s="7">
        <f t="shared" si="189"/>
        <v>16.268468490916817</v>
      </c>
      <c r="Q406">
        <f>ROUNDUP(몬스터!$P$30/F406, 0)</f>
        <v>18</v>
      </c>
      <c r="R406" s="6">
        <f t="shared" si="186"/>
        <v>21.454112038140643</v>
      </c>
      <c r="S406" s="7">
        <f>B406/몬스터!$C$30*R406</f>
        <v>360.57536027738649</v>
      </c>
      <c r="U406">
        <f>ROUNDDOWN(R406*몬스터!$H$30, 0)*몬스터!$G$30*(1+몬스터!$I$30)</f>
        <v>2818.9349999999999</v>
      </c>
      <c r="V406" s="2">
        <f t="shared" si="190"/>
        <v>1.5991235534377128</v>
      </c>
    </row>
    <row r="407" spans="1:22" x14ac:dyDescent="0.4">
      <c r="A407">
        <v>88</v>
      </c>
      <c r="B407" s="4">
        <f>170*A407</f>
        <v>14960</v>
      </c>
      <c r="C407">
        <f t="shared" si="179"/>
        <v>1140</v>
      </c>
      <c r="D407">
        <f t="shared" si="180"/>
        <v>56</v>
      </c>
      <c r="E407" s="2">
        <v>0</v>
      </c>
      <c r="F407">
        <f t="shared" si="181"/>
        <v>124</v>
      </c>
      <c r="G407">
        <f t="shared" si="182"/>
        <v>0.84099999999999997</v>
      </c>
      <c r="H407" s="3">
        <f t="shared" si="188"/>
        <v>0.05</v>
      </c>
      <c r="I407" s="2">
        <v>2</v>
      </c>
      <c r="J407" s="2">
        <v>0</v>
      </c>
      <c r="K407" s="2">
        <v>1</v>
      </c>
      <c r="L407" s="16">
        <v>1</v>
      </c>
      <c r="M407" s="5">
        <f t="shared" si="183"/>
        <v>1170</v>
      </c>
      <c r="N407" s="6">
        <f t="shared" si="184"/>
        <v>109.4982</v>
      </c>
      <c r="O407">
        <f t="shared" si="185"/>
        <v>1778.4</v>
      </c>
      <c r="P407" s="7">
        <f t="shared" si="189"/>
        <v>16.24136287171844</v>
      </c>
      <c r="Q407">
        <f>ROUNDUP(몬스터!$P$30/F407, 0)</f>
        <v>18</v>
      </c>
      <c r="R407" s="6">
        <f t="shared" si="186"/>
        <v>21.403091557669441</v>
      </c>
      <c r="S407" s="7">
        <f>B407/몬스터!$C$30*R407</f>
        <v>363.85255648038049</v>
      </c>
      <c r="U407">
        <f>ROUNDDOWN(R407*몬스터!$H$30, 0)*몬스터!$G$30*(1+몬스터!$I$30)</f>
        <v>2818.9349999999999</v>
      </c>
      <c r="V407" s="2">
        <f t="shared" si="190"/>
        <v>1.5850961538461537</v>
      </c>
    </row>
    <row r="408" spans="1:22" x14ac:dyDescent="0.4">
      <c r="A408">
        <v>89</v>
      </c>
      <c r="B408" s="4">
        <f>170*A408</f>
        <v>15130</v>
      </c>
      <c r="C408">
        <f t="shared" si="179"/>
        <v>1150</v>
      </c>
      <c r="D408">
        <f t="shared" si="180"/>
        <v>56</v>
      </c>
      <c r="E408" s="2">
        <v>0</v>
      </c>
      <c r="F408">
        <f t="shared" si="181"/>
        <v>125</v>
      </c>
      <c r="G408">
        <f t="shared" si="182"/>
        <v>0.84299999999999997</v>
      </c>
      <c r="H408" s="3">
        <f t="shared" si="188"/>
        <v>0.05</v>
      </c>
      <c r="I408" s="2">
        <v>2</v>
      </c>
      <c r="J408" s="2">
        <v>0</v>
      </c>
      <c r="K408" s="2">
        <v>1</v>
      </c>
      <c r="L408" s="16">
        <v>1</v>
      </c>
      <c r="M408" s="5">
        <f t="shared" si="183"/>
        <v>1180</v>
      </c>
      <c r="N408" s="6">
        <f t="shared" si="184"/>
        <v>110.64375000000001</v>
      </c>
      <c r="O408">
        <f t="shared" si="185"/>
        <v>1794</v>
      </c>
      <c r="P408" s="7">
        <f t="shared" si="189"/>
        <v>16.214200982884254</v>
      </c>
      <c r="Q408">
        <f>ROUNDUP(몬스터!$P$30/F408, 0)</f>
        <v>18</v>
      </c>
      <c r="R408" s="6">
        <f t="shared" si="186"/>
        <v>21.352313167259787</v>
      </c>
      <c r="S408" s="7">
        <f>B408/몬스터!$C$30*R408</f>
        <v>367.11420252345516</v>
      </c>
      <c r="U408">
        <f>ROUNDDOWN(R408*몬스터!$H$30, 0)*몬스터!$G$30*(1+몬스터!$I$30)</f>
        <v>2818.9349999999999</v>
      </c>
      <c r="V408" s="2">
        <f t="shared" si="190"/>
        <v>1.5713127090301002</v>
      </c>
    </row>
    <row r="409" spans="1:22" x14ac:dyDescent="0.4">
      <c r="A409">
        <v>90</v>
      </c>
      <c r="B409" s="4">
        <f>170*A409</f>
        <v>15300</v>
      </c>
      <c r="C409">
        <f t="shared" si="179"/>
        <v>1165</v>
      </c>
      <c r="D409">
        <f t="shared" si="180"/>
        <v>57</v>
      </c>
      <c r="E409" s="2">
        <v>0</v>
      </c>
      <c r="F409">
        <f t="shared" si="181"/>
        <v>127</v>
      </c>
      <c r="G409">
        <f t="shared" si="182"/>
        <v>0.84499999999999997</v>
      </c>
      <c r="H409" s="3">
        <f t="shared" si="188"/>
        <v>0.05</v>
      </c>
      <c r="I409" s="2">
        <v>2</v>
      </c>
      <c r="J409" s="2">
        <v>0</v>
      </c>
      <c r="K409" s="2">
        <v>1</v>
      </c>
      <c r="L409" s="16">
        <v>1</v>
      </c>
      <c r="M409" s="5">
        <f t="shared" si="183"/>
        <v>1190</v>
      </c>
      <c r="N409" s="6">
        <f t="shared" si="184"/>
        <v>112.68075</v>
      </c>
      <c r="O409">
        <f t="shared" si="185"/>
        <v>1829.0499999999997</v>
      </c>
      <c r="P409" s="7">
        <f t="shared" si="189"/>
        <v>16.232142579810656</v>
      </c>
      <c r="Q409">
        <f>ROUNDUP(몬스터!$P$30/F409, 0)</f>
        <v>17</v>
      </c>
      <c r="R409" s="6">
        <f t="shared" si="186"/>
        <v>20.118343195266274</v>
      </c>
      <c r="S409" s="7">
        <f>B409/몬스터!$C$30*R409</f>
        <v>349.78483055406133</v>
      </c>
      <c r="T409" s="7">
        <f t="shared" ref="T409" si="195">SUM(S405:S409)</f>
        <v>1798.6094522790761</v>
      </c>
      <c r="U409">
        <f>ROUNDDOWN(R409*몬스터!$H$30, 0)*몬스터!$G$30*(1+몬스터!$I$30)</f>
        <v>2662.3274999999999</v>
      </c>
      <c r="V409" s="2">
        <f t="shared" si="190"/>
        <v>1.455579399141631</v>
      </c>
    </row>
    <row r="410" spans="1:22" x14ac:dyDescent="0.4">
      <c r="A410">
        <v>91</v>
      </c>
      <c r="B410" s="4">
        <f>160*A410</f>
        <v>14560</v>
      </c>
      <c r="C410">
        <f t="shared" si="179"/>
        <v>1175</v>
      </c>
      <c r="D410">
        <f t="shared" si="180"/>
        <v>57</v>
      </c>
      <c r="E410" s="2">
        <v>0</v>
      </c>
      <c r="F410">
        <f t="shared" si="181"/>
        <v>128</v>
      </c>
      <c r="G410">
        <f t="shared" si="182"/>
        <v>0.84699999999999998</v>
      </c>
      <c r="H410" s="3">
        <f t="shared" si="188"/>
        <v>0.05</v>
      </c>
      <c r="I410" s="2">
        <v>2</v>
      </c>
      <c r="J410" s="2">
        <v>0</v>
      </c>
      <c r="K410" s="2">
        <v>1</v>
      </c>
      <c r="L410" s="16">
        <v>1</v>
      </c>
      <c r="M410" s="5">
        <f t="shared" si="183"/>
        <v>1200</v>
      </c>
      <c r="N410" s="6">
        <f t="shared" si="184"/>
        <v>113.8368</v>
      </c>
      <c r="O410">
        <f t="shared" si="185"/>
        <v>1844.7499999999998</v>
      </c>
      <c r="P410" s="7">
        <f t="shared" si="189"/>
        <v>16.205216590768536</v>
      </c>
      <c r="Q410">
        <f>ROUNDUP(몬스터!$P$31/F410, 0)</f>
        <v>19</v>
      </c>
      <c r="R410" s="6">
        <f t="shared" si="186"/>
        <v>22.43211334120425</v>
      </c>
      <c r="S410" s="7">
        <f>B410/몬스터!$C$31*R410</f>
        <v>351.19523682573538</v>
      </c>
      <c r="U410">
        <f>ROUNDDOWN(R410*몬스터!$H$31, 0)*몬스터!$G$31*(1+몬스터!$I$31)</f>
        <v>3174.6150000000002</v>
      </c>
      <c r="V410" s="2">
        <f t="shared" si="190"/>
        <v>1.7208917197452234</v>
      </c>
    </row>
    <row r="411" spans="1:22" x14ac:dyDescent="0.4">
      <c r="A411">
        <v>92</v>
      </c>
      <c r="B411" s="4">
        <f>160*A411</f>
        <v>14720</v>
      </c>
      <c r="C411">
        <f t="shared" si="179"/>
        <v>1185</v>
      </c>
      <c r="D411">
        <f t="shared" si="180"/>
        <v>57</v>
      </c>
      <c r="E411" s="2">
        <v>0</v>
      </c>
      <c r="F411">
        <f t="shared" si="181"/>
        <v>129</v>
      </c>
      <c r="G411">
        <f t="shared" si="182"/>
        <v>0.84899999999999998</v>
      </c>
      <c r="H411" s="3">
        <f t="shared" si="188"/>
        <v>0.05</v>
      </c>
      <c r="I411" s="2">
        <v>2</v>
      </c>
      <c r="J411" s="2">
        <v>0</v>
      </c>
      <c r="K411" s="2">
        <v>1</v>
      </c>
      <c r="L411" s="16">
        <v>1</v>
      </c>
      <c r="M411" s="5">
        <f t="shared" si="183"/>
        <v>1210</v>
      </c>
      <c r="N411" s="6">
        <f t="shared" si="184"/>
        <v>114.99705</v>
      </c>
      <c r="O411">
        <f t="shared" si="185"/>
        <v>1860.4499999999998</v>
      </c>
      <c r="P411" s="7">
        <f t="shared" si="189"/>
        <v>16.178241094010669</v>
      </c>
      <c r="Q411">
        <f>ROUNDUP(몬스터!$P$31/F411, 0)</f>
        <v>19</v>
      </c>
      <c r="R411" s="6">
        <f t="shared" si="186"/>
        <v>22.37926972909305</v>
      </c>
      <c r="S411" s="7">
        <f>B411/몬스터!$C$31*R411</f>
        <v>354.21811872284911</v>
      </c>
      <c r="U411">
        <f>ROUNDDOWN(R411*몬스터!$H$31, 0)*몬스터!$G$31*(1+몬스터!$I$31)</f>
        <v>3174.6150000000002</v>
      </c>
      <c r="V411" s="2">
        <f t="shared" si="190"/>
        <v>1.7063694267515928</v>
      </c>
    </row>
    <row r="412" spans="1:22" x14ac:dyDescent="0.4">
      <c r="A412">
        <v>93</v>
      </c>
      <c r="B412" s="4">
        <f>160*A412</f>
        <v>14880</v>
      </c>
      <c r="C412">
        <f t="shared" si="179"/>
        <v>1195</v>
      </c>
      <c r="D412">
        <f t="shared" si="180"/>
        <v>57</v>
      </c>
      <c r="E412" s="2">
        <v>0</v>
      </c>
      <c r="F412">
        <f t="shared" si="181"/>
        <v>130</v>
      </c>
      <c r="G412">
        <f t="shared" si="182"/>
        <v>0.85099999999999998</v>
      </c>
      <c r="H412" s="3">
        <f t="shared" si="188"/>
        <v>0.05</v>
      </c>
      <c r="I412" s="2">
        <v>2</v>
      </c>
      <c r="J412" s="2">
        <v>0</v>
      </c>
      <c r="K412" s="2">
        <v>1</v>
      </c>
      <c r="L412" s="16">
        <v>1</v>
      </c>
      <c r="M412" s="5">
        <f t="shared" si="183"/>
        <v>1220</v>
      </c>
      <c r="N412" s="6">
        <f t="shared" si="184"/>
        <v>116.1615</v>
      </c>
      <c r="O412">
        <f t="shared" si="185"/>
        <v>1876.1499999999999</v>
      </c>
      <c r="P412" s="7">
        <f t="shared" si="189"/>
        <v>16.151220499046584</v>
      </c>
      <c r="Q412">
        <f>ROUNDUP(몬스터!$P$31/F412, 0)</f>
        <v>18</v>
      </c>
      <c r="R412" s="6">
        <f t="shared" si="186"/>
        <v>21.151586368977675</v>
      </c>
      <c r="S412" s="7">
        <f>B412/몬스터!$C$31*R412</f>
        <v>338.4253819036428</v>
      </c>
      <c r="U412">
        <f>ROUNDDOWN(R412*몬스터!$H$31, 0)*몬스터!$G$31*(1+몬스터!$I$31)</f>
        <v>3007.53</v>
      </c>
      <c r="V412" s="2">
        <f t="shared" si="190"/>
        <v>1.603032806545319</v>
      </c>
    </row>
    <row r="413" spans="1:22" x14ac:dyDescent="0.4">
      <c r="A413">
        <v>94</v>
      </c>
      <c r="B413" s="4">
        <f>160*A413</f>
        <v>15040</v>
      </c>
      <c r="C413">
        <f t="shared" si="179"/>
        <v>1210</v>
      </c>
      <c r="D413">
        <f t="shared" si="180"/>
        <v>58</v>
      </c>
      <c r="E413" s="2">
        <v>0</v>
      </c>
      <c r="F413">
        <f t="shared" si="181"/>
        <v>131</v>
      </c>
      <c r="G413">
        <f t="shared" si="182"/>
        <v>0.85299999999999998</v>
      </c>
      <c r="H413" s="3">
        <f t="shared" si="188"/>
        <v>0.05</v>
      </c>
      <c r="I413" s="2">
        <v>2</v>
      </c>
      <c r="J413" s="2">
        <v>0</v>
      </c>
      <c r="K413" s="2">
        <v>1</v>
      </c>
      <c r="L413" s="16">
        <v>1</v>
      </c>
      <c r="M413" s="5">
        <f t="shared" si="183"/>
        <v>1230</v>
      </c>
      <c r="N413" s="6">
        <f t="shared" si="184"/>
        <v>117.33015</v>
      </c>
      <c r="O413">
        <f t="shared" si="185"/>
        <v>1911.8000000000002</v>
      </c>
      <c r="P413" s="7">
        <f t="shared" si="189"/>
        <v>16.294192072540607</v>
      </c>
      <c r="Q413">
        <f>ROUNDUP(몬스터!$P$31/F413, 0)</f>
        <v>18</v>
      </c>
      <c r="R413" s="6">
        <f t="shared" si="186"/>
        <v>21.101992966002346</v>
      </c>
      <c r="S413" s="7">
        <f>B413/몬스터!$C$31*R413</f>
        <v>341.2623378587906</v>
      </c>
      <c r="U413">
        <f>ROUNDDOWN(R413*몬스터!$H$31, 0)*몬스터!$G$31*(1+몬스터!$I$31)</f>
        <v>3007.53</v>
      </c>
      <c r="V413" s="2">
        <f t="shared" si="190"/>
        <v>1.5731404958677686</v>
      </c>
    </row>
    <row r="414" spans="1:22" x14ac:dyDescent="0.4">
      <c r="A414">
        <v>95</v>
      </c>
      <c r="B414" s="4">
        <f>160*A414</f>
        <v>15200</v>
      </c>
      <c r="C414">
        <f t="shared" si="179"/>
        <v>1220</v>
      </c>
      <c r="D414">
        <f t="shared" si="180"/>
        <v>58</v>
      </c>
      <c r="E414" s="2">
        <v>0</v>
      </c>
      <c r="F414">
        <f t="shared" si="181"/>
        <v>133</v>
      </c>
      <c r="G414">
        <f t="shared" si="182"/>
        <v>0.85499999999999998</v>
      </c>
      <c r="H414" s="3">
        <f t="shared" si="188"/>
        <v>0.05</v>
      </c>
      <c r="I414" s="2">
        <v>2</v>
      </c>
      <c r="J414" s="2">
        <v>0</v>
      </c>
      <c r="K414" s="2">
        <v>1</v>
      </c>
      <c r="L414" s="16">
        <v>1</v>
      </c>
      <c r="M414" s="5">
        <f t="shared" si="183"/>
        <v>1240</v>
      </c>
      <c r="N414" s="6">
        <f t="shared" si="184"/>
        <v>119.40075</v>
      </c>
      <c r="O414">
        <f t="shared" si="185"/>
        <v>1927.6000000000001</v>
      </c>
      <c r="P414" s="7">
        <f t="shared" si="189"/>
        <v>16.143952194605145</v>
      </c>
      <c r="Q414">
        <f>ROUNDUP(몬스터!$P$31/F414, 0)</f>
        <v>18</v>
      </c>
      <c r="R414" s="6">
        <f t="shared" si="186"/>
        <v>21.05263157894737</v>
      </c>
      <c r="S414" s="7">
        <f>B414/몬스터!$C$31*R414</f>
        <v>344.08602150537638</v>
      </c>
      <c r="T414" s="7">
        <f t="shared" ref="T414" si="196">SUM(S410:S414)</f>
        <v>1729.1870968163939</v>
      </c>
      <c r="U414">
        <f>ROUNDDOWN(R414*몬스터!$H$31, 0)*몬스터!$G$31*(1+몬스터!$I$31)</f>
        <v>3007.53</v>
      </c>
      <c r="V414" s="2">
        <f t="shared" si="190"/>
        <v>1.5602459016393442</v>
      </c>
    </row>
    <row r="415" spans="1:22" x14ac:dyDescent="0.4">
      <c r="A415">
        <v>96</v>
      </c>
      <c r="B415" s="4">
        <f>170*A415</f>
        <v>16320</v>
      </c>
      <c r="C415">
        <f t="shared" si="179"/>
        <v>1230</v>
      </c>
      <c r="D415">
        <f t="shared" si="180"/>
        <v>58</v>
      </c>
      <c r="E415" s="2">
        <v>0</v>
      </c>
      <c r="F415">
        <f t="shared" si="181"/>
        <v>134</v>
      </c>
      <c r="G415">
        <f t="shared" si="182"/>
        <v>0.85699999999999998</v>
      </c>
      <c r="H415" s="3">
        <f t="shared" si="188"/>
        <v>0.05</v>
      </c>
      <c r="I415" s="2">
        <v>2</v>
      </c>
      <c r="J415" s="2">
        <v>0</v>
      </c>
      <c r="K415" s="2">
        <v>1</v>
      </c>
      <c r="L415" s="16">
        <v>1</v>
      </c>
      <c r="M415" s="5">
        <f t="shared" si="183"/>
        <v>1250</v>
      </c>
      <c r="N415" s="6">
        <f t="shared" si="184"/>
        <v>120.57989999999999</v>
      </c>
      <c r="O415">
        <f t="shared" si="185"/>
        <v>1943.4</v>
      </c>
      <c r="P415" s="7">
        <f t="shared" si="189"/>
        <v>16.117114046370915</v>
      </c>
      <c r="Q415">
        <f>ROUNDUP(몬스터!$P$32/F415, 0)</f>
        <v>19</v>
      </c>
      <c r="R415" s="6">
        <f t="shared" si="186"/>
        <v>22.170361726954493</v>
      </c>
      <c r="S415" s="7">
        <f>B415/몬스터!$C$32*R415</f>
        <v>369.2043912080585</v>
      </c>
      <c r="U415">
        <f>ROUNDDOWN(R415*몬스터!$H$32, 0)*몬스터!$G$32*(1+몬스터!$I$32)</f>
        <v>3529.7999999999997</v>
      </c>
      <c r="V415" s="2">
        <f t="shared" si="190"/>
        <v>1.8163013275702375</v>
      </c>
    </row>
    <row r="416" spans="1:22" x14ac:dyDescent="0.4">
      <c r="A416">
        <v>97</v>
      </c>
      <c r="B416" s="4">
        <f>170*A416</f>
        <v>16490</v>
      </c>
      <c r="C416">
        <f t="shared" si="179"/>
        <v>1240</v>
      </c>
      <c r="D416">
        <f t="shared" si="180"/>
        <v>59</v>
      </c>
      <c r="E416" s="2">
        <v>0</v>
      </c>
      <c r="F416">
        <f t="shared" si="181"/>
        <v>135</v>
      </c>
      <c r="G416">
        <f t="shared" si="182"/>
        <v>0.85899999999999999</v>
      </c>
      <c r="H416" s="3">
        <f t="shared" si="188"/>
        <v>0.05</v>
      </c>
      <c r="I416" s="2">
        <v>2</v>
      </c>
      <c r="J416" s="2">
        <v>0</v>
      </c>
      <c r="K416" s="2">
        <v>1</v>
      </c>
      <c r="L416" s="16">
        <v>1</v>
      </c>
      <c r="M416" s="5">
        <f t="shared" si="183"/>
        <v>1260</v>
      </c>
      <c r="N416" s="6">
        <f t="shared" si="184"/>
        <v>121.76325000000001</v>
      </c>
      <c r="O416">
        <f t="shared" si="185"/>
        <v>1971.6</v>
      </c>
      <c r="P416" s="7">
        <f t="shared" si="189"/>
        <v>16.192077658899542</v>
      </c>
      <c r="Q416">
        <f>ROUNDUP(몬스터!$P$32/F416, 0)</f>
        <v>19</v>
      </c>
      <c r="R416" s="6">
        <f t="shared" ref="R416:R419" si="197">Q416/G416</f>
        <v>22.118742724097789</v>
      </c>
      <c r="S416" s="7">
        <f>B416/몬스터!$C$32*R416</f>
        <v>372.18170155140058</v>
      </c>
      <c r="U416">
        <f>ROUNDDOWN(R416*몬스터!$H$32, 0)*몬스터!$G$32*(1+몬스터!$I$32)</f>
        <v>3353.3099999999995</v>
      </c>
      <c r="V416" s="2">
        <f t="shared" si="190"/>
        <v>1.7008064516129031</v>
      </c>
    </row>
    <row r="417" spans="1:22" x14ac:dyDescent="0.4">
      <c r="A417">
        <v>98</v>
      </c>
      <c r="B417" s="4">
        <f>170*A417</f>
        <v>16660</v>
      </c>
      <c r="C417">
        <f t="shared" si="179"/>
        <v>1255</v>
      </c>
      <c r="D417">
        <f t="shared" si="180"/>
        <v>59</v>
      </c>
      <c r="E417" s="2">
        <v>0</v>
      </c>
      <c r="F417">
        <f t="shared" si="181"/>
        <v>136</v>
      </c>
      <c r="G417">
        <f t="shared" si="182"/>
        <v>0.86099999999999999</v>
      </c>
      <c r="H417" s="3">
        <f t="shared" si="188"/>
        <v>0.05</v>
      </c>
      <c r="I417" s="2">
        <v>2</v>
      </c>
      <c r="J417" s="2">
        <v>0</v>
      </c>
      <c r="K417" s="2">
        <v>1</v>
      </c>
      <c r="L417" s="16">
        <v>1</v>
      </c>
      <c r="M417" s="5">
        <f t="shared" si="183"/>
        <v>1270</v>
      </c>
      <c r="N417" s="6">
        <f t="shared" si="184"/>
        <v>122.95080000000002</v>
      </c>
      <c r="O417">
        <f t="shared" si="185"/>
        <v>1995.4499999999998</v>
      </c>
      <c r="P417" s="7">
        <f t="shared" si="189"/>
        <v>16.229662596746014</v>
      </c>
      <c r="Q417">
        <f>ROUNDUP(몬스터!$P$32/F417, 0)</f>
        <v>19</v>
      </c>
      <c r="R417" s="6">
        <f t="shared" si="197"/>
        <v>22.067363530778167</v>
      </c>
      <c r="S417" s="7">
        <f>B417/몬스터!$C$32*R417</f>
        <v>375.14518002322882</v>
      </c>
      <c r="U417">
        <f>ROUNDDOWN(R417*몬스터!$H$32, 0)*몬스터!$G$32*(1+몬스터!$I$32)</f>
        <v>3353.3099999999995</v>
      </c>
      <c r="V417" s="2">
        <f t="shared" si="190"/>
        <v>1.6804780876494023</v>
      </c>
    </row>
    <row r="418" spans="1:22" x14ac:dyDescent="0.4">
      <c r="A418">
        <v>99</v>
      </c>
      <c r="B418" s="4">
        <f>170*A418</f>
        <v>16830</v>
      </c>
      <c r="C418">
        <f t="shared" si="179"/>
        <v>1265</v>
      </c>
      <c r="D418">
        <f t="shared" si="180"/>
        <v>59</v>
      </c>
      <c r="E418" s="2">
        <v>0</v>
      </c>
      <c r="F418">
        <f t="shared" si="181"/>
        <v>137</v>
      </c>
      <c r="G418">
        <f t="shared" si="182"/>
        <v>0.86299999999999999</v>
      </c>
      <c r="H418" s="3">
        <f t="shared" si="188"/>
        <v>0.05</v>
      </c>
      <c r="I418" s="2">
        <v>2</v>
      </c>
      <c r="J418" s="2">
        <v>0</v>
      </c>
      <c r="K418" s="2">
        <v>1</v>
      </c>
      <c r="L418" s="16">
        <v>1</v>
      </c>
      <c r="M418" s="5">
        <f t="shared" si="183"/>
        <v>1280</v>
      </c>
      <c r="N418" s="6">
        <f t="shared" si="184"/>
        <v>124.14255</v>
      </c>
      <c r="O418">
        <f t="shared" si="185"/>
        <v>2011.35</v>
      </c>
      <c r="P418" s="7">
        <f t="shared" si="189"/>
        <v>16.201938819526422</v>
      </c>
      <c r="Q418">
        <f>ROUNDUP(몬스터!$P$32/F418, 0)</f>
        <v>19</v>
      </c>
      <c r="R418" s="6">
        <f t="shared" si="197"/>
        <v>22.0162224797219</v>
      </c>
      <c r="S418" s="7">
        <f>B418/몬스터!$C$32*R418</f>
        <v>378.09492278950978</v>
      </c>
      <c r="U418">
        <f>ROUNDDOWN(R418*몬스터!$H$32, 0)*몬스터!$G$32*(1+몬스터!$I$32)</f>
        <v>3353.3099999999995</v>
      </c>
      <c r="V418" s="2">
        <f t="shared" si="190"/>
        <v>1.667193675889328</v>
      </c>
    </row>
    <row r="419" spans="1:22" x14ac:dyDescent="0.4">
      <c r="A419">
        <v>100</v>
      </c>
      <c r="B419" s="4">
        <f>170*A419</f>
        <v>17000</v>
      </c>
      <c r="C419">
        <f t="shared" si="179"/>
        <v>1275</v>
      </c>
      <c r="D419">
        <f t="shared" si="180"/>
        <v>60</v>
      </c>
      <c r="E419" s="2">
        <v>0</v>
      </c>
      <c r="F419">
        <f>ROUND((28+A419*1.8)*2/3, 0)</f>
        <v>139</v>
      </c>
      <c r="G419">
        <f t="shared" si="182"/>
        <v>0.86499999999999999</v>
      </c>
      <c r="H419" s="3">
        <f t="shared" si="188"/>
        <v>0.05</v>
      </c>
      <c r="I419" s="2">
        <v>2</v>
      </c>
      <c r="J419" s="2">
        <v>0</v>
      </c>
      <c r="K419" s="2">
        <v>1</v>
      </c>
      <c r="L419" s="16">
        <v>1</v>
      </c>
      <c r="M419" s="5">
        <f t="shared" si="183"/>
        <v>1290</v>
      </c>
      <c r="N419" s="6">
        <f t="shared" si="184"/>
        <v>126.24675000000001</v>
      </c>
      <c r="O419">
        <f t="shared" si="185"/>
        <v>2040</v>
      </c>
      <c r="P419" s="7">
        <f t="shared" si="189"/>
        <v>16.15883181151198</v>
      </c>
      <c r="Q419">
        <f>ROUNDUP(몬스터!$P$32/F419, 0)</f>
        <v>19</v>
      </c>
      <c r="R419" s="6">
        <f t="shared" si="197"/>
        <v>21.965317919075144</v>
      </c>
      <c r="S419" s="7">
        <f>B419/몬스터!$C$32*R419</f>
        <v>381.03102512681369</v>
      </c>
      <c r="T419" s="7">
        <f t="shared" ref="T419" si="198">SUM(S415:S419)</f>
        <v>1875.6572206990113</v>
      </c>
      <c r="U419">
        <f>ROUNDDOWN(R419*몬스터!$H$32, 0)*몬스터!$G$32*(1+몬스터!$I$32)</f>
        <v>3353.3099999999995</v>
      </c>
      <c r="V419" s="2">
        <f t="shared" si="190"/>
        <v>1.6437794117647055</v>
      </c>
    </row>
    <row r="421" spans="1:22" x14ac:dyDescent="0.4">
      <c r="A421" t="s">
        <v>282</v>
      </c>
      <c r="B421" t="s">
        <v>288</v>
      </c>
    </row>
    <row r="423" spans="1:22" ht="19.8" thickBot="1" x14ac:dyDescent="0.45">
      <c r="B423" s="45" t="s">
        <v>285</v>
      </c>
    </row>
    <row r="424" spans="1:22" ht="18" thickBot="1" x14ac:dyDescent="0.45">
      <c r="A424" s="36" t="s">
        <v>18</v>
      </c>
      <c r="B424" s="36" t="s">
        <v>300</v>
      </c>
      <c r="C424" s="28" t="s">
        <v>301</v>
      </c>
      <c r="D424" s="28" t="s">
        <v>302</v>
      </c>
      <c r="E424" s="28" t="s">
        <v>303</v>
      </c>
      <c r="F424" s="37" t="s">
        <v>305</v>
      </c>
      <c r="G424" s="37" t="s">
        <v>306</v>
      </c>
      <c r="H424" s="37" t="s">
        <v>307</v>
      </c>
      <c r="I424" s="37" t="s">
        <v>308</v>
      </c>
      <c r="J424" s="37" t="s">
        <v>309</v>
      </c>
      <c r="K424" s="38" t="s">
        <v>310</v>
      </c>
      <c r="L424" s="38" t="s">
        <v>312</v>
      </c>
      <c r="M424" s="38" t="s">
        <v>311</v>
      </c>
      <c r="N424" s="23" t="s">
        <v>313</v>
      </c>
      <c r="O424" s="23" t="s">
        <v>314</v>
      </c>
      <c r="P424" s="23" t="s">
        <v>315</v>
      </c>
      <c r="Q424" s="39" t="s">
        <v>316</v>
      </c>
      <c r="R424" s="39" t="s">
        <v>317</v>
      </c>
      <c r="S424" s="39" t="s">
        <v>318</v>
      </c>
      <c r="T424" s="39" t="s">
        <v>319</v>
      </c>
      <c r="U424" s="39" t="s">
        <v>320</v>
      </c>
      <c r="V424" s="39" t="s">
        <v>321</v>
      </c>
    </row>
    <row r="425" spans="1:22" ht="18" thickTop="1" x14ac:dyDescent="0.4">
      <c r="A425">
        <v>1</v>
      </c>
      <c r="B425" s="4">
        <f>150*A425</f>
        <v>150</v>
      </c>
      <c r="C425">
        <f t="shared" ref="C425:C456" si="199">MROUND((145+A425*11)*1.12,5)</f>
        <v>175</v>
      </c>
      <c r="D425">
        <f t="shared" ref="D425:D456" si="200">ROUNDDOWN((22+A425*0.3), 0)</f>
        <v>22</v>
      </c>
      <c r="E425" s="2">
        <v>0</v>
      </c>
      <c r="F425">
        <f t="shared" ref="F425:F456" si="201">ROUND((28+A425*2)*2/3, 0)</f>
        <v>20</v>
      </c>
      <c r="G425">
        <f t="shared" ref="G425:G456" si="202">0.665+0.002*A425</f>
        <v>0.66700000000000004</v>
      </c>
      <c r="H425" s="3">
        <f>0.05</f>
        <v>0.05</v>
      </c>
      <c r="I425" s="2">
        <v>2</v>
      </c>
      <c r="J425" s="2">
        <v>0</v>
      </c>
      <c r="K425" s="2">
        <v>1</v>
      </c>
      <c r="L425" s="16">
        <v>1</v>
      </c>
      <c r="M425" s="5">
        <f t="shared" ref="M425:M456" si="203">290+10*A425</f>
        <v>300</v>
      </c>
      <c r="N425" s="6">
        <f t="shared" ref="N425:N456" si="204">F425*G425*(1+H425)</f>
        <v>14.007</v>
      </c>
      <c r="O425">
        <f t="shared" ref="O425:O456" si="205">C425*(1+D425/100)*(1+E425)</f>
        <v>213.5</v>
      </c>
      <c r="P425" s="7">
        <f>O425/N425</f>
        <v>15.242378810594703</v>
      </c>
      <c r="Q425">
        <f>ROUNDUP(몬스터!$P$5/F425, 0)</f>
        <v>7</v>
      </c>
      <c r="R425" s="6">
        <f t="shared" ref="R425:R456" si="206">Q425/G425</f>
        <v>10.494752623688155</v>
      </c>
      <c r="S425" s="7">
        <f>B425/몬스터!$C$5*R425</f>
        <v>52.473763118440779</v>
      </c>
      <c r="U425">
        <f>ROUNDDOWN(R425*몬스터!$H$5, 0)*몬스터!$G$5*(1+몬스터!$I$5)</f>
        <v>37.800000000000004</v>
      </c>
      <c r="V425" s="2">
        <f>U425/O425</f>
        <v>0.17704918032786887</v>
      </c>
    </row>
    <row r="426" spans="1:22" x14ac:dyDescent="0.4">
      <c r="A426">
        <v>2</v>
      </c>
      <c r="B426" s="4">
        <f>150*A426</f>
        <v>300</v>
      </c>
      <c r="C426">
        <f t="shared" si="199"/>
        <v>185</v>
      </c>
      <c r="D426">
        <f t="shared" si="200"/>
        <v>22</v>
      </c>
      <c r="E426" s="2">
        <v>0</v>
      </c>
      <c r="F426">
        <f t="shared" si="201"/>
        <v>21</v>
      </c>
      <c r="G426">
        <f t="shared" si="202"/>
        <v>0.66900000000000004</v>
      </c>
      <c r="H426" s="3">
        <f t="shared" ref="H426:H489" si="207">0.05</f>
        <v>0.05</v>
      </c>
      <c r="I426" s="2">
        <v>2</v>
      </c>
      <c r="J426" s="2">
        <v>0</v>
      </c>
      <c r="K426" s="2">
        <v>1</v>
      </c>
      <c r="L426" s="16">
        <v>1</v>
      </c>
      <c r="M426" s="5">
        <f t="shared" si="203"/>
        <v>310</v>
      </c>
      <c r="N426" s="6">
        <f t="shared" si="204"/>
        <v>14.751450000000002</v>
      </c>
      <c r="O426">
        <f t="shared" si="205"/>
        <v>225.7</v>
      </c>
      <c r="P426" s="7">
        <f t="shared" ref="P426:P489" si="208">O426/N426</f>
        <v>15.300190828698193</v>
      </c>
      <c r="Q426">
        <f>ROUNDUP(몬스터!$P$5/F426, 0)</f>
        <v>7</v>
      </c>
      <c r="R426" s="6">
        <f t="shared" si="206"/>
        <v>10.46337817638266</v>
      </c>
      <c r="S426" s="7">
        <f>B426/몬스터!$C$5*R426</f>
        <v>104.6337817638266</v>
      </c>
      <c r="U426">
        <f>ROUNDDOWN(R426*몬스터!$H$5, 0)*몬스터!$G$5*(1+몬스터!$I$5)</f>
        <v>37.800000000000004</v>
      </c>
      <c r="V426" s="2">
        <f t="shared" ref="V426:V489" si="209">U426/O426</f>
        <v>0.16747895436420029</v>
      </c>
    </row>
    <row r="427" spans="1:22" x14ac:dyDescent="0.4">
      <c r="A427">
        <v>3</v>
      </c>
      <c r="B427" s="4">
        <f>150*A427</f>
        <v>450</v>
      </c>
      <c r="C427">
        <f t="shared" si="199"/>
        <v>200</v>
      </c>
      <c r="D427">
        <f t="shared" si="200"/>
        <v>22</v>
      </c>
      <c r="E427" s="2">
        <v>0</v>
      </c>
      <c r="F427">
        <f t="shared" si="201"/>
        <v>23</v>
      </c>
      <c r="G427">
        <f t="shared" si="202"/>
        <v>0.67100000000000004</v>
      </c>
      <c r="H427" s="3">
        <f t="shared" si="207"/>
        <v>0.05</v>
      </c>
      <c r="I427" s="2">
        <v>2</v>
      </c>
      <c r="J427" s="2">
        <v>0</v>
      </c>
      <c r="K427" s="2">
        <v>1</v>
      </c>
      <c r="L427" s="16">
        <v>1</v>
      </c>
      <c r="M427" s="5">
        <f t="shared" si="203"/>
        <v>320</v>
      </c>
      <c r="N427" s="6">
        <f t="shared" si="204"/>
        <v>16.204650000000001</v>
      </c>
      <c r="O427">
        <f t="shared" si="205"/>
        <v>244</v>
      </c>
      <c r="P427" s="7">
        <f t="shared" si="208"/>
        <v>15.057406361754188</v>
      </c>
      <c r="Q427">
        <f>ROUNDUP(몬스터!$P$5/F427, 0)</f>
        <v>6</v>
      </c>
      <c r="R427" s="6">
        <f t="shared" si="206"/>
        <v>8.9418777943368095</v>
      </c>
      <c r="S427" s="7">
        <f>B427/몬스터!$C$5*R427</f>
        <v>134.12816691505213</v>
      </c>
      <c r="U427">
        <f>ROUNDDOWN(R427*몬스터!$H$5, 0)*몬스터!$G$5*(1+몬스터!$I$5)</f>
        <v>31.5</v>
      </c>
      <c r="V427" s="2">
        <f t="shared" si="209"/>
        <v>0.12909836065573771</v>
      </c>
    </row>
    <row r="428" spans="1:22" x14ac:dyDescent="0.4">
      <c r="A428">
        <v>4</v>
      </c>
      <c r="B428" s="4">
        <f>150*A428+50</f>
        <v>650</v>
      </c>
      <c r="C428">
        <f t="shared" si="199"/>
        <v>210</v>
      </c>
      <c r="D428">
        <f t="shared" si="200"/>
        <v>23</v>
      </c>
      <c r="E428" s="2">
        <v>0</v>
      </c>
      <c r="F428">
        <f t="shared" si="201"/>
        <v>24</v>
      </c>
      <c r="G428">
        <f t="shared" si="202"/>
        <v>0.67300000000000004</v>
      </c>
      <c r="H428" s="3">
        <f t="shared" si="207"/>
        <v>0.05</v>
      </c>
      <c r="I428" s="2">
        <v>2</v>
      </c>
      <c r="J428" s="2">
        <v>0</v>
      </c>
      <c r="K428" s="2">
        <v>1</v>
      </c>
      <c r="L428" s="16">
        <v>1</v>
      </c>
      <c r="M428" s="5">
        <f t="shared" si="203"/>
        <v>330</v>
      </c>
      <c r="N428" s="6">
        <f t="shared" si="204"/>
        <v>16.959600000000002</v>
      </c>
      <c r="O428">
        <f t="shared" si="205"/>
        <v>258.3</v>
      </c>
      <c r="P428" s="7">
        <f t="shared" si="208"/>
        <v>15.230312035661218</v>
      </c>
      <c r="Q428">
        <f>ROUNDUP(몬스터!$P$5/F428, 0)</f>
        <v>6</v>
      </c>
      <c r="R428" s="6">
        <f t="shared" si="206"/>
        <v>8.9153046062407135</v>
      </c>
      <c r="S428" s="7">
        <f>B428/몬스터!$C$5*R428</f>
        <v>193.16493313521548</v>
      </c>
      <c r="U428">
        <f>ROUNDDOWN(R428*몬스터!$H$5, 0)*몬스터!$G$5*(1+몬스터!$I$5)</f>
        <v>31.5</v>
      </c>
      <c r="V428" s="2">
        <f t="shared" si="209"/>
        <v>0.12195121951219512</v>
      </c>
    </row>
    <row r="429" spans="1:22" x14ac:dyDescent="0.4">
      <c r="A429">
        <v>5</v>
      </c>
      <c r="B429" s="4">
        <f>150*A429+75</f>
        <v>825</v>
      </c>
      <c r="C429">
        <f t="shared" si="199"/>
        <v>225</v>
      </c>
      <c r="D429">
        <f t="shared" si="200"/>
        <v>23</v>
      </c>
      <c r="E429" s="2">
        <v>0</v>
      </c>
      <c r="F429">
        <f t="shared" si="201"/>
        <v>25</v>
      </c>
      <c r="G429">
        <f t="shared" si="202"/>
        <v>0.67500000000000004</v>
      </c>
      <c r="H429" s="3">
        <f t="shared" si="207"/>
        <v>0.05</v>
      </c>
      <c r="I429" s="2">
        <v>2</v>
      </c>
      <c r="J429" s="2">
        <v>0</v>
      </c>
      <c r="K429" s="2">
        <v>1</v>
      </c>
      <c r="L429" s="16">
        <v>1</v>
      </c>
      <c r="M429" s="5">
        <f t="shared" si="203"/>
        <v>340</v>
      </c>
      <c r="N429" s="6">
        <f t="shared" si="204"/>
        <v>17.71875</v>
      </c>
      <c r="O429">
        <f t="shared" si="205"/>
        <v>276.75</v>
      </c>
      <c r="P429" s="7">
        <f t="shared" si="208"/>
        <v>15.619047619047619</v>
      </c>
      <c r="Q429">
        <f>ROUNDUP(몬스터!$P$5/F429, 0)</f>
        <v>6</v>
      </c>
      <c r="R429" s="6">
        <f t="shared" si="206"/>
        <v>8.8888888888888875</v>
      </c>
      <c r="S429" s="7">
        <f>B429/몬스터!$C$5*R429</f>
        <v>244.4444444444444</v>
      </c>
      <c r="T429" s="7">
        <f>SUM(S425:S429)</f>
        <v>728.84508937697933</v>
      </c>
      <c r="U429">
        <f>ROUNDDOWN(R429*몬스터!$H$5, 0)*몬스터!$G$5*(1+몬스터!$I$5)</f>
        <v>31.5</v>
      </c>
      <c r="V429" s="2">
        <f t="shared" si="209"/>
        <v>0.11382113821138211</v>
      </c>
    </row>
    <row r="430" spans="1:22" x14ac:dyDescent="0.4">
      <c r="A430">
        <v>6</v>
      </c>
      <c r="B430" s="4">
        <f>150*A430</f>
        <v>900</v>
      </c>
      <c r="C430">
        <f t="shared" si="199"/>
        <v>235</v>
      </c>
      <c r="D430">
        <f t="shared" si="200"/>
        <v>23</v>
      </c>
      <c r="E430" s="2">
        <v>0</v>
      </c>
      <c r="F430">
        <f t="shared" si="201"/>
        <v>27</v>
      </c>
      <c r="G430">
        <f t="shared" si="202"/>
        <v>0.67700000000000005</v>
      </c>
      <c r="H430" s="3">
        <f t="shared" si="207"/>
        <v>0.05</v>
      </c>
      <c r="I430" s="2">
        <v>2</v>
      </c>
      <c r="J430" s="2">
        <v>0</v>
      </c>
      <c r="K430" s="2">
        <v>1</v>
      </c>
      <c r="L430" s="16">
        <v>1</v>
      </c>
      <c r="M430" s="5">
        <f t="shared" si="203"/>
        <v>350</v>
      </c>
      <c r="N430" s="6">
        <f t="shared" si="204"/>
        <v>19.19295</v>
      </c>
      <c r="O430">
        <f t="shared" si="205"/>
        <v>289.05</v>
      </c>
      <c r="P430" s="7">
        <f t="shared" si="208"/>
        <v>15.060217423585224</v>
      </c>
      <c r="Q430">
        <f>ROUNDUP(몬스터!$P$6/F430, 0)</f>
        <v>9</v>
      </c>
      <c r="R430" s="6">
        <f t="shared" si="206"/>
        <v>13.29394387001477</v>
      </c>
      <c r="S430" s="7">
        <f>B430/몬스터!$C$6*R430</f>
        <v>149.55686853766616</v>
      </c>
      <c r="U430">
        <f>ROUNDDOWN(R430*몬스터!$H$6, 0)*몬스터!$G$6*(1+몬스터!$I$6)</f>
        <v>109.98000000000002</v>
      </c>
      <c r="V430" s="2">
        <f t="shared" si="209"/>
        <v>0.38048780487804884</v>
      </c>
    </row>
    <row r="431" spans="1:22" x14ac:dyDescent="0.4">
      <c r="A431">
        <v>7</v>
      </c>
      <c r="B431" s="4">
        <f>150*A431</f>
        <v>1050</v>
      </c>
      <c r="C431">
        <f t="shared" si="199"/>
        <v>250</v>
      </c>
      <c r="D431">
        <f t="shared" si="200"/>
        <v>24</v>
      </c>
      <c r="E431" s="2">
        <v>0</v>
      </c>
      <c r="F431">
        <f t="shared" si="201"/>
        <v>28</v>
      </c>
      <c r="G431">
        <f t="shared" si="202"/>
        <v>0.67900000000000005</v>
      </c>
      <c r="H431" s="3">
        <f t="shared" si="207"/>
        <v>0.05</v>
      </c>
      <c r="I431" s="2">
        <v>2</v>
      </c>
      <c r="J431" s="2">
        <v>0</v>
      </c>
      <c r="K431" s="2">
        <v>1</v>
      </c>
      <c r="L431" s="16">
        <v>1</v>
      </c>
      <c r="M431" s="5">
        <f t="shared" si="203"/>
        <v>360</v>
      </c>
      <c r="N431" s="6">
        <f t="shared" si="204"/>
        <v>19.962600000000002</v>
      </c>
      <c r="O431">
        <f t="shared" si="205"/>
        <v>310</v>
      </c>
      <c r="P431" s="7">
        <f t="shared" si="208"/>
        <v>15.529039303497539</v>
      </c>
      <c r="Q431">
        <f>ROUNDUP(몬스터!$P$6/F431, 0)</f>
        <v>8</v>
      </c>
      <c r="R431" s="6">
        <f t="shared" si="206"/>
        <v>11.782032400589101</v>
      </c>
      <c r="S431" s="7">
        <f>B431/몬스터!$C$6*R431</f>
        <v>154.63917525773195</v>
      </c>
      <c r="U431">
        <f>ROUNDDOWN(R431*몬스터!$H$6, 0)*몬스터!$G$6*(1+몬스터!$I$6)</f>
        <v>96.232500000000016</v>
      </c>
      <c r="V431" s="2">
        <f t="shared" si="209"/>
        <v>0.31042741935483875</v>
      </c>
    </row>
    <row r="432" spans="1:22" x14ac:dyDescent="0.4">
      <c r="A432">
        <v>8</v>
      </c>
      <c r="B432" s="4">
        <f>150*A432+50</f>
        <v>1250</v>
      </c>
      <c r="C432">
        <f t="shared" si="199"/>
        <v>260</v>
      </c>
      <c r="D432">
        <f t="shared" si="200"/>
        <v>24</v>
      </c>
      <c r="E432" s="2">
        <v>0</v>
      </c>
      <c r="F432">
        <f t="shared" si="201"/>
        <v>29</v>
      </c>
      <c r="G432">
        <f t="shared" si="202"/>
        <v>0.68100000000000005</v>
      </c>
      <c r="H432" s="3">
        <f t="shared" si="207"/>
        <v>0.05</v>
      </c>
      <c r="I432" s="2">
        <v>2</v>
      </c>
      <c r="J432" s="2">
        <v>0</v>
      </c>
      <c r="K432" s="2">
        <v>1</v>
      </c>
      <c r="L432" s="16">
        <v>1</v>
      </c>
      <c r="M432" s="5">
        <f t="shared" si="203"/>
        <v>370</v>
      </c>
      <c r="N432" s="6">
        <f t="shared" si="204"/>
        <v>20.736450000000005</v>
      </c>
      <c r="O432">
        <f t="shared" si="205"/>
        <v>322.39999999999998</v>
      </c>
      <c r="P432" s="7">
        <f t="shared" si="208"/>
        <v>15.54750210378343</v>
      </c>
      <c r="Q432">
        <f>ROUNDUP(몬스터!$P$6/F432, 0)</f>
        <v>8</v>
      </c>
      <c r="R432" s="6">
        <f t="shared" si="206"/>
        <v>11.747430249632892</v>
      </c>
      <c r="S432" s="7">
        <f>B432/몬스터!$C$6*R432</f>
        <v>183.55359765051392</v>
      </c>
      <c r="U432">
        <f>ROUNDDOWN(R432*몬스터!$H$6, 0)*몬스터!$G$6*(1+몬스터!$I$6)</f>
        <v>96.232500000000016</v>
      </c>
      <c r="V432" s="2">
        <f t="shared" si="209"/>
        <v>0.29848790322580654</v>
      </c>
    </row>
    <row r="433" spans="1:22" x14ac:dyDescent="0.4">
      <c r="A433">
        <v>9</v>
      </c>
      <c r="B433" s="4">
        <f>150*A433+50</f>
        <v>1400</v>
      </c>
      <c r="C433">
        <f t="shared" si="199"/>
        <v>275</v>
      </c>
      <c r="D433">
        <f t="shared" si="200"/>
        <v>24</v>
      </c>
      <c r="E433" s="2">
        <v>0</v>
      </c>
      <c r="F433">
        <f t="shared" si="201"/>
        <v>31</v>
      </c>
      <c r="G433">
        <f t="shared" si="202"/>
        <v>0.68300000000000005</v>
      </c>
      <c r="H433" s="3">
        <f t="shared" si="207"/>
        <v>0.05</v>
      </c>
      <c r="I433" s="2">
        <v>2</v>
      </c>
      <c r="J433" s="2">
        <v>0</v>
      </c>
      <c r="K433" s="2">
        <v>1</v>
      </c>
      <c r="L433" s="16">
        <v>1</v>
      </c>
      <c r="M433" s="5">
        <f t="shared" si="203"/>
        <v>380</v>
      </c>
      <c r="N433" s="6">
        <f t="shared" si="204"/>
        <v>22.231650000000002</v>
      </c>
      <c r="O433">
        <f t="shared" si="205"/>
        <v>341</v>
      </c>
      <c r="P433" s="7">
        <f t="shared" si="208"/>
        <v>15.338492644495572</v>
      </c>
      <c r="Q433">
        <f>ROUNDUP(몬스터!$P$6/F433, 0)</f>
        <v>8</v>
      </c>
      <c r="R433" s="6">
        <f t="shared" si="206"/>
        <v>11.713030746705709</v>
      </c>
      <c r="S433" s="7">
        <f>B433/몬스터!$C$6*R433</f>
        <v>204.9780380673499</v>
      </c>
      <c r="U433">
        <f>ROUNDDOWN(R433*몬스터!$H$6, 0)*몬스터!$G$6*(1+몬스터!$I$6)</f>
        <v>96.232500000000016</v>
      </c>
      <c r="V433" s="2">
        <f t="shared" si="209"/>
        <v>0.28220674486803526</v>
      </c>
    </row>
    <row r="434" spans="1:22" x14ac:dyDescent="0.4">
      <c r="A434">
        <v>10</v>
      </c>
      <c r="B434" s="4">
        <f>150*A434+50</f>
        <v>1550</v>
      </c>
      <c r="C434">
        <f t="shared" si="199"/>
        <v>285</v>
      </c>
      <c r="D434">
        <f t="shared" si="200"/>
        <v>25</v>
      </c>
      <c r="E434" s="2">
        <v>0</v>
      </c>
      <c r="F434">
        <f t="shared" si="201"/>
        <v>32</v>
      </c>
      <c r="G434">
        <f t="shared" si="202"/>
        <v>0.68500000000000005</v>
      </c>
      <c r="H434" s="3">
        <f t="shared" si="207"/>
        <v>0.05</v>
      </c>
      <c r="I434" s="2">
        <v>2</v>
      </c>
      <c r="J434" s="2">
        <v>0</v>
      </c>
      <c r="K434" s="2">
        <v>1</v>
      </c>
      <c r="L434" s="16">
        <v>1</v>
      </c>
      <c r="M434" s="5">
        <f t="shared" si="203"/>
        <v>390</v>
      </c>
      <c r="N434" s="6">
        <f t="shared" si="204"/>
        <v>23.016000000000002</v>
      </c>
      <c r="O434">
        <f t="shared" si="205"/>
        <v>356.25</v>
      </c>
      <c r="P434" s="7">
        <f t="shared" si="208"/>
        <v>15.478362877997913</v>
      </c>
      <c r="Q434">
        <f>ROUNDUP(몬스터!$P$6/F434, 0)</f>
        <v>7</v>
      </c>
      <c r="R434" s="6">
        <f t="shared" si="206"/>
        <v>10.21897810218978</v>
      </c>
      <c r="S434" s="7">
        <f>B434/몬스터!$C$6*R434</f>
        <v>197.99270072992698</v>
      </c>
      <c r="T434" s="7">
        <f>SUM(S430:S434)</f>
        <v>890.72038024318886</v>
      </c>
      <c r="U434">
        <f>ROUNDDOWN(R434*몬스터!$H$6, 0)*몬스터!$G$6*(1+몬스터!$I$6)</f>
        <v>82.485000000000014</v>
      </c>
      <c r="V434" s="2">
        <f t="shared" si="209"/>
        <v>0.23153684210526321</v>
      </c>
    </row>
    <row r="435" spans="1:22" x14ac:dyDescent="0.4">
      <c r="A435">
        <v>11</v>
      </c>
      <c r="B435" s="4">
        <f>160*A435</f>
        <v>1760</v>
      </c>
      <c r="C435">
        <f t="shared" si="199"/>
        <v>300</v>
      </c>
      <c r="D435">
        <f t="shared" si="200"/>
        <v>25</v>
      </c>
      <c r="E435" s="2">
        <v>0</v>
      </c>
      <c r="F435">
        <f t="shared" si="201"/>
        <v>33</v>
      </c>
      <c r="G435">
        <f t="shared" si="202"/>
        <v>0.68700000000000006</v>
      </c>
      <c r="H435" s="3">
        <f t="shared" si="207"/>
        <v>0.05</v>
      </c>
      <c r="I435" s="2">
        <v>2</v>
      </c>
      <c r="J435" s="2">
        <v>0</v>
      </c>
      <c r="K435" s="2">
        <v>1</v>
      </c>
      <c r="L435" s="16">
        <v>1</v>
      </c>
      <c r="M435" s="5">
        <f t="shared" si="203"/>
        <v>400</v>
      </c>
      <c r="N435" s="6">
        <f t="shared" si="204"/>
        <v>23.804550000000003</v>
      </c>
      <c r="O435">
        <f t="shared" si="205"/>
        <v>375</v>
      </c>
      <c r="P435" s="7">
        <f t="shared" si="208"/>
        <v>15.753290862461167</v>
      </c>
      <c r="Q435">
        <f>ROUNDUP(몬스터!$P$7/F435, 0)</f>
        <v>8</v>
      </c>
      <c r="R435" s="6">
        <f t="shared" si="206"/>
        <v>11.644832605531295</v>
      </c>
      <c r="S435" s="7">
        <f>B435/몬스터!$C$7*R435</f>
        <v>157.6531183518083</v>
      </c>
      <c r="U435">
        <f>ROUNDDOWN(R435*몬스터!$H$7, 0)*몬스터!$G$7*(1+몬스터!$I$7)</f>
        <v>156.55499999999998</v>
      </c>
      <c r="V435" s="2">
        <f t="shared" si="209"/>
        <v>0.41747999999999996</v>
      </c>
    </row>
    <row r="436" spans="1:22" x14ac:dyDescent="0.4">
      <c r="A436">
        <v>12</v>
      </c>
      <c r="B436" s="4">
        <f>160*A436</f>
        <v>1920</v>
      </c>
      <c r="C436">
        <f t="shared" si="199"/>
        <v>310</v>
      </c>
      <c r="D436">
        <f t="shared" si="200"/>
        <v>25</v>
      </c>
      <c r="E436" s="2">
        <v>0</v>
      </c>
      <c r="F436">
        <f t="shared" si="201"/>
        <v>35</v>
      </c>
      <c r="G436">
        <f t="shared" si="202"/>
        <v>0.68900000000000006</v>
      </c>
      <c r="H436" s="3">
        <f t="shared" si="207"/>
        <v>0.05</v>
      </c>
      <c r="I436" s="2">
        <v>2</v>
      </c>
      <c r="J436" s="2">
        <v>0</v>
      </c>
      <c r="K436" s="2">
        <v>1</v>
      </c>
      <c r="L436" s="16">
        <v>1</v>
      </c>
      <c r="M436" s="5">
        <f t="shared" si="203"/>
        <v>410</v>
      </c>
      <c r="N436" s="6">
        <f t="shared" si="204"/>
        <v>25.320750000000004</v>
      </c>
      <c r="O436">
        <f t="shared" si="205"/>
        <v>387.5</v>
      </c>
      <c r="P436" s="7">
        <f t="shared" si="208"/>
        <v>15.303654117670288</v>
      </c>
      <c r="Q436">
        <f>ROUNDUP(몬스터!$P$7/F436, 0)</f>
        <v>8</v>
      </c>
      <c r="R436" s="6">
        <f t="shared" si="206"/>
        <v>11.611030478955007</v>
      </c>
      <c r="S436" s="7">
        <f>B436/몬스터!$C$7*R436</f>
        <v>171.48598861225858</v>
      </c>
      <c r="U436">
        <f>ROUNDDOWN(R436*몬스터!$H$7, 0)*몬스터!$G$7*(1+몬스터!$I$7)</f>
        <v>156.55499999999998</v>
      </c>
      <c r="V436" s="2">
        <f t="shared" si="209"/>
        <v>0.40401290322580641</v>
      </c>
    </row>
    <row r="437" spans="1:22" x14ac:dyDescent="0.4">
      <c r="A437">
        <v>13</v>
      </c>
      <c r="B437" s="4">
        <f>160*A437+40</f>
        <v>2120</v>
      </c>
      <c r="C437">
        <f t="shared" si="199"/>
        <v>325</v>
      </c>
      <c r="D437">
        <f t="shared" si="200"/>
        <v>25</v>
      </c>
      <c r="E437" s="2">
        <v>0</v>
      </c>
      <c r="F437">
        <f t="shared" si="201"/>
        <v>36</v>
      </c>
      <c r="G437">
        <f t="shared" si="202"/>
        <v>0.69100000000000006</v>
      </c>
      <c r="H437" s="3">
        <f t="shared" si="207"/>
        <v>0.05</v>
      </c>
      <c r="I437" s="2">
        <v>2</v>
      </c>
      <c r="J437" s="2">
        <v>0</v>
      </c>
      <c r="K437" s="2">
        <v>1</v>
      </c>
      <c r="L437" s="16">
        <v>1</v>
      </c>
      <c r="M437" s="5">
        <f t="shared" si="203"/>
        <v>420</v>
      </c>
      <c r="N437" s="6">
        <f t="shared" si="204"/>
        <v>26.119800000000001</v>
      </c>
      <c r="O437">
        <f t="shared" si="205"/>
        <v>406.25</v>
      </c>
      <c r="P437" s="7">
        <f t="shared" si="208"/>
        <v>15.553335017879157</v>
      </c>
      <c r="Q437">
        <f>ROUNDUP(몬스터!$P$7/F437, 0)</f>
        <v>8</v>
      </c>
      <c r="R437" s="6">
        <f t="shared" si="206"/>
        <v>11.577424023154848</v>
      </c>
      <c r="S437" s="7">
        <f>B437/몬스터!$C$7*R437</f>
        <v>188.80106868529441</v>
      </c>
      <c r="U437">
        <f>ROUNDDOWN(R437*몬스터!$H$7, 0)*몬스터!$G$7*(1+몬스터!$I$7)</f>
        <v>156.55499999999998</v>
      </c>
      <c r="V437" s="2">
        <f t="shared" si="209"/>
        <v>0.3853661538461538</v>
      </c>
    </row>
    <row r="438" spans="1:22" x14ac:dyDescent="0.4">
      <c r="A438">
        <v>14</v>
      </c>
      <c r="B438" s="4">
        <f>160*A438+120</f>
        <v>2360</v>
      </c>
      <c r="C438">
        <f t="shared" si="199"/>
        <v>335</v>
      </c>
      <c r="D438">
        <f t="shared" si="200"/>
        <v>26</v>
      </c>
      <c r="E438" s="2">
        <v>0</v>
      </c>
      <c r="F438">
        <f t="shared" si="201"/>
        <v>37</v>
      </c>
      <c r="G438">
        <f t="shared" si="202"/>
        <v>0.69300000000000006</v>
      </c>
      <c r="H438" s="3">
        <f t="shared" si="207"/>
        <v>0.05</v>
      </c>
      <c r="I438" s="2">
        <v>2</v>
      </c>
      <c r="J438" s="2">
        <v>0</v>
      </c>
      <c r="K438" s="2">
        <v>1</v>
      </c>
      <c r="L438" s="16">
        <v>1</v>
      </c>
      <c r="M438" s="5">
        <f t="shared" si="203"/>
        <v>430</v>
      </c>
      <c r="N438" s="6">
        <f t="shared" si="204"/>
        <v>26.923050000000003</v>
      </c>
      <c r="O438">
        <f t="shared" si="205"/>
        <v>422.1</v>
      </c>
      <c r="P438" s="7">
        <f t="shared" si="208"/>
        <v>15.678015678015678</v>
      </c>
      <c r="Q438">
        <f>ROUNDUP(몬스터!$P$7/F438, 0)</f>
        <v>7</v>
      </c>
      <c r="R438" s="6">
        <f t="shared" si="206"/>
        <v>10.1010101010101</v>
      </c>
      <c r="S438" s="7">
        <f>B438/몬스터!$C$7*R438</f>
        <v>183.37218337218334</v>
      </c>
      <c r="U438">
        <f>ROUNDDOWN(R438*몬스터!$H$7, 0)*몬스터!$G$7*(1+몬스터!$I$7)</f>
        <v>134.19</v>
      </c>
      <c r="V438" s="2">
        <f t="shared" si="209"/>
        <v>0.31791044776119398</v>
      </c>
    </row>
    <row r="439" spans="1:22" x14ac:dyDescent="0.4">
      <c r="A439">
        <v>15</v>
      </c>
      <c r="B439" s="4">
        <f>160*A439+100</f>
        <v>2500</v>
      </c>
      <c r="C439">
        <f t="shared" si="199"/>
        <v>345</v>
      </c>
      <c r="D439">
        <f t="shared" si="200"/>
        <v>26</v>
      </c>
      <c r="E439" s="2">
        <v>0</v>
      </c>
      <c r="F439">
        <f t="shared" si="201"/>
        <v>39</v>
      </c>
      <c r="G439">
        <f t="shared" si="202"/>
        <v>0.69500000000000006</v>
      </c>
      <c r="H439" s="3">
        <f t="shared" si="207"/>
        <v>0.05</v>
      </c>
      <c r="I439" s="2">
        <v>2</v>
      </c>
      <c r="J439" s="2">
        <v>0</v>
      </c>
      <c r="K439" s="2">
        <v>1</v>
      </c>
      <c r="L439" s="16">
        <v>1</v>
      </c>
      <c r="M439" s="5">
        <f t="shared" si="203"/>
        <v>440</v>
      </c>
      <c r="N439" s="6">
        <f t="shared" si="204"/>
        <v>28.460250000000006</v>
      </c>
      <c r="O439">
        <f t="shared" si="205"/>
        <v>434.7</v>
      </c>
      <c r="P439" s="7">
        <f t="shared" si="208"/>
        <v>15.273934698395127</v>
      </c>
      <c r="Q439">
        <f>ROUNDUP(몬스터!$P$7/F439, 0)</f>
        <v>7</v>
      </c>
      <c r="R439" s="6">
        <f t="shared" si="206"/>
        <v>10.071942446043165</v>
      </c>
      <c r="S439" s="7">
        <f>B439/몬스터!$C$7*R439</f>
        <v>193.69120088544548</v>
      </c>
      <c r="T439" s="7">
        <f t="shared" ref="T439" si="210">SUM(S435:S439)</f>
        <v>895.00355990699006</v>
      </c>
      <c r="U439">
        <f>ROUNDDOWN(R439*몬스터!$H$7, 0)*몬스터!$G$7*(1+몬스터!$I$7)</f>
        <v>134.19</v>
      </c>
      <c r="V439" s="2">
        <f t="shared" si="209"/>
        <v>0.30869565217391304</v>
      </c>
    </row>
    <row r="440" spans="1:22" x14ac:dyDescent="0.4">
      <c r="A440">
        <v>16</v>
      </c>
      <c r="B440" s="4">
        <f>160*A440</f>
        <v>2560</v>
      </c>
      <c r="C440">
        <f t="shared" si="199"/>
        <v>360</v>
      </c>
      <c r="D440">
        <f t="shared" si="200"/>
        <v>26</v>
      </c>
      <c r="E440" s="2">
        <v>0</v>
      </c>
      <c r="F440">
        <f t="shared" si="201"/>
        <v>40</v>
      </c>
      <c r="G440">
        <f t="shared" si="202"/>
        <v>0.69700000000000006</v>
      </c>
      <c r="H440" s="3">
        <f t="shared" si="207"/>
        <v>0.05</v>
      </c>
      <c r="I440" s="2">
        <v>2</v>
      </c>
      <c r="J440" s="2">
        <v>0</v>
      </c>
      <c r="K440" s="2">
        <v>1</v>
      </c>
      <c r="L440" s="16">
        <v>1</v>
      </c>
      <c r="M440" s="5">
        <f t="shared" si="203"/>
        <v>450</v>
      </c>
      <c r="N440" s="6">
        <f t="shared" si="204"/>
        <v>29.274000000000004</v>
      </c>
      <c r="O440">
        <f t="shared" si="205"/>
        <v>453.6</v>
      </c>
      <c r="P440" s="7">
        <f t="shared" si="208"/>
        <v>15.494978479196556</v>
      </c>
      <c r="Q440">
        <f>ROUNDUP(몬스터!$P$8/F440, 0)</f>
        <v>9</v>
      </c>
      <c r="R440" s="6">
        <f t="shared" si="206"/>
        <v>12.91248206599713</v>
      </c>
      <c r="S440" s="7">
        <f>B440/몬스터!$C$8*R440</f>
        <v>183.64418938307028</v>
      </c>
      <c r="U440">
        <f>ROUNDDOWN(R440*몬스터!$H$8, 0)*몬스터!$G$8*(1+몬스터!$I$8)</f>
        <v>240.24</v>
      </c>
      <c r="V440" s="2">
        <f t="shared" si="209"/>
        <v>0.52962962962962967</v>
      </c>
    </row>
    <row r="441" spans="1:22" x14ac:dyDescent="0.4">
      <c r="A441">
        <v>17</v>
      </c>
      <c r="B441" s="4">
        <f>160*A441</f>
        <v>2720</v>
      </c>
      <c r="C441">
        <f t="shared" si="199"/>
        <v>370</v>
      </c>
      <c r="D441">
        <f t="shared" si="200"/>
        <v>27</v>
      </c>
      <c r="E441" s="2">
        <v>0</v>
      </c>
      <c r="F441">
        <f t="shared" si="201"/>
        <v>41</v>
      </c>
      <c r="G441">
        <f t="shared" si="202"/>
        <v>0.69900000000000007</v>
      </c>
      <c r="H441" s="3">
        <f t="shared" si="207"/>
        <v>0.05</v>
      </c>
      <c r="I441" s="2">
        <v>2</v>
      </c>
      <c r="J441" s="2">
        <v>0</v>
      </c>
      <c r="K441" s="2">
        <v>1</v>
      </c>
      <c r="L441" s="16">
        <v>1</v>
      </c>
      <c r="M441" s="5">
        <f t="shared" si="203"/>
        <v>460</v>
      </c>
      <c r="N441" s="6">
        <f t="shared" si="204"/>
        <v>30.091950000000004</v>
      </c>
      <c r="O441">
        <f t="shared" si="205"/>
        <v>469.90000000000003</v>
      </c>
      <c r="P441" s="7">
        <f t="shared" si="208"/>
        <v>15.615471911923287</v>
      </c>
      <c r="Q441">
        <f>ROUNDUP(몬스터!$P$8/F441, 0)</f>
        <v>9</v>
      </c>
      <c r="R441" s="6">
        <f t="shared" si="206"/>
        <v>12.875536480686694</v>
      </c>
      <c r="S441" s="7">
        <f>B441/몬스터!$C$8*R441</f>
        <v>194.56366237482115</v>
      </c>
      <c r="U441">
        <f>ROUNDDOWN(R441*몬스터!$H$8, 0)*몬스터!$G$8*(1+몬스터!$I$8)</f>
        <v>240.24</v>
      </c>
      <c r="V441" s="2">
        <f t="shared" si="209"/>
        <v>0.51125771440732071</v>
      </c>
    </row>
    <row r="442" spans="1:22" x14ac:dyDescent="0.4">
      <c r="A442">
        <v>18</v>
      </c>
      <c r="B442" s="4">
        <f>160*A442</f>
        <v>2880</v>
      </c>
      <c r="C442">
        <f t="shared" si="199"/>
        <v>385</v>
      </c>
      <c r="D442">
        <f t="shared" si="200"/>
        <v>27</v>
      </c>
      <c r="E442" s="2">
        <v>0</v>
      </c>
      <c r="F442">
        <f t="shared" si="201"/>
        <v>43</v>
      </c>
      <c r="G442">
        <f t="shared" si="202"/>
        <v>0.70100000000000007</v>
      </c>
      <c r="H442" s="3">
        <f t="shared" si="207"/>
        <v>0.05</v>
      </c>
      <c r="I442" s="2">
        <v>2</v>
      </c>
      <c r="J442" s="2">
        <v>0</v>
      </c>
      <c r="K442" s="2">
        <v>1</v>
      </c>
      <c r="L442" s="16">
        <v>1</v>
      </c>
      <c r="M442" s="5">
        <f t="shared" si="203"/>
        <v>470</v>
      </c>
      <c r="N442" s="6">
        <f t="shared" si="204"/>
        <v>31.650150000000007</v>
      </c>
      <c r="O442">
        <f t="shared" si="205"/>
        <v>488.95</v>
      </c>
      <c r="P442" s="7">
        <f t="shared" si="208"/>
        <v>15.448583971955895</v>
      </c>
      <c r="Q442">
        <f>ROUNDUP(몬스터!$P$8/F442, 0)</f>
        <v>8</v>
      </c>
      <c r="R442" s="6">
        <f t="shared" si="206"/>
        <v>11.412268188302424</v>
      </c>
      <c r="S442" s="7">
        <f>B442/몬스터!$C$8*R442</f>
        <v>182.59629101283878</v>
      </c>
      <c r="U442">
        <f>ROUNDDOWN(R442*몬스터!$H$8, 0)*몬스터!$G$8*(1+몬스터!$I$8)</f>
        <v>210.21</v>
      </c>
      <c r="V442" s="2">
        <f t="shared" si="209"/>
        <v>0.42992125984251972</v>
      </c>
    </row>
    <row r="443" spans="1:22" x14ac:dyDescent="0.4">
      <c r="A443">
        <v>19</v>
      </c>
      <c r="B443" s="4">
        <f>160*A443</f>
        <v>3040</v>
      </c>
      <c r="C443">
        <f t="shared" si="199"/>
        <v>395</v>
      </c>
      <c r="D443">
        <f t="shared" si="200"/>
        <v>27</v>
      </c>
      <c r="E443" s="2">
        <v>0</v>
      </c>
      <c r="F443">
        <f t="shared" si="201"/>
        <v>44</v>
      </c>
      <c r="G443">
        <f t="shared" si="202"/>
        <v>0.70300000000000007</v>
      </c>
      <c r="H443" s="3">
        <f t="shared" si="207"/>
        <v>0.05</v>
      </c>
      <c r="I443" s="2">
        <v>2</v>
      </c>
      <c r="J443" s="2">
        <v>0</v>
      </c>
      <c r="K443" s="2">
        <v>1</v>
      </c>
      <c r="L443" s="16">
        <v>1</v>
      </c>
      <c r="M443" s="5">
        <f t="shared" si="203"/>
        <v>480</v>
      </c>
      <c r="N443" s="6">
        <f t="shared" si="204"/>
        <v>32.4786</v>
      </c>
      <c r="O443">
        <f t="shared" si="205"/>
        <v>501.65000000000003</v>
      </c>
      <c r="P443" s="7">
        <f t="shared" si="208"/>
        <v>15.445554919239131</v>
      </c>
      <c r="Q443">
        <f>ROUNDUP(몬스터!$P$8/F443, 0)</f>
        <v>8</v>
      </c>
      <c r="R443" s="6">
        <f t="shared" si="206"/>
        <v>11.379800853485063</v>
      </c>
      <c r="S443" s="7">
        <f>B443/몬스터!$C$8*R443</f>
        <v>192.19219219219218</v>
      </c>
      <c r="U443">
        <f>ROUNDDOWN(R443*몬스터!$H$8, 0)*몬스터!$G$8*(1+몬스터!$I$8)</f>
        <v>210.21</v>
      </c>
      <c r="V443" s="2">
        <f t="shared" si="209"/>
        <v>0.41903717731486095</v>
      </c>
    </row>
    <row r="444" spans="1:22" x14ac:dyDescent="0.4">
      <c r="A444">
        <v>20</v>
      </c>
      <c r="B444" s="4">
        <f>160*A444+80</f>
        <v>3280</v>
      </c>
      <c r="C444">
        <f t="shared" si="199"/>
        <v>410</v>
      </c>
      <c r="D444">
        <f t="shared" si="200"/>
        <v>28</v>
      </c>
      <c r="E444" s="2">
        <v>0</v>
      </c>
      <c r="F444">
        <f t="shared" si="201"/>
        <v>45</v>
      </c>
      <c r="G444">
        <f t="shared" si="202"/>
        <v>0.70500000000000007</v>
      </c>
      <c r="H444" s="3">
        <f t="shared" si="207"/>
        <v>0.05</v>
      </c>
      <c r="I444" s="2">
        <v>2</v>
      </c>
      <c r="J444" s="2">
        <v>0</v>
      </c>
      <c r="K444" s="2">
        <v>1</v>
      </c>
      <c r="L444" s="16">
        <v>1</v>
      </c>
      <c r="M444" s="5">
        <f t="shared" si="203"/>
        <v>490</v>
      </c>
      <c r="N444" s="6">
        <f t="shared" si="204"/>
        <v>33.311250000000001</v>
      </c>
      <c r="O444">
        <f t="shared" si="205"/>
        <v>524.79999999999995</v>
      </c>
      <c r="P444" s="7">
        <f t="shared" si="208"/>
        <v>15.754437314721001</v>
      </c>
      <c r="Q444">
        <f>ROUNDUP(몬스터!$P$8/F444, 0)</f>
        <v>8</v>
      </c>
      <c r="R444" s="6">
        <f t="shared" si="206"/>
        <v>11.347517730496453</v>
      </c>
      <c r="S444" s="7">
        <f>B444/몬스터!$C$8*R444</f>
        <v>206.77698975571312</v>
      </c>
      <c r="T444" s="7">
        <f t="shared" ref="T444" si="211">SUM(S440:S444)</f>
        <v>959.77332471863554</v>
      </c>
      <c r="U444">
        <f>ROUNDDOWN(R444*몬스터!$H$8, 0)*몬스터!$G$8*(1+몬스터!$I$8)</f>
        <v>210.21</v>
      </c>
      <c r="V444" s="2">
        <f t="shared" si="209"/>
        <v>0.40055259146341471</v>
      </c>
    </row>
    <row r="445" spans="1:22" x14ac:dyDescent="0.4">
      <c r="A445">
        <v>21</v>
      </c>
      <c r="B445" s="4">
        <f>160*A445</f>
        <v>3360</v>
      </c>
      <c r="C445">
        <f t="shared" si="199"/>
        <v>420</v>
      </c>
      <c r="D445">
        <f t="shared" si="200"/>
        <v>28</v>
      </c>
      <c r="E445" s="2">
        <v>0</v>
      </c>
      <c r="F445">
        <f t="shared" si="201"/>
        <v>47</v>
      </c>
      <c r="G445">
        <f t="shared" si="202"/>
        <v>0.70700000000000007</v>
      </c>
      <c r="H445" s="3">
        <f t="shared" si="207"/>
        <v>0.05</v>
      </c>
      <c r="I445" s="2">
        <v>2</v>
      </c>
      <c r="J445" s="2">
        <v>0</v>
      </c>
      <c r="K445" s="2">
        <v>1</v>
      </c>
      <c r="L445" s="16">
        <v>1</v>
      </c>
      <c r="M445" s="5">
        <f t="shared" si="203"/>
        <v>500</v>
      </c>
      <c r="N445" s="6">
        <f t="shared" si="204"/>
        <v>34.890450000000008</v>
      </c>
      <c r="O445">
        <f t="shared" si="205"/>
        <v>537.6</v>
      </c>
      <c r="P445" s="7">
        <f t="shared" si="208"/>
        <v>15.40822775286647</v>
      </c>
      <c r="Q445">
        <f>ROUNDUP(몬스터!$P$11/F445, 0)</f>
        <v>10</v>
      </c>
      <c r="R445" s="6">
        <f t="shared" si="206"/>
        <v>14.144271570014142</v>
      </c>
      <c r="S445" s="7">
        <f>B445/몬스터!$C$11*R445</f>
        <v>206.62935858803269</v>
      </c>
      <c r="U445">
        <f>ROUNDDOWN(R445*몬스터!$H$11, 0)*몬스터!$G$11*(1+몬스터!$I$11)</f>
        <v>349.92</v>
      </c>
      <c r="V445" s="2">
        <f t="shared" si="209"/>
        <v>0.65089285714285716</v>
      </c>
    </row>
    <row r="446" spans="1:22" x14ac:dyDescent="0.4">
      <c r="A446">
        <v>22</v>
      </c>
      <c r="B446" s="4">
        <f>160*A446</f>
        <v>3520</v>
      </c>
      <c r="C446">
        <f t="shared" si="199"/>
        <v>435</v>
      </c>
      <c r="D446">
        <f t="shared" si="200"/>
        <v>28</v>
      </c>
      <c r="E446" s="2">
        <v>0</v>
      </c>
      <c r="F446">
        <f t="shared" si="201"/>
        <v>48</v>
      </c>
      <c r="G446">
        <f t="shared" si="202"/>
        <v>0.70900000000000007</v>
      </c>
      <c r="H446" s="3">
        <f t="shared" si="207"/>
        <v>0.05</v>
      </c>
      <c r="I446" s="2">
        <v>2</v>
      </c>
      <c r="J446" s="2">
        <v>0</v>
      </c>
      <c r="K446" s="2">
        <v>1</v>
      </c>
      <c r="L446" s="16">
        <v>1</v>
      </c>
      <c r="M446" s="5">
        <f t="shared" si="203"/>
        <v>510</v>
      </c>
      <c r="N446" s="6">
        <f t="shared" si="204"/>
        <v>35.733600000000003</v>
      </c>
      <c r="O446">
        <f t="shared" si="205"/>
        <v>556.80000000000007</v>
      </c>
      <c r="P446" s="7">
        <f t="shared" si="208"/>
        <v>15.581973268856203</v>
      </c>
      <c r="Q446">
        <f>ROUNDUP(몬스터!$P$11/F446, 0)</f>
        <v>9</v>
      </c>
      <c r="R446" s="6">
        <f t="shared" si="206"/>
        <v>12.693935119887163</v>
      </c>
      <c r="S446" s="7">
        <f>B446/몬스터!$C$11*R446</f>
        <v>194.27239835653398</v>
      </c>
      <c r="U446">
        <f>ROUNDDOWN(R446*몬스터!$H$11, 0)*몬스터!$G$11*(1+몬스터!$I$11)</f>
        <v>311.04000000000002</v>
      </c>
      <c r="V446" s="2">
        <f t="shared" si="209"/>
        <v>0.55862068965517242</v>
      </c>
    </row>
    <row r="447" spans="1:22" x14ac:dyDescent="0.4">
      <c r="A447">
        <v>23</v>
      </c>
      <c r="B447" s="4">
        <f>160*A447</f>
        <v>3680</v>
      </c>
      <c r="C447">
        <f t="shared" si="199"/>
        <v>445</v>
      </c>
      <c r="D447">
        <f t="shared" si="200"/>
        <v>28</v>
      </c>
      <c r="E447" s="2">
        <v>0</v>
      </c>
      <c r="F447">
        <f t="shared" si="201"/>
        <v>49</v>
      </c>
      <c r="G447">
        <f t="shared" si="202"/>
        <v>0.71100000000000008</v>
      </c>
      <c r="H447" s="3">
        <f t="shared" si="207"/>
        <v>0.05</v>
      </c>
      <c r="I447" s="2">
        <v>2</v>
      </c>
      <c r="J447" s="2">
        <v>0</v>
      </c>
      <c r="K447" s="2">
        <v>1</v>
      </c>
      <c r="L447" s="16">
        <v>1</v>
      </c>
      <c r="M447" s="5">
        <f t="shared" si="203"/>
        <v>520</v>
      </c>
      <c r="N447" s="6">
        <f t="shared" si="204"/>
        <v>36.580950000000009</v>
      </c>
      <c r="O447">
        <f t="shared" si="205"/>
        <v>569.6</v>
      </c>
      <c r="P447" s="7">
        <f t="shared" si="208"/>
        <v>15.570946079858503</v>
      </c>
      <c r="Q447">
        <f>ROUNDUP(몬스터!$P$11/F447, 0)</f>
        <v>9</v>
      </c>
      <c r="R447" s="6">
        <f t="shared" si="206"/>
        <v>12.658227848101264</v>
      </c>
      <c r="S447" s="7">
        <f>B447/몬스터!$C$11*R447</f>
        <v>202.53164556962022</v>
      </c>
      <c r="U447">
        <f>ROUNDDOWN(R447*몬스터!$H$11, 0)*몬스터!$G$11*(1+몬스터!$I$11)</f>
        <v>311.04000000000002</v>
      </c>
      <c r="V447" s="2">
        <f t="shared" si="209"/>
        <v>0.54606741573033712</v>
      </c>
    </row>
    <row r="448" spans="1:22" x14ac:dyDescent="0.4">
      <c r="A448">
        <v>24</v>
      </c>
      <c r="B448" s="4">
        <f>160*A448</f>
        <v>3840</v>
      </c>
      <c r="C448">
        <f t="shared" si="199"/>
        <v>460</v>
      </c>
      <c r="D448">
        <f t="shared" si="200"/>
        <v>29</v>
      </c>
      <c r="E448" s="2">
        <v>0</v>
      </c>
      <c r="F448">
        <f t="shared" si="201"/>
        <v>51</v>
      </c>
      <c r="G448">
        <f t="shared" si="202"/>
        <v>0.71300000000000008</v>
      </c>
      <c r="H448" s="3">
        <f t="shared" si="207"/>
        <v>0.05</v>
      </c>
      <c r="I448" s="2">
        <v>2</v>
      </c>
      <c r="J448" s="2">
        <v>0</v>
      </c>
      <c r="K448" s="2">
        <v>1</v>
      </c>
      <c r="L448" s="16">
        <v>1</v>
      </c>
      <c r="M448" s="5">
        <f t="shared" si="203"/>
        <v>530</v>
      </c>
      <c r="N448" s="6">
        <f t="shared" si="204"/>
        <v>38.181150000000009</v>
      </c>
      <c r="O448">
        <f t="shared" si="205"/>
        <v>593.4</v>
      </c>
      <c r="P448" s="7">
        <f t="shared" si="208"/>
        <v>15.541700551188212</v>
      </c>
      <c r="Q448">
        <f>ROUNDUP(몬스터!$P$11/F448, 0)</f>
        <v>9</v>
      </c>
      <c r="R448" s="6">
        <f t="shared" si="206"/>
        <v>12.622720897615707</v>
      </c>
      <c r="S448" s="7">
        <f>B448/몬스터!$C$11*R448</f>
        <v>210.74455759497528</v>
      </c>
      <c r="U448">
        <f>ROUNDDOWN(R448*몬스터!$H$11, 0)*몬스터!$G$11*(1+몬스터!$I$11)</f>
        <v>311.04000000000002</v>
      </c>
      <c r="V448" s="2">
        <f t="shared" si="209"/>
        <v>0.5241658240647119</v>
      </c>
    </row>
    <row r="449" spans="1:22" x14ac:dyDescent="0.4">
      <c r="A449">
        <v>25</v>
      </c>
      <c r="B449" s="4">
        <f>160*A449</f>
        <v>4000</v>
      </c>
      <c r="C449">
        <f t="shared" si="199"/>
        <v>470</v>
      </c>
      <c r="D449">
        <f t="shared" si="200"/>
        <v>29</v>
      </c>
      <c r="E449" s="2">
        <v>0</v>
      </c>
      <c r="F449">
        <f t="shared" si="201"/>
        <v>52</v>
      </c>
      <c r="G449">
        <f t="shared" si="202"/>
        <v>0.71500000000000008</v>
      </c>
      <c r="H449" s="3">
        <f t="shared" si="207"/>
        <v>0.05</v>
      </c>
      <c r="I449" s="2">
        <v>2</v>
      </c>
      <c r="J449" s="2">
        <v>0</v>
      </c>
      <c r="K449" s="2">
        <v>1</v>
      </c>
      <c r="L449" s="16">
        <v>1</v>
      </c>
      <c r="M449" s="5">
        <f t="shared" si="203"/>
        <v>540</v>
      </c>
      <c r="N449" s="6">
        <f t="shared" si="204"/>
        <v>39.039000000000009</v>
      </c>
      <c r="O449">
        <f t="shared" si="205"/>
        <v>606.30000000000007</v>
      </c>
      <c r="P449" s="7">
        <f t="shared" si="208"/>
        <v>15.530623222930913</v>
      </c>
      <c r="Q449">
        <f>ROUNDUP(몬스터!$P$11/F449, 0)</f>
        <v>9</v>
      </c>
      <c r="R449" s="6">
        <f t="shared" si="206"/>
        <v>12.587412587412587</v>
      </c>
      <c r="S449" s="7">
        <f>B449/몬스터!$C$11*R449</f>
        <v>218.91152325934931</v>
      </c>
      <c r="T449" s="7">
        <f t="shared" ref="T449" si="212">SUM(S445:S449)</f>
        <v>1033.0894833685115</v>
      </c>
      <c r="U449">
        <f>ROUNDDOWN(R449*몬스터!$H$11, 0)*몬스터!$G$11*(1+몬스터!$I$11)</f>
        <v>311.04000000000002</v>
      </c>
      <c r="V449" s="2">
        <f t="shared" si="209"/>
        <v>0.5130133597229094</v>
      </c>
    </row>
    <row r="450" spans="1:22" x14ac:dyDescent="0.4">
      <c r="A450">
        <v>26</v>
      </c>
      <c r="B450" s="4">
        <f>170*A450</f>
        <v>4420</v>
      </c>
      <c r="C450">
        <f t="shared" si="199"/>
        <v>485</v>
      </c>
      <c r="D450">
        <f t="shared" si="200"/>
        <v>29</v>
      </c>
      <c r="E450" s="2">
        <v>0</v>
      </c>
      <c r="F450">
        <f t="shared" si="201"/>
        <v>53</v>
      </c>
      <c r="G450">
        <f t="shared" si="202"/>
        <v>0.71700000000000008</v>
      </c>
      <c r="H450" s="3">
        <f t="shared" si="207"/>
        <v>0.05</v>
      </c>
      <c r="I450" s="2">
        <v>2</v>
      </c>
      <c r="J450" s="2">
        <v>0</v>
      </c>
      <c r="K450" s="2">
        <v>1</v>
      </c>
      <c r="L450" s="16">
        <v>1</v>
      </c>
      <c r="M450" s="5">
        <f t="shared" si="203"/>
        <v>550</v>
      </c>
      <c r="N450" s="6">
        <f t="shared" si="204"/>
        <v>39.901050000000005</v>
      </c>
      <c r="O450">
        <f t="shared" si="205"/>
        <v>625.65</v>
      </c>
      <c r="P450" s="7">
        <f t="shared" si="208"/>
        <v>15.680038495227567</v>
      </c>
      <c r="Q450">
        <f>ROUNDUP(몬스터!$P$12/F450, 0)</f>
        <v>10</v>
      </c>
      <c r="R450" s="6">
        <f t="shared" si="206"/>
        <v>13.947001394700138</v>
      </c>
      <c r="S450" s="7">
        <f>B450/몬스터!$C$12*R450</f>
        <v>220.16337915919505</v>
      </c>
      <c r="U450">
        <f>ROUNDDOWN(R450*몬스터!$H$12, 0)*몬스터!$G$12*(1+몬스터!$I$12)</f>
        <v>420.86249999999995</v>
      </c>
      <c r="V450" s="2">
        <f t="shared" si="209"/>
        <v>0.67268041237113396</v>
      </c>
    </row>
    <row r="451" spans="1:22" x14ac:dyDescent="0.4">
      <c r="A451">
        <v>27</v>
      </c>
      <c r="B451" s="4">
        <f>170*A451</f>
        <v>4590</v>
      </c>
      <c r="C451">
        <f t="shared" si="199"/>
        <v>495</v>
      </c>
      <c r="D451">
        <f t="shared" si="200"/>
        <v>30</v>
      </c>
      <c r="E451" s="2">
        <v>0</v>
      </c>
      <c r="F451">
        <f t="shared" si="201"/>
        <v>55</v>
      </c>
      <c r="G451">
        <f t="shared" si="202"/>
        <v>0.71900000000000008</v>
      </c>
      <c r="H451" s="3">
        <f t="shared" si="207"/>
        <v>0.05</v>
      </c>
      <c r="I451" s="2">
        <v>2</v>
      </c>
      <c r="J451" s="2">
        <v>0</v>
      </c>
      <c r="K451" s="2">
        <v>1</v>
      </c>
      <c r="L451" s="16">
        <v>1</v>
      </c>
      <c r="M451" s="5">
        <f t="shared" si="203"/>
        <v>560</v>
      </c>
      <c r="N451" s="6">
        <f t="shared" si="204"/>
        <v>41.522250000000007</v>
      </c>
      <c r="O451">
        <f t="shared" si="205"/>
        <v>643.5</v>
      </c>
      <c r="P451" s="7">
        <f t="shared" si="208"/>
        <v>15.497715080468902</v>
      </c>
      <c r="Q451">
        <f>ROUNDUP(몬스터!$P$12/F451, 0)</f>
        <v>10</v>
      </c>
      <c r="R451" s="6">
        <f t="shared" si="206"/>
        <v>13.908205841446453</v>
      </c>
      <c r="S451" s="7">
        <f>B451/몬스터!$C$12*R451</f>
        <v>227.99523147228291</v>
      </c>
      <c r="U451">
        <f>ROUNDDOWN(R451*몬스터!$H$12, 0)*몬스터!$G$12*(1+몬스터!$I$12)</f>
        <v>420.86249999999995</v>
      </c>
      <c r="V451" s="2">
        <f t="shared" si="209"/>
        <v>0.654020979020979</v>
      </c>
    </row>
    <row r="452" spans="1:22" x14ac:dyDescent="0.4">
      <c r="A452">
        <v>28</v>
      </c>
      <c r="B452" s="4">
        <f>170*A452</f>
        <v>4760</v>
      </c>
      <c r="C452">
        <f t="shared" si="199"/>
        <v>505</v>
      </c>
      <c r="D452">
        <f t="shared" si="200"/>
        <v>30</v>
      </c>
      <c r="E452" s="2">
        <v>0</v>
      </c>
      <c r="F452">
        <f t="shared" si="201"/>
        <v>56</v>
      </c>
      <c r="G452">
        <f t="shared" si="202"/>
        <v>0.72100000000000009</v>
      </c>
      <c r="H452" s="3">
        <f t="shared" si="207"/>
        <v>0.05</v>
      </c>
      <c r="I452" s="2">
        <v>2</v>
      </c>
      <c r="J452" s="2">
        <v>0</v>
      </c>
      <c r="K452" s="2">
        <v>1</v>
      </c>
      <c r="L452" s="16">
        <v>1</v>
      </c>
      <c r="M452" s="5">
        <f t="shared" si="203"/>
        <v>570</v>
      </c>
      <c r="N452" s="6">
        <f t="shared" si="204"/>
        <v>42.394800000000004</v>
      </c>
      <c r="O452">
        <f t="shared" si="205"/>
        <v>656.5</v>
      </c>
      <c r="P452" s="7">
        <f t="shared" si="208"/>
        <v>15.485389717606875</v>
      </c>
      <c r="Q452">
        <f>ROUNDUP(몬스터!$P$12/F452, 0)</f>
        <v>10</v>
      </c>
      <c r="R452" s="6">
        <f t="shared" si="206"/>
        <v>13.869625520110956</v>
      </c>
      <c r="S452" s="7">
        <f>B452/몬스터!$C$12*R452</f>
        <v>235.78363384188626</v>
      </c>
      <c r="U452">
        <f>ROUNDDOWN(R452*몬스터!$H$12, 0)*몬스터!$G$12*(1+몬스터!$I$12)</f>
        <v>420.86249999999995</v>
      </c>
      <c r="V452" s="2">
        <f t="shared" si="209"/>
        <v>0.64107006854531601</v>
      </c>
    </row>
    <row r="453" spans="1:22" x14ac:dyDescent="0.4">
      <c r="A453">
        <v>29</v>
      </c>
      <c r="B453" s="4">
        <f>170*A453</f>
        <v>4930</v>
      </c>
      <c r="C453">
        <f t="shared" si="199"/>
        <v>520</v>
      </c>
      <c r="D453">
        <f t="shared" si="200"/>
        <v>30</v>
      </c>
      <c r="E453" s="2">
        <v>0</v>
      </c>
      <c r="F453">
        <f t="shared" si="201"/>
        <v>57</v>
      </c>
      <c r="G453">
        <f t="shared" si="202"/>
        <v>0.72300000000000009</v>
      </c>
      <c r="H453" s="3">
        <f t="shared" si="207"/>
        <v>0.05</v>
      </c>
      <c r="I453" s="2">
        <v>2</v>
      </c>
      <c r="J453" s="2">
        <v>0</v>
      </c>
      <c r="K453" s="2">
        <v>1</v>
      </c>
      <c r="L453" s="16">
        <v>1</v>
      </c>
      <c r="M453" s="5">
        <f t="shared" si="203"/>
        <v>580</v>
      </c>
      <c r="N453" s="6">
        <f t="shared" si="204"/>
        <v>43.271550000000005</v>
      </c>
      <c r="O453">
        <f t="shared" si="205"/>
        <v>676</v>
      </c>
      <c r="P453" s="7">
        <f t="shared" si="208"/>
        <v>15.622273757237721</v>
      </c>
      <c r="Q453">
        <f>ROUNDUP(몬스터!$P$12/F453, 0)</f>
        <v>10</v>
      </c>
      <c r="R453" s="6">
        <f t="shared" si="206"/>
        <v>13.831258644536652</v>
      </c>
      <c r="S453" s="7">
        <f>B453/몬스터!$C$12*R453</f>
        <v>243.5289468484489</v>
      </c>
      <c r="U453">
        <f>ROUNDDOWN(R453*몬스터!$H$12, 0)*몬스터!$G$12*(1+몬스터!$I$12)</f>
        <v>420.86249999999995</v>
      </c>
      <c r="V453" s="2">
        <f t="shared" si="209"/>
        <v>0.62257766272189341</v>
      </c>
    </row>
    <row r="454" spans="1:22" x14ac:dyDescent="0.4">
      <c r="A454">
        <v>30</v>
      </c>
      <c r="B454" s="4">
        <f>170*A454</f>
        <v>5100</v>
      </c>
      <c r="C454">
        <f t="shared" si="199"/>
        <v>530</v>
      </c>
      <c r="D454">
        <f t="shared" si="200"/>
        <v>31</v>
      </c>
      <c r="E454" s="2">
        <v>0</v>
      </c>
      <c r="F454">
        <f t="shared" si="201"/>
        <v>59</v>
      </c>
      <c r="G454">
        <f t="shared" si="202"/>
        <v>0.72500000000000009</v>
      </c>
      <c r="H454" s="3">
        <f t="shared" si="207"/>
        <v>0.05</v>
      </c>
      <c r="I454" s="2">
        <v>2</v>
      </c>
      <c r="J454" s="2">
        <v>0</v>
      </c>
      <c r="K454" s="2">
        <v>1</v>
      </c>
      <c r="L454" s="16">
        <v>1</v>
      </c>
      <c r="M454" s="5">
        <f t="shared" si="203"/>
        <v>590</v>
      </c>
      <c r="N454" s="6">
        <f t="shared" si="204"/>
        <v>44.913750000000007</v>
      </c>
      <c r="O454">
        <f t="shared" si="205"/>
        <v>694.30000000000007</v>
      </c>
      <c r="P454" s="7">
        <f t="shared" si="208"/>
        <v>15.458517714508362</v>
      </c>
      <c r="Q454">
        <f>ROUNDUP(몬스터!$P$12/F454, 0)</f>
        <v>9</v>
      </c>
      <c r="R454" s="6">
        <f t="shared" si="206"/>
        <v>12.413793103448274</v>
      </c>
      <c r="S454" s="7">
        <f>B454/몬스터!$C$12*R454</f>
        <v>226.10837438423644</v>
      </c>
      <c r="T454" s="7">
        <f t="shared" ref="T454" si="213">SUM(S450:S454)</f>
        <v>1153.5795657060496</v>
      </c>
      <c r="U454">
        <f>ROUNDDOWN(R454*몬스터!$H$12, 0)*몬스터!$G$12*(1+몬스터!$I$12)</f>
        <v>374.09999999999997</v>
      </c>
      <c r="V454" s="2">
        <f t="shared" si="209"/>
        <v>0.53881607374333851</v>
      </c>
    </row>
    <row r="455" spans="1:22" x14ac:dyDescent="0.4">
      <c r="A455">
        <v>31</v>
      </c>
      <c r="B455" s="4">
        <f>160*A455</f>
        <v>4960</v>
      </c>
      <c r="C455">
        <f t="shared" si="199"/>
        <v>545</v>
      </c>
      <c r="D455">
        <f t="shared" si="200"/>
        <v>31</v>
      </c>
      <c r="E455" s="2">
        <v>0</v>
      </c>
      <c r="F455">
        <f t="shared" si="201"/>
        <v>60</v>
      </c>
      <c r="G455">
        <f t="shared" si="202"/>
        <v>0.72700000000000009</v>
      </c>
      <c r="H455" s="3">
        <f t="shared" si="207"/>
        <v>0.05</v>
      </c>
      <c r="I455" s="2">
        <v>2</v>
      </c>
      <c r="J455" s="2">
        <v>0</v>
      </c>
      <c r="K455" s="2">
        <v>1</v>
      </c>
      <c r="L455" s="16">
        <v>1</v>
      </c>
      <c r="M455" s="5">
        <f t="shared" si="203"/>
        <v>600</v>
      </c>
      <c r="N455" s="6">
        <f t="shared" si="204"/>
        <v>45.801000000000009</v>
      </c>
      <c r="O455">
        <f t="shared" si="205"/>
        <v>713.95</v>
      </c>
      <c r="P455" s="7">
        <f t="shared" si="208"/>
        <v>15.588087596340689</v>
      </c>
      <c r="Q455">
        <f>ROUNDUP(몬스터!$P$13/F455, 0)</f>
        <v>11</v>
      </c>
      <c r="R455" s="6">
        <f t="shared" si="206"/>
        <v>15.13067400275103</v>
      </c>
      <c r="S455" s="7">
        <f>B455/몬스터!$C$13*R455</f>
        <v>227.41861531407611</v>
      </c>
      <c r="U455">
        <f>ROUNDDOWN(R455*몬스터!$H$13, 0)*몬스터!$G$13*(1+몬스터!$I$13)</f>
        <v>558.44999999999993</v>
      </c>
      <c r="V455" s="2">
        <f t="shared" si="209"/>
        <v>0.78219763288745692</v>
      </c>
    </row>
    <row r="456" spans="1:22" x14ac:dyDescent="0.4">
      <c r="A456">
        <v>32</v>
      </c>
      <c r="B456" s="4">
        <f>160*A456</f>
        <v>5120</v>
      </c>
      <c r="C456">
        <f t="shared" si="199"/>
        <v>555</v>
      </c>
      <c r="D456">
        <f t="shared" si="200"/>
        <v>31</v>
      </c>
      <c r="E456" s="2">
        <v>0</v>
      </c>
      <c r="F456">
        <f t="shared" si="201"/>
        <v>61</v>
      </c>
      <c r="G456">
        <f t="shared" si="202"/>
        <v>0.72900000000000009</v>
      </c>
      <c r="H456" s="3">
        <f t="shared" si="207"/>
        <v>0.05</v>
      </c>
      <c r="I456" s="2">
        <v>2</v>
      </c>
      <c r="J456" s="2">
        <v>0</v>
      </c>
      <c r="K456" s="2">
        <v>1</v>
      </c>
      <c r="L456" s="16">
        <v>1</v>
      </c>
      <c r="M456" s="5">
        <f t="shared" si="203"/>
        <v>610</v>
      </c>
      <c r="N456" s="6">
        <f t="shared" si="204"/>
        <v>46.692450000000008</v>
      </c>
      <c r="O456">
        <f t="shared" si="205"/>
        <v>727.05000000000007</v>
      </c>
      <c r="P456" s="7">
        <f t="shared" si="208"/>
        <v>15.571039857621519</v>
      </c>
      <c r="Q456">
        <f>ROUNDUP(몬스터!$P$13/F456, 0)</f>
        <v>11</v>
      </c>
      <c r="R456" s="6">
        <f t="shared" si="206"/>
        <v>15.089163237311384</v>
      </c>
      <c r="S456" s="7">
        <f>B456/몬스터!$C$13*R456</f>
        <v>234.11065386374025</v>
      </c>
      <c r="U456">
        <f>ROUNDDOWN(R456*몬스터!$H$13, 0)*몬스터!$G$13*(1+몬스터!$I$13)</f>
        <v>558.44999999999993</v>
      </c>
      <c r="V456" s="2">
        <f t="shared" si="209"/>
        <v>0.76810398184443973</v>
      </c>
    </row>
    <row r="457" spans="1:22" x14ac:dyDescent="0.4">
      <c r="A457">
        <v>33</v>
      </c>
      <c r="B457" s="4">
        <f>160*A457</f>
        <v>5280</v>
      </c>
      <c r="C457">
        <f t="shared" ref="C457:C488" si="214">MROUND((145+A457*11)*1.12,5)</f>
        <v>570</v>
      </c>
      <c r="D457">
        <f t="shared" ref="D457:D488" si="215">ROUNDDOWN((22+A457*0.3), 0)</f>
        <v>31</v>
      </c>
      <c r="E457" s="2">
        <v>0</v>
      </c>
      <c r="F457">
        <f t="shared" ref="F457:F488" si="216">ROUND((28+A457*2)*2/3, 0)</f>
        <v>63</v>
      </c>
      <c r="G457">
        <f t="shared" ref="G457:G488" si="217">0.665+0.002*A457</f>
        <v>0.73100000000000009</v>
      </c>
      <c r="H457" s="3">
        <f t="shared" si="207"/>
        <v>0.05</v>
      </c>
      <c r="I457" s="2">
        <v>2</v>
      </c>
      <c r="J457" s="2">
        <v>0</v>
      </c>
      <c r="K457" s="2">
        <v>1</v>
      </c>
      <c r="L457" s="16">
        <v>1</v>
      </c>
      <c r="M457" s="5">
        <f t="shared" ref="M457:M488" si="218">290+10*A457</f>
        <v>620</v>
      </c>
      <c r="N457" s="6">
        <f t="shared" ref="N457:N488" si="219">F457*G457*(1+H457)</f>
        <v>48.355650000000004</v>
      </c>
      <c r="O457">
        <f t="shared" ref="O457:O488" si="220">C457*(1+D457/100)*(1+E457)</f>
        <v>746.7</v>
      </c>
      <c r="P457" s="7">
        <f t="shared" si="208"/>
        <v>15.441835648988278</v>
      </c>
      <c r="Q457">
        <f>ROUNDUP(몬스터!$P$13/F457, 0)</f>
        <v>10</v>
      </c>
      <c r="R457" s="6">
        <f t="shared" ref="R457:R488" si="221">Q457/G457</f>
        <v>13.679890560875512</v>
      </c>
      <c r="S457" s="7">
        <f>B457/몬스터!$C$13*R457</f>
        <v>218.87824897400819</v>
      </c>
      <c r="U457">
        <f>ROUNDDOWN(R457*몬스터!$H$13, 0)*몬스터!$G$13*(1+몬스터!$I$13)</f>
        <v>502.60499999999996</v>
      </c>
      <c r="V457" s="2">
        <f t="shared" si="209"/>
        <v>0.67310164724789068</v>
      </c>
    </row>
    <row r="458" spans="1:22" x14ac:dyDescent="0.4">
      <c r="A458">
        <v>34</v>
      </c>
      <c r="B458" s="4">
        <f>160*A458</f>
        <v>5440</v>
      </c>
      <c r="C458">
        <f t="shared" si="214"/>
        <v>580</v>
      </c>
      <c r="D458">
        <f t="shared" si="215"/>
        <v>32</v>
      </c>
      <c r="E458" s="2">
        <v>0</v>
      </c>
      <c r="F458">
        <f t="shared" si="216"/>
        <v>64</v>
      </c>
      <c r="G458">
        <f t="shared" si="217"/>
        <v>0.7330000000000001</v>
      </c>
      <c r="H458" s="3">
        <f t="shared" si="207"/>
        <v>0.05</v>
      </c>
      <c r="I458" s="2">
        <v>2</v>
      </c>
      <c r="J458" s="2">
        <v>0</v>
      </c>
      <c r="K458" s="2">
        <v>1</v>
      </c>
      <c r="L458" s="16">
        <v>1</v>
      </c>
      <c r="M458" s="5">
        <f t="shared" si="218"/>
        <v>630</v>
      </c>
      <c r="N458" s="6">
        <f t="shared" si="219"/>
        <v>49.257600000000011</v>
      </c>
      <c r="O458">
        <f t="shared" si="220"/>
        <v>765.6</v>
      </c>
      <c r="P458" s="7">
        <f t="shared" si="208"/>
        <v>15.542779185343985</v>
      </c>
      <c r="Q458">
        <f>ROUNDUP(몬스터!$P$13/F458, 0)</f>
        <v>10</v>
      </c>
      <c r="R458" s="6">
        <f t="shared" si="221"/>
        <v>13.642564802182809</v>
      </c>
      <c r="S458" s="7">
        <f>B458/몬스터!$C$13*R458</f>
        <v>224.89561370871056</v>
      </c>
      <c r="U458">
        <f>ROUNDDOWN(R458*몬스터!$H$13, 0)*몬스터!$G$13*(1+몬스터!$I$13)</f>
        <v>502.60499999999996</v>
      </c>
      <c r="V458" s="2">
        <f t="shared" si="209"/>
        <v>0.65648510971786822</v>
      </c>
    </row>
    <row r="459" spans="1:22" x14ac:dyDescent="0.4">
      <c r="A459">
        <v>35</v>
      </c>
      <c r="B459" s="4">
        <f>160*A459</f>
        <v>5600</v>
      </c>
      <c r="C459">
        <f t="shared" si="214"/>
        <v>595</v>
      </c>
      <c r="D459">
        <f t="shared" si="215"/>
        <v>32</v>
      </c>
      <c r="E459" s="2">
        <v>0</v>
      </c>
      <c r="F459">
        <f t="shared" si="216"/>
        <v>65</v>
      </c>
      <c r="G459">
        <f t="shared" si="217"/>
        <v>0.7350000000000001</v>
      </c>
      <c r="H459" s="3">
        <f t="shared" si="207"/>
        <v>0.05</v>
      </c>
      <c r="I459" s="2">
        <v>2</v>
      </c>
      <c r="J459" s="2">
        <v>0</v>
      </c>
      <c r="K459" s="2">
        <v>1</v>
      </c>
      <c r="L459" s="16">
        <v>1</v>
      </c>
      <c r="M459" s="5">
        <f t="shared" si="218"/>
        <v>640</v>
      </c>
      <c r="N459" s="6">
        <f t="shared" si="219"/>
        <v>50.163750000000007</v>
      </c>
      <c r="O459">
        <f t="shared" si="220"/>
        <v>785.40000000000009</v>
      </c>
      <c r="P459" s="7">
        <f t="shared" si="208"/>
        <v>15.656724228152799</v>
      </c>
      <c r="Q459">
        <f>ROUNDUP(몬스터!$P$13/F459, 0)</f>
        <v>10</v>
      </c>
      <c r="R459" s="6">
        <f t="shared" si="221"/>
        <v>13.605442176870746</v>
      </c>
      <c r="S459" s="7">
        <f>B459/몬스터!$C$13*R459</f>
        <v>230.88023088023081</v>
      </c>
      <c r="T459" s="7">
        <f t="shared" ref="T459" si="222">SUM(S455:S459)</f>
        <v>1136.1833627407659</v>
      </c>
      <c r="U459">
        <f>ROUNDDOWN(R459*몬스터!$H$13, 0)*몬스터!$G$13*(1+몬스터!$I$13)</f>
        <v>502.60499999999996</v>
      </c>
      <c r="V459" s="2">
        <f t="shared" si="209"/>
        <v>0.6399350649350648</v>
      </c>
    </row>
    <row r="460" spans="1:22" x14ac:dyDescent="0.4">
      <c r="A460">
        <v>36</v>
      </c>
      <c r="B460" s="4">
        <f>170*A460</f>
        <v>6120</v>
      </c>
      <c r="C460">
        <f t="shared" si="214"/>
        <v>605</v>
      </c>
      <c r="D460">
        <f t="shared" si="215"/>
        <v>32</v>
      </c>
      <c r="E460" s="2">
        <v>0</v>
      </c>
      <c r="F460">
        <f t="shared" si="216"/>
        <v>67</v>
      </c>
      <c r="G460">
        <f t="shared" si="217"/>
        <v>0.7370000000000001</v>
      </c>
      <c r="H460" s="3">
        <f t="shared" si="207"/>
        <v>0.05</v>
      </c>
      <c r="I460" s="2">
        <v>2</v>
      </c>
      <c r="J460" s="2">
        <v>0</v>
      </c>
      <c r="K460" s="2">
        <v>1</v>
      </c>
      <c r="L460" s="16">
        <v>1</v>
      </c>
      <c r="M460" s="5">
        <f t="shared" si="218"/>
        <v>650</v>
      </c>
      <c r="N460" s="6">
        <f t="shared" si="219"/>
        <v>51.847950000000004</v>
      </c>
      <c r="O460">
        <f t="shared" si="220"/>
        <v>798.6</v>
      </c>
      <c r="P460" s="7">
        <f t="shared" si="208"/>
        <v>15.402730484040351</v>
      </c>
      <c r="Q460">
        <f>ROUNDUP(몬스터!$P$14/F460, 0)</f>
        <v>10</v>
      </c>
      <c r="R460" s="6">
        <f t="shared" si="221"/>
        <v>13.568521031207597</v>
      </c>
      <c r="S460" s="7">
        <f>B460/몬스터!$C$14*R460</f>
        <v>218.52460187102761</v>
      </c>
      <c r="U460">
        <f>ROUNDDOWN(R460*몬스터!$H$14, 0)*몬스터!$G$14*(1+몬스터!$I$14)</f>
        <v>575.505</v>
      </c>
      <c r="V460" s="2">
        <f t="shared" si="209"/>
        <v>0.72064237415477084</v>
      </c>
    </row>
    <row r="461" spans="1:22" x14ac:dyDescent="0.4">
      <c r="A461">
        <v>37</v>
      </c>
      <c r="B461" s="4">
        <f>170*A461</f>
        <v>6290</v>
      </c>
      <c r="C461">
        <f t="shared" si="214"/>
        <v>620</v>
      </c>
      <c r="D461">
        <f t="shared" si="215"/>
        <v>33</v>
      </c>
      <c r="E461" s="2">
        <v>0</v>
      </c>
      <c r="F461">
        <f t="shared" si="216"/>
        <v>68</v>
      </c>
      <c r="G461">
        <f t="shared" si="217"/>
        <v>0.73899999999999999</v>
      </c>
      <c r="H461" s="3">
        <f t="shared" si="207"/>
        <v>0.05</v>
      </c>
      <c r="I461" s="2">
        <v>2</v>
      </c>
      <c r="J461" s="2">
        <v>0</v>
      </c>
      <c r="K461" s="2">
        <v>1</v>
      </c>
      <c r="L461" s="16">
        <v>1</v>
      </c>
      <c r="M461" s="5">
        <f t="shared" si="218"/>
        <v>660</v>
      </c>
      <c r="N461" s="6">
        <f t="shared" si="219"/>
        <v>52.764600000000002</v>
      </c>
      <c r="O461">
        <f t="shared" si="220"/>
        <v>824.6</v>
      </c>
      <c r="P461" s="7">
        <f t="shared" si="208"/>
        <v>15.627902040383136</v>
      </c>
      <c r="Q461">
        <f>ROUNDUP(몬스터!$P$14/F461, 0)</f>
        <v>10</v>
      </c>
      <c r="R461" s="6">
        <f t="shared" si="221"/>
        <v>13.531799729364005</v>
      </c>
      <c r="S461" s="7">
        <f>B461/몬스터!$C$14*R461</f>
        <v>223.9868955202621</v>
      </c>
      <c r="U461">
        <f>ROUNDDOWN(R461*몬스터!$H$14, 0)*몬스터!$G$14*(1+몬스터!$I$14)</f>
        <v>575.505</v>
      </c>
      <c r="V461" s="2">
        <f t="shared" si="209"/>
        <v>0.6979202037351443</v>
      </c>
    </row>
    <row r="462" spans="1:22" x14ac:dyDescent="0.4">
      <c r="A462">
        <v>38</v>
      </c>
      <c r="B462" s="4">
        <f>170*A462</f>
        <v>6460</v>
      </c>
      <c r="C462">
        <f t="shared" si="214"/>
        <v>630</v>
      </c>
      <c r="D462">
        <f t="shared" si="215"/>
        <v>33</v>
      </c>
      <c r="E462" s="2">
        <v>0</v>
      </c>
      <c r="F462">
        <f t="shared" si="216"/>
        <v>69</v>
      </c>
      <c r="G462">
        <f t="shared" si="217"/>
        <v>0.74099999999999999</v>
      </c>
      <c r="H462" s="3">
        <f t="shared" si="207"/>
        <v>0.05</v>
      </c>
      <c r="I462" s="2">
        <v>2</v>
      </c>
      <c r="J462" s="2">
        <v>0</v>
      </c>
      <c r="K462" s="2">
        <v>1</v>
      </c>
      <c r="L462" s="16">
        <v>1</v>
      </c>
      <c r="M462" s="5">
        <f t="shared" si="218"/>
        <v>670</v>
      </c>
      <c r="N462" s="6">
        <f t="shared" si="219"/>
        <v>53.685450000000003</v>
      </c>
      <c r="O462">
        <f t="shared" si="220"/>
        <v>837.90000000000009</v>
      </c>
      <c r="P462" s="7">
        <f t="shared" si="208"/>
        <v>15.60758082497213</v>
      </c>
      <c r="Q462">
        <f>ROUNDUP(몬스터!$P$14/F462, 0)</f>
        <v>10</v>
      </c>
      <c r="R462" s="6">
        <f t="shared" si="221"/>
        <v>13.495276653171389</v>
      </c>
      <c r="S462" s="7">
        <f>B462/몬스터!$C$14*R462</f>
        <v>229.41970310391363</v>
      </c>
      <c r="U462">
        <f>ROUNDDOWN(R462*몬스터!$H$14, 0)*몬스터!$G$14*(1+몬스터!$I$14)</f>
        <v>575.505</v>
      </c>
      <c r="V462" s="2">
        <f t="shared" si="209"/>
        <v>0.68684210526315781</v>
      </c>
    </row>
    <row r="463" spans="1:22" x14ac:dyDescent="0.4">
      <c r="A463">
        <v>39</v>
      </c>
      <c r="B463" s="4">
        <f>170*A463</f>
        <v>6630</v>
      </c>
      <c r="C463">
        <f t="shared" si="214"/>
        <v>645</v>
      </c>
      <c r="D463">
        <f t="shared" si="215"/>
        <v>33</v>
      </c>
      <c r="E463" s="2">
        <v>0</v>
      </c>
      <c r="F463">
        <f t="shared" si="216"/>
        <v>71</v>
      </c>
      <c r="G463">
        <f t="shared" si="217"/>
        <v>0.74299999999999999</v>
      </c>
      <c r="H463" s="3">
        <f t="shared" si="207"/>
        <v>0.05</v>
      </c>
      <c r="I463" s="2">
        <v>2</v>
      </c>
      <c r="J463" s="2">
        <v>0</v>
      </c>
      <c r="K463" s="2">
        <v>1</v>
      </c>
      <c r="L463" s="16">
        <v>1</v>
      </c>
      <c r="M463" s="5">
        <f t="shared" si="218"/>
        <v>680</v>
      </c>
      <c r="N463" s="6">
        <f t="shared" si="219"/>
        <v>55.390650000000001</v>
      </c>
      <c r="O463">
        <f t="shared" si="220"/>
        <v>857.85</v>
      </c>
      <c r="P463" s="7">
        <f t="shared" si="208"/>
        <v>15.48727086611188</v>
      </c>
      <c r="Q463">
        <f>ROUNDUP(몬스터!$P$14/F463, 0)</f>
        <v>10</v>
      </c>
      <c r="R463" s="6">
        <f t="shared" si="221"/>
        <v>13.458950201884253</v>
      </c>
      <c r="S463" s="7">
        <f>B463/몬스터!$C$14*R463</f>
        <v>234.82326273287524</v>
      </c>
      <c r="U463">
        <f>ROUNDDOWN(R463*몬스터!$H$14, 0)*몬스터!$G$14*(1+몬스터!$I$14)</f>
        <v>575.505</v>
      </c>
      <c r="V463" s="2">
        <f t="shared" si="209"/>
        <v>0.6708690330477356</v>
      </c>
    </row>
    <row r="464" spans="1:22" x14ac:dyDescent="0.4">
      <c r="A464">
        <v>40</v>
      </c>
      <c r="B464" s="4">
        <f>170*A464</f>
        <v>6800</v>
      </c>
      <c r="C464">
        <f t="shared" si="214"/>
        <v>655</v>
      </c>
      <c r="D464">
        <f t="shared" si="215"/>
        <v>34</v>
      </c>
      <c r="E464" s="2">
        <v>0</v>
      </c>
      <c r="F464">
        <f t="shared" si="216"/>
        <v>72</v>
      </c>
      <c r="G464">
        <f t="shared" si="217"/>
        <v>0.745</v>
      </c>
      <c r="H464" s="3">
        <f t="shared" si="207"/>
        <v>0.05</v>
      </c>
      <c r="I464" s="2">
        <v>2</v>
      </c>
      <c r="J464" s="2">
        <v>0</v>
      </c>
      <c r="K464" s="2">
        <v>1</v>
      </c>
      <c r="L464" s="16">
        <v>1</v>
      </c>
      <c r="M464" s="5">
        <f t="shared" si="218"/>
        <v>690</v>
      </c>
      <c r="N464" s="6">
        <f t="shared" si="219"/>
        <v>56.322000000000003</v>
      </c>
      <c r="O464">
        <f t="shared" si="220"/>
        <v>877.7</v>
      </c>
      <c r="P464" s="7">
        <f t="shared" si="208"/>
        <v>15.58360853662867</v>
      </c>
      <c r="Q464">
        <f>ROUNDUP(몬스터!$P$14/F464, 0)</f>
        <v>10</v>
      </c>
      <c r="R464" s="6">
        <f t="shared" si="221"/>
        <v>13.422818791946309</v>
      </c>
      <c r="S464" s="7">
        <f>B464/몬스터!$C$14*R464</f>
        <v>240.19780996114449</v>
      </c>
      <c r="T464" s="7">
        <f t="shared" ref="T464" si="223">SUM(S460:S464)</f>
        <v>1146.9522731892232</v>
      </c>
      <c r="U464">
        <f>ROUNDDOWN(R464*몬스터!$H$14, 0)*몬스터!$G$14*(1+몬스터!$I$14)</f>
        <v>575.505</v>
      </c>
      <c r="V464" s="2">
        <f t="shared" si="209"/>
        <v>0.65569670730317875</v>
      </c>
    </row>
    <row r="465" spans="1:22" x14ac:dyDescent="0.4">
      <c r="A465">
        <v>41</v>
      </c>
      <c r="B465" s="4">
        <f>160*A465</f>
        <v>6560</v>
      </c>
      <c r="C465">
        <f t="shared" si="214"/>
        <v>670</v>
      </c>
      <c r="D465">
        <f t="shared" si="215"/>
        <v>34</v>
      </c>
      <c r="E465" s="2">
        <v>0</v>
      </c>
      <c r="F465">
        <f t="shared" si="216"/>
        <v>73</v>
      </c>
      <c r="G465">
        <f t="shared" si="217"/>
        <v>0.747</v>
      </c>
      <c r="H465" s="3">
        <f t="shared" si="207"/>
        <v>0.05</v>
      </c>
      <c r="I465" s="2">
        <v>2</v>
      </c>
      <c r="J465" s="2">
        <v>0</v>
      </c>
      <c r="K465" s="2">
        <v>1</v>
      </c>
      <c r="L465" s="16">
        <v>1</v>
      </c>
      <c r="M465" s="5">
        <f t="shared" si="218"/>
        <v>700</v>
      </c>
      <c r="N465" s="6">
        <f t="shared" si="219"/>
        <v>57.257550000000002</v>
      </c>
      <c r="O465">
        <f t="shared" si="220"/>
        <v>897.80000000000007</v>
      </c>
      <c r="P465" s="7">
        <f t="shared" si="208"/>
        <v>15.680028223352204</v>
      </c>
      <c r="Q465">
        <f>ROUNDUP(몬스터!$P$17/F465, 0)</f>
        <v>12</v>
      </c>
      <c r="R465" s="6">
        <f t="shared" si="221"/>
        <v>16.064257028112451</v>
      </c>
      <c r="S465" s="7">
        <f>B465/몬스터!$C$17*R465</f>
        <v>245.07331652190157</v>
      </c>
      <c r="U465">
        <f>ROUNDDOWN(R465*몬스터!$H$17, 0)*몬스터!$G$17*(1+몬스터!$I$17)</f>
        <v>805.86000000000013</v>
      </c>
      <c r="V465" s="2">
        <f t="shared" si="209"/>
        <v>0.89759411895745167</v>
      </c>
    </row>
    <row r="466" spans="1:22" x14ac:dyDescent="0.4">
      <c r="A466">
        <v>42</v>
      </c>
      <c r="B466" s="4">
        <f>160*A466</f>
        <v>6720</v>
      </c>
      <c r="C466">
        <f t="shared" si="214"/>
        <v>680</v>
      </c>
      <c r="D466">
        <f t="shared" si="215"/>
        <v>34</v>
      </c>
      <c r="E466" s="2">
        <v>0</v>
      </c>
      <c r="F466">
        <f t="shared" si="216"/>
        <v>75</v>
      </c>
      <c r="G466">
        <f t="shared" si="217"/>
        <v>0.749</v>
      </c>
      <c r="H466" s="3">
        <f t="shared" si="207"/>
        <v>0.05</v>
      </c>
      <c r="I466" s="2">
        <v>2</v>
      </c>
      <c r="J466" s="2">
        <v>0</v>
      </c>
      <c r="K466" s="2">
        <v>1</v>
      </c>
      <c r="L466" s="16">
        <v>1</v>
      </c>
      <c r="M466" s="5">
        <f t="shared" si="218"/>
        <v>710</v>
      </c>
      <c r="N466" s="6">
        <f t="shared" si="219"/>
        <v>58.983750000000001</v>
      </c>
      <c r="O466">
        <f t="shared" si="220"/>
        <v>911.2</v>
      </c>
      <c r="P466" s="7">
        <f t="shared" si="208"/>
        <v>15.448322631233179</v>
      </c>
      <c r="Q466">
        <f>ROUNDUP(몬스터!$P$17/F466, 0)</f>
        <v>12</v>
      </c>
      <c r="R466" s="6">
        <f t="shared" si="221"/>
        <v>16.021361815754339</v>
      </c>
      <c r="S466" s="7">
        <f>B466/몬스터!$C$17*R466</f>
        <v>250.38035209737012</v>
      </c>
      <c r="U466">
        <f>ROUNDDOWN(R466*몬스터!$H$17, 0)*몬스터!$G$17*(1+몬스터!$I$17)</f>
        <v>805.86000000000013</v>
      </c>
      <c r="V466" s="2">
        <f t="shared" si="209"/>
        <v>0.88439420544337144</v>
      </c>
    </row>
    <row r="467" spans="1:22" x14ac:dyDescent="0.4">
      <c r="A467">
        <v>43</v>
      </c>
      <c r="B467" s="4">
        <f>160*A467</f>
        <v>6880</v>
      </c>
      <c r="C467">
        <f t="shared" si="214"/>
        <v>690</v>
      </c>
      <c r="D467">
        <f t="shared" si="215"/>
        <v>34</v>
      </c>
      <c r="E467" s="2">
        <v>0</v>
      </c>
      <c r="F467">
        <f t="shared" si="216"/>
        <v>76</v>
      </c>
      <c r="G467">
        <f t="shared" si="217"/>
        <v>0.751</v>
      </c>
      <c r="H467" s="3">
        <f t="shared" si="207"/>
        <v>0.05</v>
      </c>
      <c r="I467" s="2">
        <v>2</v>
      </c>
      <c r="J467" s="2">
        <v>0</v>
      </c>
      <c r="K467" s="2">
        <v>1</v>
      </c>
      <c r="L467" s="16">
        <v>1</v>
      </c>
      <c r="M467" s="5">
        <f t="shared" si="218"/>
        <v>720</v>
      </c>
      <c r="N467" s="6">
        <f t="shared" si="219"/>
        <v>59.9298</v>
      </c>
      <c r="O467">
        <f t="shared" si="220"/>
        <v>924.6</v>
      </c>
      <c r="P467" s="7">
        <f t="shared" si="208"/>
        <v>15.428050819458766</v>
      </c>
      <c r="Q467">
        <f>ROUNDUP(몬스터!$P$17/F467, 0)</f>
        <v>11</v>
      </c>
      <c r="R467" s="6">
        <f t="shared" si="221"/>
        <v>14.647137150466046</v>
      </c>
      <c r="S467" s="7">
        <f>B467/몬스터!$C$17*R467</f>
        <v>234.35419440745673</v>
      </c>
      <c r="U467">
        <f>ROUNDDOWN(R467*몬스터!$H$17, 0)*몬스터!$G$17*(1+몬스터!$I$17)</f>
        <v>732.6</v>
      </c>
      <c r="V467" s="2">
        <f t="shared" si="209"/>
        <v>0.79234263465282284</v>
      </c>
    </row>
    <row r="468" spans="1:22" x14ac:dyDescent="0.4">
      <c r="A468">
        <v>44</v>
      </c>
      <c r="B468" s="4">
        <f>160*A468</f>
        <v>7040</v>
      </c>
      <c r="C468">
        <f t="shared" si="214"/>
        <v>705</v>
      </c>
      <c r="D468">
        <f t="shared" si="215"/>
        <v>35</v>
      </c>
      <c r="E468" s="2">
        <v>0</v>
      </c>
      <c r="F468">
        <f t="shared" si="216"/>
        <v>77</v>
      </c>
      <c r="G468">
        <f t="shared" si="217"/>
        <v>0.753</v>
      </c>
      <c r="H468" s="3">
        <f t="shared" si="207"/>
        <v>0.05</v>
      </c>
      <c r="I468" s="2">
        <v>2</v>
      </c>
      <c r="J468" s="2">
        <v>0</v>
      </c>
      <c r="K468" s="2">
        <v>1</v>
      </c>
      <c r="L468" s="16">
        <v>1</v>
      </c>
      <c r="M468" s="5">
        <f t="shared" si="218"/>
        <v>730</v>
      </c>
      <c r="N468" s="6">
        <f t="shared" si="219"/>
        <v>60.880050000000004</v>
      </c>
      <c r="O468">
        <f t="shared" si="220"/>
        <v>951.75000000000011</v>
      </c>
      <c r="P468" s="7">
        <f t="shared" si="208"/>
        <v>15.633200038436238</v>
      </c>
      <c r="Q468">
        <f>ROUNDUP(몬스터!$P$17/F468, 0)</f>
        <v>11</v>
      </c>
      <c r="R468" s="6">
        <f t="shared" si="221"/>
        <v>14.608233731739707</v>
      </c>
      <c r="S468" s="7">
        <f>B468/몬스터!$C$17*R468</f>
        <v>239.16736156150591</v>
      </c>
      <c r="U468">
        <f>ROUNDDOWN(R468*몬스터!$H$17, 0)*몬스터!$G$17*(1+몬스터!$I$17)</f>
        <v>732.6</v>
      </c>
      <c r="V468" s="2">
        <f t="shared" si="209"/>
        <v>0.76973995271867601</v>
      </c>
    </row>
    <row r="469" spans="1:22" x14ac:dyDescent="0.4">
      <c r="A469">
        <v>45</v>
      </c>
      <c r="B469" s="4">
        <f>160*A469</f>
        <v>7200</v>
      </c>
      <c r="C469">
        <f t="shared" si="214"/>
        <v>715</v>
      </c>
      <c r="D469">
        <f t="shared" si="215"/>
        <v>35</v>
      </c>
      <c r="E469" s="2">
        <v>0</v>
      </c>
      <c r="F469">
        <f t="shared" si="216"/>
        <v>79</v>
      </c>
      <c r="G469">
        <f t="shared" si="217"/>
        <v>0.755</v>
      </c>
      <c r="H469" s="3">
        <f t="shared" si="207"/>
        <v>0.05</v>
      </c>
      <c r="I469" s="2">
        <v>2</v>
      </c>
      <c r="J469" s="2">
        <v>0</v>
      </c>
      <c r="K469" s="2">
        <v>1</v>
      </c>
      <c r="L469" s="16">
        <v>1</v>
      </c>
      <c r="M469" s="5">
        <f t="shared" si="218"/>
        <v>740</v>
      </c>
      <c r="N469" s="6">
        <f t="shared" si="219"/>
        <v>62.627250000000004</v>
      </c>
      <c r="O469">
        <f t="shared" si="220"/>
        <v>965.25000000000011</v>
      </c>
      <c r="P469" s="7">
        <f t="shared" si="208"/>
        <v>15.412619905871646</v>
      </c>
      <c r="Q469">
        <f>ROUNDUP(몬스터!$P$17/F469, 0)</f>
        <v>11</v>
      </c>
      <c r="R469" s="6">
        <f t="shared" si="221"/>
        <v>14.569536423841059</v>
      </c>
      <c r="S469" s="7">
        <f>B469/몬스터!$C$17*R469</f>
        <v>243.9550284922224</v>
      </c>
      <c r="T469" s="7">
        <f t="shared" ref="T469" si="224">SUM(S465:S469)</f>
        <v>1212.9302530804569</v>
      </c>
      <c r="U469">
        <f>ROUNDDOWN(R469*몬스터!$H$17, 0)*몬스터!$G$17*(1+몬스터!$I$17)</f>
        <v>732.6</v>
      </c>
      <c r="V469" s="2">
        <f t="shared" si="209"/>
        <v>0.75897435897435894</v>
      </c>
    </row>
    <row r="470" spans="1:22" x14ac:dyDescent="0.4">
      <c r="A470">
        <v>46</v>
      </c>
      <c r="B470" s="4">
        <f>170*A470-620</f>
        <v>7200</v>
      </c>
      <c r="C470">
        <f t="shared" si="214"/>
        <v>730</v>
      </c>
      <c r="D470">
        <f t="shared" si="215"/>
        <v>35</v>
      </c>
      <c r="E470" s="2">
        <v>0</v>
      </c>
      <c r="F470">
        <f t="shared" si="216"/>
        <v>80</v>
      </c>
      <c r="G470">
        <f t="shared" si="217"/>
        <v>0.75700000000000001</v>
      </c>
      <c r="H470" s="3">
        <f t="shared" si="207"/>
        <v>0.05</v>
      </c>
      <c r="I470" s="2">
        <v>2</v>
      </c>
      <c r="J470" s="2">
        <v>0</v>
      </c>
      <c r="K470" s="2">
        <v>1</v>
      </c>
      <c r="L470" s="16">
        <v>1</v>
      </c>
      <c r="M470" s="5">
        <f t="shared" si="218"/>
        <v>750</v>
      </c>
      <c r="N470" s="6">
        <f t="shared" si="219"/>
        <v>63.588000000000008</v>
      </c>
      <c r="O470">
        <f t="shared" si="220"/>
        <v>985.50000000000011</v>
      </c>
      <c r="P470" s="7">
        <f t="shared" si="208"/>
        <v>15.49820720890734</v>
      </c>
      <c r="Q470">
        <f>ROUNDUP(몬스터!$P$18/F470, 0)</f>
        <v>12</v>
      </c>
      <c r="R470" s="6">
        <f t="shared" si="221"/>
        <v>15.852047556142669</v>
      </c>
      <c r="S470" s="7">
        <f>B470/몬스터!$C$18*R470</f>
        <v>237.78071334214002</v>
      </c>
      <c r="U470">
        <f>ROUNDDOWN(R470*몬스터!$H$18, 0)*몬스터!$G$18*(1+몬스터!$I$18)</f>
        <v>897.35249999999996</v>
      </c>
      <c r="V470" s="2">
        <f t="shared" si="209"/>
        <v>0.91055555555555545</v>
      </c>
    </row>
    <row r="471" spans="1:22" x14ac:dyDescent="0.4">
      <c r="A471">
        <v>47</v>
      </c>
      <c r="B471" s="4">
        <f>170*A471</f>
        <v>7990</v>
      </c>
      <c r="C471">
        <f t="shared" si="214"/>
        <v>740</v>
      </c>
      <c r="D471">
        <f t="shared" si="215"/>
        <v>36</v>
      </c>
      <c r="E471" s="2">
        <v>0</v>
      </c>
      <c r="F471">
        <f t="shared" si="216"/>
        <v>81</v>
      </c>
      <c r="G471">
        <f t="shared" si="217"/>
        <v>0.75900000000000001</v>
      </c>
      <c r="H471" s="3">
        <f t="shared" si="207"/>
        <v>0.05</v>
      </c>
      <c r="I471" s="2">
        <v>2</v>
      </c>
      <c r="J471" s="2">
        <v>0</v>
      </c>
      <c r="K471" s="2">
        <v>1</v>
      </c>
      <c r="L471" s="16">
        <v>1</v>
      </c>
      <c r="M471" s="5">
        <f t="shared" si="218"/>
        <v>760</v>
      </c>
      <c r="N471" s="6">
        <f t="shared" si="219"/>
        <v>64.552949999999996</v>
      </c>
      <c r="O471">
        <f t="shared" si="220"/>
        <v>1006.3999999999999</v>
      </c>
      <c r="P471" s="7">
        <f t="shared" si="208"/>
        <v>15.590302224762771</v>
      </c>
      <c r="Q471">
        <f>ROUNDUP(몬스터!$P$18/F471, 0)</f>
        <v>12</v>
      </c>
      <c r="R471" s="6">
        <f t="shared" si="221"/>
        <v>15.810276679841897</v>
      </c>
      <c r="S471" s="7">
        <f>B471/몬스터!$C$18*R471</f>
        <v>263.17523056653488</v>
      </c>
      <c r="U471">
        <f>ROUNDDOWN(R471*몬스터!$H$18, 0)*몬스터!$G$18*(1+몬스터!$I$18)</f>
        <v>897.35249999999996</v>
      </c>
      <c r="V471" s="2">
        <f t="shared" si="209"/>
        <v>0.89164596581875999</v>
      </c>
    </row>
    <row r="472" spans="1:22" x14ac:dyDescent="0.4">
      <c r="A472">
        <v>48</v>
      </c>
      <c r="B472" s="4">
        <f>170*A472</f>
        <v>8160</v>
      </c>
      <c r="C472">
        <f t="shared" si="214"/>
        <v>755</v>
      </c>
      <c r="D472">
        <f t="shared" si="215"/>
        <v>36</v>
      </c>
      <c r="E472" s="2">
        <v>0</v>
      </c>
      <c r="F472">
        <f t="shared" si="216"/>
        <v>83</v>
      </c>
      <c r="G472">
        <f t="shared" si="217"/>
        <v>0.76100000000000001</v>
      </c>
      <c r="H472" s="3">
        <f t="shared" si="207"/>
        <v>0.05</v>
      </c>
      <c r="I472" s="2">
        <v>2</v>
      </c>
      <c r="J472" s="2">
        <v>0</v>
      </c>
      <c r="K472" s="2">
        <v>1</v>
      </c>
      <c r="L472" s="16">
        <v>1</v>
      </c>
      <c r="M472" s="5">
        <f t="shared" si="218"/>
        <v>770</v>
      </c>
      <c r="N472" s="6">
        <f t="shared" si="219"/>
        <v>66.321150000000003</v>
      </c>
      <c r="O472">
        <f t="shared" si="220"/>
        <v>1026.8</v>
      </c>
      <c r="P472" s="7">
        <f t="shared" si="208"/>
        <v>15.482240582378321</v>
      </c>
      <c r="Q472">
        <f>ROUNDUP(몬스터!$P$18/F472, 0)</f>
        <v>12</v>
      </c>
      <c r="R472" s="6">
        <f t="shared" si="221"/>
        <v>15.768725361366622</v>
      </c>
      <c r="S472" s="7">
        <f>B472/몬스터!$C$18*R472</f>
        <v>268.06833114323257</v>
      </c>
      <c r="U472">
        <f>ROUNDDOWN(R472*몬스터!$H$18, 0)*몬스터!$G$18*(1+몬스터!$I$18)</f>
        <v>897.35249999999996</v>
      </c>
      <c r="V472" s="2">
        <f t="shared" si="209"/>
        <v>0.8739311453058044</v>
      </c>
    </row>
    <row r="473" spans="1:22" x14ac:dyDescent="0.4">
      <c r="A473">
        <v>49</v>
      </c>
      <c r="B473" s="4">
        <f>170*A473</f>
        <v>8330</v>
      </c>
      <c r="C473">
        <f t="shared" si="214"/>
        <v>765</v>
      </c>
      <c r="D473">
        <f t="shared" si="215"/>
        <v>36</v>
      </c>
      <c r="E473" s="2">
        <v>0</v>
      </c>
      <c r="F473">
        <f t="shared" si="216"/>
        <v>84</v>
      </c>
      <c r="G473">
        <f t="shared" si="217"/>
        <v>0.76300000000000001</v>
      </c>
      <c r="H473" s="3">
        <f t="shared" si="207"/>
        <v>0.05</v>
      </c>
      <c r="I473" s="2">
        <v>2</v>
      </c>
      <c r="J473" s="2">
        <v>0</v>
      </c>
      <c r="K473" s="2">
        <v>1</v>
      </c>
      <c r="L473" s="16">
        <v>1</v>
      </c>
      <c r="M473" s="5">
        <f t="shared" si="218"/>
        <v>780</v>
      </c>
      <c r="N473" s="6">
        <f t="shared" si="219"/>
        <v>67.296599999999998</v>
      </c>
      <c r="O473">
        <f t="shared" si="220"/>
        <v>1040.3999999999999</v>
      </c>
      <c r="P473" s="7">
        <f t="shared" si="208"/>
        <v>15.459919223259421</v>
      </c>
      <c r="Q473">
        <f>ROUNDUP(몬스터!$P$18/F473, 0)</f>
        <v>12</v>
      </c>
      <c r="R473" s="6">
        <f t="shared" si="221"/>
        <v>15.727391874180865</v>
      </c>
      <c r="S473" s="7">
        <f>B473/몬스터!$C$18*R473</f>
        <v>272.93577981651379</v>
      </c>
      <c r="U473">
        <f>ROUNDDOWN(R473*몬스터!$H$18, 0)*몬스터!$G$18*(1+몬스터!$I$18)</f>
        <v>897.35249999999996</v>
      </c>
      <c r="V473" s="2">
        <f t="shared" si="209"/>
        <v>0.8625072087658594</v>
      </c>
    </row>
    <row r="474" spans="1:22" x14ac:dyDescent="0.4">
      <c r="A474">
        <v>50</v>
      </c>
      <c r="B474" s="4">
        <f>170*A474</f>
        <v>8500</v>
      </c>
      <c r="C474">
        <f t="shared" si="214"/>
        <v>780</v>
      </c>
      <c r="D474">
        <f t="shared" si="215"/>
        <v>37</v>
      </c>
      <c r="E474" s="2">
        <v>0</v>
      </c>
      <c r="F474">
        <f t="shared" si="216"/>
        <v>85</v>
      </c>
      <c r="G474">
        <f t="shared" si="217"/>
        <v>0.76500000000000001</v>
      </c>
      <c r="H474" s="3">
        <f t="shared" si="207"/>
        <v>0.05</v>
      </c>
      <c r="I474" s="2">
        <v>2</v>
      </c>
      <c r="J474" s="2">
        <v>0</v>
      </c>
      <c r="K474" s="2">
        <v>1</v>
      </c>
      <c r="L474" s="16">
        <v>1</v>
      </c>
      <c r="M474" s="5">
        <f t="shared" si="218"/>
        <v>790</v>
      </c>
      <c r="N474" s="6">
        <f t="shared" si="219"/>
        <v>68.276250000000005</v>
      </c>
      <c r="O474">
        <f t="shared" si="220"/>
        <v>1068.6000000000001</v>
      </c>
      <c r="P474" s="7">
        <f t="shared" si="208"/>
        <v>15.65112319437579</v>
      </c>
      <c r="Q474">
        <f>ROUNDUP(몬스터!$P$18/F474, 0)</f>
        <v>12</v>
      </c>
      <c r="R474" s="6">
        <f t="shared" si="221"/>
        <v>15.686274509803921</v>
      </c>
      <c r="S474" s="7">
        <f>B474/몬스터!$C$18*R474</f>
        <v>277.77777777777777</v>
      </c>
      <c r="T474" s="7">
        <f t="shared" ref="T474" si="225">SUM(S470:S474)</f>
        <v>1319.737832646199</v>
      </c>
      <c r="U474">
        <f>ROUNDDOWN(R474*몬스터!$H$18, 0)*몬스터!$G$18*(1+몬스터!$I$18)</f>
        <v>897.35249999999996</v>
      </c>
      <c r="V474" s="2">
        <f t="shared" si="209"/>
        <v>0.83974592925322833</v>
      </c>
    </row>
    <row r="475" spans="1:22" x14ac:dyDescent="0.4">
      <c r="A475">
        <v>51</v>
      </c>
      <c r="B475" s="4">
        <f>160*A475</f>
        <v>8160</v>
      </c>
      <c r="C475">
        <f t="shared" si="214"/>
        <v>790</v>
      </c>
      <c r="D475">
        <f t="shared" si="215"/>
        <v>37</v>
      </c>
      <c r="E475" s="2">
        <v>0</v>
      </c>
      <c r="F475">
        <f t="shared" si="216"/>
        <v>87</v>
      </c>
      <c r="G475">
        <f t="shared" si="217"/>
        <v>0.76700000000000002</v>
      </c>
      <c r="H475" s="3">
        <f t="shared" si="207"/>
        <v>0.05</v>
      </c>
      <c r="I475" s="2">
        <v>2</v>
      </c>
      <c r="J475" s="2">
        <v>0</v>
      </c>
      <c r="K475" s="2">
        <v>1</v>
      </c>
      <c r="L475" s="16">
        <v>1</v>
      </c>
      <c r="M475" s="5">
        <f t="shared" si="218"/>
        <v>800</v>
      </c>
      <c r="N475" s="6">
        <f t="shared" si="219"/>
        <v>70.065449999999998</v>
      </c>
      <c r="O475">
        <f t="shared" si="220"/>
        <v>1082.3000000000002</v>
      </c>
      <c r="P475" s="7">
        <f t="shared" si="208"/>
        <v>15.44698563985531</v>
      </c>
      <c r="Q475">
        <f>ROUNDUP(몬스터!$P$19/F475, 0)</f>
        <v>13</v>
      </c>
      <c r="R475" s="6">
        <f t="shared" si="221"/>
        <v>16.949152542372882</v>
      </c>
      <c r="S475" s="7">
        <f>B475/몬스터!$C$19*R475</f>
        <v>260.95299008634476</v>
      </c>
      <c r="U475">
        <f>ROUNDDOWN(R475*몬스터!$H$19, 0)*몬스터!$G$19*(1+몬스터!$I$19)</f>
        <v>1093.5</v>
      </c>
      <c r="V475" s="2">
        <f t="shared" si="209"/>
        <v>1.0103483322553819</v>
      </c>
    </row>
    <row r="476" spans="1:22" x14ac:dyDescent="0.4">
      <c r="A476">
        <v>52</v>
      </c>
      <c r="B476" s="4">
        <f>160*A476</f>
        <v>8320</v>
      </c>
      <c r="C476">
        <f t="shared" si="214"/>
        <v>805</v>
      </c>
      <c r="D476">
        <f t="shared" si="215"/>
        <v>37</v>
      </c>
      <c r="E476" s="2">
        <v>0</v>
      </c>
      <c r="F476">
        <f t="shared" si="216"/>
        <v>88</v>
      </c>
      <c r="G476">
        <f t="shared" si="217"/>
        <v>0.76900000000000002</v>
      </c>
      <c r="H476" s="3">
        <f t="shared" si="207"/>
        <v>0.05</v>
      </c>
      <c r="I476" s="2">
        <v>2</v>
      </c>
      <c r="J476" s="2">
        <v>0</v>
      </c>
      <c r="K476" s="2">
        <v>1</v>
      </c>
      <c r="L476" s="16">
        <v>1</v>
      </c>
      <c r="M476" s="5">
        <f t="shared" si="218"/>
        <v>810</v>
      </c>
      <c r="N476" s="6">
        <f t="shared" si="219"/>
        <v>71.055599999999998</v>
      </c>
      <c r="O476">
        <f t="shared" si="220"/>
        <v>1102.8500000000001</v>
      </c>
      <c r="P476" s="7">
        <f t="shared" si="208"/>
        <v>15.520944162036493</v>
      </c>
      <c r="Q476">
        <f>ROUNDUP(몬스터!$P$19/F476, 0)</f>
        <v>13</v>
      </c>
      <c r="R476" s="6">
        <f t="shared" si="221"/>
        <v>16.905071521456435</v>
      </c>
      <c r="S476" s="7">
        <f>B476/몬스터!$C$19*R476</f>
        <v>265.37772652550478</v>
      </c>
      <c r="U476">
        <f>ROUNDDOWN(R476*몬스터!$H$19, 0)*몬스터!$G$19*(1+몬스터!$I$19)</f>
        <v>1093.5</v>
      </c>
      <c r="V476" s="2">
        <f t="shared" si="209"/>
        <v>0.99152196581584062</v>
      </c>
    </row>
    <row r="477" spans="1:22" x14ac:dyDescent="0.4">
      <c r="A477">
        <v>53</v>
      </c>
      <c r="B477" s="4">
        <f>160*A477</f>
        <v>8480</v>
      </c>
      <c r="C477">
        <f t="shared" si="214"/>
        <v>815</v>
      </c>
      <c r="D477">
        <f t="shared" si="215"/>
        <v>37</v>
      </c>
      <c r="E477" s="2">
        <v>0</v>
      </c>
      <c r="F477">
        <f t="shared" si="216"/>
        <v>89</v>
      </c>
      <c r="G477">
        <f t="shared" si="217"/>
        <v>0.77100000000000002</v>
      </c>
      <c r="H477" s="3">
        <f t="shared" si="207"/>
        <v>0.05</v>
      </c>
      <c r="I477" s="2">
        <v>2</v>
      </c>
      <c r="J477" s="2">
        <v>0</v>
      </c>
      <c r="K477" s="2">
        <v>1</v>
      </c>
      <c r="L477" s="16">
        <v>1</v>
      </c>
      <c r="M477" s="5">
        <f t="shared" si="218"/>
        <v>820</v>
      </c>
      <c r="N477" s="6">
        <f t="shared" si="219"/>
        <v>72.04995000000001</v>
      </c>
      <c r="O477">
        <f t="shared" si="220"/>
        <v>1116.5500000000002</v>
      </c>
      <c r="P477" s="7">
        <f t="shared" si="208"/>
        <v>15.496887922892382</v>
      </c>
      <c r="Q477">
        <f>ROUNDUP(몬스터!$P$19/F477, 0)</f>
        <v>13</v>
      </c>
      <c r="R477" s="6">
        <f t="shared" si="221"/>
        <v>16.861219195849547</v>
      </c>
      <c r="S477" s="7">
        <f>B477/몬스터!$C$19*R477</f>
        <v>269.77950713359274</v>
      </c>
      <c r="U477">
        <f>ROUNDDOWN(R477*몬스터!$H$19, 0)*몬스터!$G$19*(1+몬스터!$I$19)</f>
        <v>1093.5</v>
      </c>
      <c r="V477" s="2">
        <f t="shared" si="209"/>
        <v>0.97935605212484866</v>
      </c>
    </row>
    <row r="478" spans="1:22" x14ac:dyDescent="0.4">
      <c r="A478">
        <v>54</v>
      </c>
      <c r="B478" s="4">
        <f>160*A478</f>
        <v>8640</v>
      </c>
      <c r="C478">
        <f t="shared" si="214"/>
        <v>830</v>
      </c>
      <c r="D478">
        <f t="shared" si="215"/>
        <v>38</v>
      </c>
      <c r="E478" s="2">
        <v>0</v>
      </c>
      <c r="F478">
        <f t="shared" si="216"/>
        <v>91</v>
      </c>
      <c r="G478">
        <f t="shared" si="217"/>
        <v>0.77300000000000002</v>
      </c>
      <c r="H478" s="3">
        <f t="shared" si="207"/>
        <v>0.05</v>
      </c>
      <c r="I478" s="2">
        <v>2</v>
      </c>
      <c r="J478" s="2">
        <v>0</v>
      </c>
      <c r="K478" s="2">
        <v>1</v>
      </c>
      <c r="L478" s="16">
        <v>1</v>
      </c>
      <c r="M478" s="5">
        <f t="shared" si="218"/>
        <v>830</v>
      </c>
      <c r="N478" s="6">
        <f t="shared" si="219"/>
        <v>73.860150000000004</v>
      </c>
      <c r="O478">
        <f t="shared" si="220"/>
        <v>1145.3999999999999</v>
      </c>
      <c r="P478" s="7">
        <f t="shared" si="208"/>
        <v>15.507685808924025</v>
      </c>
      <c r="Q478">
        <f>ROUNDUP(몬스터!$P$19/F478, 0)</f>
        <v>12</v>
      </c>
      <c r="R478" s="6">
        <f t="shared" si="221"/>
        <v>15.523932729624837</v>
      </c>
      <c r="S478" s="7">
        <f>B478/몬스터!$C$19*R478</f>
        <v>253.06939393199735</v>
      </c>
      <c r="U478">
        <f>ROUNDDOWN(R478*몬스터!$H$19, 0)*몬스터!$G$19*(1+몬스터!$I$19)</f>
        <v>1002.375</v>
      </c>
      <c r="V478" s="2">
        <f t="shared" si="209"/>
        <v>0.87513095861707713</v>
      </c>
    </row>
    <row r="479" spans="1:22" x14ac:dyDescent="0.4">
      <c r="A479">
        <v>55</v>
      </c>
      <c r="B479" s="4">
        <f>160*A479</f>
        <v>8800</v>
      </c>
      <c r="C479">
        <f t="shared" si="214"/>
        <v>840</v>
      </c>
      <c r="D479">
        <f t="shared" si="215"/>
        <v>38</v>
      </c>
      <c r="E479" s="2">
        <v>0</v>
      </c>
      <c r="F479">
        <f t="shared" si="216"/>
        <v>92</v>
      </c>
      <c r="G479">
        <f t="shared" si="217"/>
        <v>0.77500000000000002</v>
      </c>
      <c r="H479" s="3">
        <f t="shared" si="207"/>
        <v>0.05</v>
      </c>
      <c r="I479" s="2">
        <v>2</v>
      </c>
      <c r="J479" s="2">
        <v>0</v>
      </c>
      <c r="K479" s="2">
        <v>1</v>
      </c>
      <c r="L479" s="16">
        <v>1</v>
      </c>
      <c r="M479" s="5">
        <f t="shared" si="218"/>
        <v>840</v>
      </c>
      <c r="N479" s="6">
        <f t="shared" si="219"/>
        <v>74.864999999999995</v>
      </c>
      <c r="O479">
        <f t="shared" si="220"/>
        <v>1159.1999999999998</v>
      </c>
      <c r="P479" s="7">
        <f t="shared" si="208"/>
        <v>15.483870967741934</v>
      </c>
      <c r="Q479">
        <f>ROUNDUP(몬스터!$P$19/F479, 0)</f>
        <v>12</v>
      </c>
      <c r="R479" s="6">
        <f t="shared" si="221"/>
        <v>15.483870967741934</v>
      </c>
      <c r="S479" s="7">
        <f>B479/몬스터!$C$19*R479</f>
        <v>257.09068776628118</v>
      </c>
      <c r="T479" s="7">
        <f t="shared" ref="T479" si="226">SUM(S475:S479)</f>
        <v>1306.2703054437209</v>
      </c>
      <c r="U479">
        <f>ROUNDDOWN(R479*몬스터!$H$19, 0)*몬스터!$G$19*(1+몬스터!$I$19)</f>
        <v>1002.375</v>
      </c>
      <c r="V479" s="2">
        <f t="shared" si="209"/>
        <v>0.86471273291925477</v>
      </c>
    </row>
    <row r="480" spans="1:22" x14ac:dyDescent="0.4">
      <c r="A480">
        <v>56</v>
      </c>
      <c r="B480" s="4">
        <f>170*A480</f>
        <v>9520</v>
      </c>
      <c r="C480">
        <f t="shared" si="214"/>
        <v>850</v>
      </c>
      <c r="D480">
        <f t="shared" si="215"/>
        <v>38</v>
      </c>
      <c r="E480" s="2">
        <v>0</v>
      </c>
      <c r="F480">
        <f t="shared" si="216"/>
        <v>93</v>
      </c>
      <c r="G480">
        <f t="shared" si="217"/>
        <v>0.77700000000000002</v>
      </c>
      <c r="H480" s="3">
        <f t="shared" si="207"/>
        <v>0.05</v>
      </c>
      <c r="I480" s="2">
        <v>2</v>
      </c>
      <c r="J480" s="2">
        <v>0</v>
      </c>
      <c r="K480" s="2">
        <v>1</v>
      </c>
      <c r="L480" s="16">
        <v>1</v>
      </c>
      <c r="M480" s="5">
        <f t="shared" si="218"/>
        <v>850</v>
      </c>
      <c r="N480" s="6">
        <f t="shared" si="219"/>
        <v>75.874049999999997</v>
      </c>
      <c r="O480">
        <f t="shared" si="220"/>
        <v>1173</v>
      </c>
      <c r="P480" s="7">
        <f t="shared" si="208"/>
        <v>15.459831128033894</v>
      </c>
      <c r="Q480">
        <f>ROUNDUP(몬스터!$P$20/F480, 0)</f>
        <v>13</v>
      </c>
      <c r="R480" s="6">
        <f t="shared" si="221"/>
        <v>16.73101673101673</v>
      </c>
      <c r="S480" s="7">
        <f>B480/몬스터!$C$20*R480</f>
        <v>274.61944703324014</v>
      </c>
      <c r="U480">
        <f>ROUNDDOWN(R480*몬스터!$H$20, 0)*몬스터!$G$20*(1+몬스터!$I$20)</f>
        <v>1195.92</v>
      </c>
      <c r="V480" s="2">
        <f t="shared" si="209"/>
        <v>1.0195396419437341</v>
      </c>
    </row>
    <row r="481" spans="1:22" x14ac:dyDescent="0.4">
      <c r="A481">
        <v>57</v>
      </c>
      <c r="B481" s="4">
        <f>170*A481</f>
        <v>9690</v>
      </c>
      <c r="C481">
        <f t="shared" si="214"/>
        <v>865</v>
      </c>
      <c r="D481">
        <f t="shared" si="215"/>
        <v>39</v>
      </c>
      <c r="E481" s="2">
        <v>0</v>
      </c>
      <c r="F481">
        <f t="shared" si="216"/>
        <v>95</v>
      </c>
      <c r="G481">
        <f t="shared" si="217"/>
        <v>0.77900000000000003</v>
      </c>
      <c r="H481" s="3">
        <f t="shared" si="207"/>
        <v>0.05</v>
      </c>
      <c r="I481" s="2">
        <v>2</v>
      </c>
      <c r="J481" s="2">
        <v>0</v>
      </c>
      <c r="K481" s="2">
        <v>1</v>
      </c>
      <c r="L481" s="16">
        <v>1</v>
      </c>
      <c r="M481" s="5">
        <f t="shared" si="218"/>
        <v>860</v>
      </c>
      <c r="N481" s="6">
        <f t="shared" si="219"/>
        <v>77.705249999999992</v>
      </c>
      <c r="O481">
        <f t="shared" si="220"/>
        <v>1202.3500000000001</v>
      </c>
      <c r="P481" s="7">
        <f t="shared" si="208"/>
        <v>15.473214486794653</v>
      </c>
      <c r="Q481">
        <f>ROUNDUP(몬스터!$P$20/F481, 0)</f>
        <v>13</v>
      </c>
      <c r="R481" s="6">
        <f t="shared" si="221"/>
        <v>16.688061617458278</v>
      </c>
      <c r="S481" s="7">
        <f>B481/몬스터!$C$20*R481</f>
        <v>278.80571909167367</v>
      </c>
      <c r="U481">
        <f>ROUNDDOWN(R481*몬스터!$H$20, 0)*몬스터!$G$20*(1+몬스터!$I$20)</f>
        <v>1195.92</v>
      </c>
      <c r="V481" s="2">
        <f t="shared" si="209"/>
        <v>0.99465213956002818</v>
      </c>
    </row>
    <row r="482" spans="1:22" x14ac:dyDescent="0.4">
      <c r="A482">
        <v>58</v>
      </c>
      <c r="B482" s="4">
        <f>170*A482</f>
        <v>9860</v>
      </c>
      <c r="C482">
        <f t="shared" si="214"/>
        <v>875</v>
      </c>
      <c r="D482">
        <f t="shared" si="215"/>
        <v>39</v>
      </c>
      <c r="E482" s="2">
        <v>0</v>
      </c>
      <c r="F482">
        <f t="shared" si="216"/>
        <v>96</v>
      </c>
      <c r="G482">
        <f t="shared" si="217"/>
        <v>0.78100000000000003</v>
      </c>
      <c r="H482" s="3">
        <f t="shared" si="207"/>
        <v>0.05</v>
      </c>
      <c r="I482" s="2">
        <v>2</v>
      </c>
      <c r="J482" s="2">
        <v>0</v>
      </c>
      <c r="K482" s="2">
        <v>1</v>
      </c>
      <c r="L482" s="16">
        <v>1</v>
      </c>
      <c r="M482" s="5">
        <f t="shared" si="218"/>
        <v>870</v>
      </c>
      <c r="N482" s="6">
        <f t="shared" si="219"/>
        <v>78.724800000000002</v>
      </c>
      <c r="O482">
        <f t="shared" si="220"/>
        <v>1216.25</v>
      </c>
      <c r="P482" s="7">
        <f t="shared" si="208"/>
        <v>15.449388248684023</v>
      </c>
      <c r="Q482">
        <f>ROUNDUP(몬스터!$P$20/F482, 0)</f>
        <v>13</v>
      </c>
      <c r="R482" s="6">
        <f t="shared" si="221"/>
        <v>16.645326504481435</v>
      </c>
      <c r="S482" s="7">
        <f>B482/몬스터!$C$20*R482</f>
        <v>282.97055057618439</v>
      </c>
      <c r="U482">
        <f>ROUNDDOWN(R482*몬스터!$H$20, 0)*몬스터!$G$20*(1+몬스터!$I$20)</f>
        <v>1195.92</v>
      </c>
      <c r="V482" s="2">
        <f t="shared" si="209"/>
        <v>0.98328468653648515</v>
      </c>
    </row>
    <row r="483" spans="1:22" x14ac:dyDescent="0.4">
      <c r="A483">
        <v>59</v>
      </c>
      <c r="B483" s="4">
        <f>170*A483</f>
        <v>10030</v>
      </c>
      <c r="C483">
        <f t="shared" si="214"/>
        <v>890</v>
      </c>
      <c r="D483">
        <f t="shared" si="215"/>
        <v>39</v>
      </c>
      <c r="E483" s="2">
        <v>0</v>
      </c>
      <c r="F483">
        <f t="shared" si="216"/>
        <v>97</v>
      </c>
      <c r="G483">
        <f t="shared" si="217"/>
        <v>0.78300000000000003</v>
      </c>
      <c r="H483" s="3">
        <f t="shared" si="207"/>
        <v>0.05</v>
      </c>
      <c r="I483" s="2">
        <v>2</v>
      </c>
      <c r="J483" s="2">
        <v>0</v>
      </c>
      <c r="K483" s="2">
        <v>1</v>
      </c>
      <c r="L483" s="16">
        <v>1</v>
      </c>
      <c r="M483" s="5">
        <f t="shared" si="218"/>
        <v>880</v>
      </c>
      <c r="N483" s="6">
        <f t="shared" si="219"/>
        <v>79.748550000000009</v>
      </c>
      <c r="O483">
        <f t="shared" si="220"/>
        <v>1237.1000000000001</v>
      </c>
      <c r="P483" s="7">
        <f t="shared" si="208"/>
        <v>15.512507750924625</v>
      </c>
      <c r="Q483">
        <f>ROUNDUP(몬스터!$P$20/F483, 0)</f>
        <v>13</v>
      </c>
      <c r="R483" s="6">
        <f t="shared" si="221"/>
        <v>16.602809706257982</v>
      </c>
      <c r="S483" s="7">
        <f>B483/몬스터!$C$20*R483</f>
        <v>287.11410578235785</v>
      </c>
      <c r="U483">
        <f>ROUNDDOWN(R483*몬스터!$H$20, 0)*몬스터!$G$20*(1+몬스터!$I$20)</f>
        <v>1195.92</v>
      </c>
      <c r="V483" s="2">
        <f t="shared" si="209"/>
        <v>0.9667124727184544</v>
      </c>
    </row>
    <row r="484" spans="1:22" x14ac:dyDescent="0.4">
      <c r="A484">
        <v>60</v>
      </c>
      <c r="B484" s="4">
        <f>170*A484</f>
        <v>10200</v>
      </c>
      <c r="C484">
        <f t="shared" si="214"/>
        <v>900</v>
      </c>
      <c r="D484">
        <f t="shared" si="215"/>
        <v>40</v>
      </c>
      <c r="E484" s="2">
        <v>0</v>
      </c>
      <c r="F484">
        <f t="shared" si="216"/>
        <v>99</v>
      </c>
      <c r="G484">
        <f t="shared" si="217"/>
        <v>0.78500000000000003</v>
      </c>
      <c r="H484" s="3">
        <f t="shared" si="207"/>
        <v>0.05</v>
      </c>
      <c r="I484" s="2">
        <v>2</v>
      </c>
      <c r="J484" s="2">
        <v>0</v>
      </c>
      <c r="K484" s="2">
        <v>1</v>
      </c>
      <c r="L484" s="16">
        <v>1</v>
      </c>
      <c r="M484" s="5">
        <f t="shared" si="218"/>
        <v>890</v>
      </c>
      <c r="N484" s="6">
        <f t="shared" si="219"/>
        <v>81.600750000000005</v>
      </c>
      <c r="O484">
        <f t="shared" si="220"/>
        <v>1260</v>
      </c>
      <c r="P484" s="7">
        <f t="shared" si="208"/>
        <v>15.441034549314804</v>
      </c>
      <c r="Q484">
        <f>ROUNDUP(몬스터!$P$20/F484, 0)</f>
        <v>13</v>
      </c>
      <c r="R484" s="6">
        <f t="shared" si="221"/>
        <v>16.560509554140125</v>
      </c>
      <c r="S484" s="7">
        <f>B484/몬스터!$C$20*R484</f>
        <v>291.23654733142979</v>
      </c>
      <c r="T484" s="7">
        <f t="shared" ref="T484" si="227">SUM(S480:S484)</f>
        <v>1414.7463698148861</v>
      </c>
      <c r="U484">
        <f>ROUNDDOWN(R484*몬스터!$H$20, 0)*몬스터!$G$20*(1+몬스터!$I$20)</f>
        <v>1195.92</v>
      </c>
      <c r="V484" s="2">
        <f t="shared" si="209"/>
        <v>0.94914285714285718</v>
      </c>
    </row>
    <row r="485" spans="1:22" x14ac:dyDescent="0.4">
      <c r="A485">
        <v>61</v>
      </c>
      <c r="B485" s="4">
        <f>160*A485-320</f>
        <v>9440</v>
      </c>
      <c r="C485">
        <f t="shared" si="214"/>
        <v>915</v>
      </c>
      <c r="D485">
        <f t="shared" si="215"/>
        <v>40</v>
      </c>
      <c r="E485" s="2">
        <v>0</v>
      </c>
      <c r="F485">
        <f t="shared" si="216"/>
        <v>100</v>
      </c>
      <c r="G485">
        <f t="shared" si="217"/>
        <v>0.78700000000000003</v>
      </c>
      <c r="H485" s="3">
        <f t="shared" si="207"/>
        <v>0.05</v>
      </c>
      <c r="I485" s="2">
        <v>2</v>
      </c>
      <c r="J485" s="2">
        <v>0</v>
      </c>
      <c r="K485" s="2">
        <v>1</v>
      </c>
      <c r="L485" s="16">
        <v>1</v>
      </c>
      <c r="M485" s="5">
        <f t="shared" si="218"/>
        <v>900</v>
      </c>
      <c r="N485" s="6">
        <f t="shared" si="219"/>
        <v>82.635000000000005</v>
      </c>
      <c r="O485">
        <f t="shared" si="220"/>
        <v>1281</v>
      </c>
      <c r="P485" s="7">
        <f t="shared" si="208"/>
        <v>15.501905972045742</v>
      </c>
      <c r="Q485">
        <f>ROUNDUP(몬스터!$P$23/F485, 0)</f>
        <v>14</v>
      </c>
      <c r="R485" s="6">
        <f t="shared" si="221"/>
        <v>17.789072426937736</v>
      </c>
      <c r="S485" s="7">
        <f>B485/몬스터!$C$23*R485</f>
        <v>266.55372017506704</v>
      </c>
      <c r="U485">
        <f>ROUNDDOWN(R485*몬스터!$H$23, 0)*몬스터!$G$23*(1+몬스터!$I$23)</f>
        <v>1532.16</v>
      </c>
      <c r="V485" s="2">
        <f t="shared" si="209"/>
        <v>1.1960655737704919</v>
      </c>
    </row>
    <row r="486" spans="1:22" x14ac:dyDescent="0.4">
      <c r="A486">
        <v>62</v>
      </c>
      <c r="B486" s="4">
        <f>160*A486</f>
        <v>9920</v>
      </c>
      <c r="C486">
        <f t="shared" si="214"/>
        <v>925</v>
      </c>
      <c r="D486">
        <f t="shared" si="215"/>
        <v>40</v>
      </c>
      <c r="E486" s="2">
        <v>0</v>
      </c>
      <c r="F486">
        <f t="shared" si="216"/>
        <v>101</v>
      </c>
      <c r="G486">
        <f t="shared" si="217"/>
        <v>0.78900000000000003</v>
      </c>
      <c r="H486" s="3">
        <f t="shared" si="207"/>
        <v>0.05</v>
      </c>
      <c r="I486" s="2">
        <v>2</v>
      </c>
      <c r="J486" s="2">
        <v>0</v>
      </c>
      <c r="K486" s="2">
        <v>1</v>
      </c>
      <c r="L486" s="16">
        <v>1</v>
      </c>
      <c r="M486" s="5">
        <f t="shared" si="218"/>
        <v>910</v>
      </c>
      <c r="N486" s="6">
        <f t="shared" si="219"/>
        <v>83.673450000000017</v>
      </c>
      <c r="O486">
        <f t="shared" si="220"/>
        <v>1295</v>
      </c>
      <c r="P486" s="7">
        <f t="shared" si="208"/>
        <v>15.476832854388098</v>
      </c>
      <c r="Q486">
        <f>ROUNDUP(몬스터!$P$23/F486, 0)</f>
        <v>14</v>
      </c>
      <c r="R486" s="6">
        <f t="shared" si="221"/>
        <v>17.743979721166031</v>
      </c>
      <c r="S486" s="7">
        <f>B486/몬스터!$C$23*R486</f>
        <v>279.39726799042387</v>
      </c>
      <c r="U486">
        <f>ROUNDDOWN(R486*몬스터!$H$23, 0)*몬스터!$G$23*(1+몬스터!$I$23)</f>
        <v>1532.16</v>
      </c>
      <c r="V486" s="2">
        <f t="shared" si="209"/>
        <v>1.1831351351351351</v>
      </c>
    </row>
    <row r="487" spans="1:22" x14ac:dyDescent="0.4">
      <c r="A487">
        <v>63</v>
      </c>
      <c r="B487" s="4">
        <f>160*A487</f>
        <v>10080</v>
      </c>
      <c r="C487">
        <f t="shared" si="214"/>
        <v>940</v>
      </c>
      <c r="D487">
        <f t="shared" si="215"/>
        <v>40</v>
      </c>
      <c r="E487" s="2">
        <v>0</v>
      </c>
      <c r="F487">
        <f t="shared" si="216"/>
        <v>103</v>
      </c>
      <c r="G487">
        <f t="shared" si="217"/>
        <v>0.79100000000000004</v>
      </c>
      <c r="H487" s="3">
        <f t="shared" si="207"/>
        <v>0.05</v>
      </c>
      <c r="I487" s="2">
        <v>2</v>
      </c>
      <c r="J487" s="2">
        <v>0</v>
      </c>
      <c r="K487" s="2">
        <v>1</v>
      </c>
      <c r="L487" s="16">
        <v>1</v>
      </c>
      <c r="M487" s="5">
        <f t="shared" si="218"/>
        <v>920</v>
      </c>
      <c r="N487" s="6">
        <f t="shared" si="219"/>
        <v>85.54665</v>
      </c>
      <c r="O487">
        <f t="shared" si="220"/>
        <v>1316</v>
      </c>
      <c r="P487" s="7">
        <f t="shared" si="208"/>
        <v>15.383419455934277</v>
      </c>
      <c r="Q487">
        <f>ROUNDUP(몬스터!$P$23/F487, 0)</f>
        <v>14</v>
      </c>
      <c r="R487" s="6">
        <f t="shared" si="221"/>
        <v>17.699115044247787</v>
      </c>
      <c r="S487" s="7">
        <f>B487/몬스터!$C$23*R487</f>
        <v>283.18584070796459</v>
      </c>
      <c r="U487">
        <f>ROUNDDOWN(R487*몬스터!$H$23, 0)*몬스터!$G$23*(1+몬스터!$I$23)</f>
        <v>1532.16</v>
      </c>
      <c r="V487" s="2">
        <f t="shared" si="209"/>
        <v>1.1642553191489362</v>
      </c>
    </row>
    <row r="488" spans="1:22" x14ac:dyDescent="0.4">
      <c r="A488">
        <v>64</v>
      </c>
      <c r="B488" s="4">
        <f>160*A488</f>
        <v>10240</v>
      </c>
      <c r="C488">
        <f t="shared" si="214"/>
        <v>950</v>
      </c>
      <c r="D488">
        <f t="shared" si="215"/>
        <v>41</v>
      </c>
      <c r="E488" s="2">
        <v>0</v>
      </c>
      <c r="F488">
        <f t="shared" si="216"/>
        <v>104</v>
      </c>
      <c r="G488">
        <f t="shared" si="217"/>
        <v>0.79300000000000004</v>
      </c>
      <c r="H488" s="3">
        <f t="shared" si="207"/>
        <v>0.05</v>
      </c>
      <c r="I488" s="2">
        <v>2</v>
      </c>
      <c r="J488" s="2">
        <v>0</v>
      </c>
      <c r="K488" s="2">
        <v>1</v>
      </c>
      <c r="L488" s="16">
        <v>1</v>
      </c>
      <c r="M488" s="5">
        <f t="shared" si="218"/>
        <v>930</v>
      </c>
      <c r="N488" s="6">
        <f t="shared" si="219"/>
        <v>86.595600000000019</v>
      </c>
      <c r="O488">
        <f t="shared" si="220"/>
        <v>1339.5</v>
      </c>
      <c r="P488" s="7">
        <f t="shared" si="208"/>
        <v>15.4684533625265</v>
      </c>
      <c r="Q488">
        <f>ROUNDUP(몬스터!$P$23/F488, 0)</f>
        <v>13</v>
      </c>
      <c r="R488" s="6">
        <f t="shared" si="221"/>
        <v>16.393442622950818</v>
      </c>
      <c r="S488" s="7">
        <f>B488/몬스터!$C$23*R488</f>
        <v>266.45849596669262</v>
      </c>
      <c r="U488">
        <f>ROUNDDOWN(R488*몬스터!$H$23, 0)*몬스터!$G$23*(1+몬스터!$I$23)</f>
        <v>1313.2800000000002</v>
      </c>
      <c r="V488" s="2">
        <f t="shared" si="209"/>
        <v>0.98042553191489379</v>
      </c>
    </row>
    <row r="489" spans="1:22" x14ac:dyDescent="0.4">
      <c r="A489">
        <v>65</v>
      </c>
      <c r="B489" s="4">
        <f>160*A489</f>
        <v>10400</v>
      </c>
      <c r="C489">
        <f t="shared" ref="C489:C524" si="228">MROUND((145+A489*11)*1.12,5)</f>
        <v>965</v>
      </c>
      <c r="D489">
        <f t="shared" ref="D489:D524" si="229">ROUNDDOWN((22+A489*0.3), 0)</f>
        <v>41</v>
      </c>
      <c r="E489" s="2">
        <v>0</v>
      </c>
      <c r="F489">
        <f t="shared" ref="F489:F524" si="230">ROUND((28+A489*2)*2/3, 0)</f>
        <v>105</v>
      </c>
      <c r="G489">
        <f t="shared" ref="G489:G524" si="231">0.665+0.002*A489</f>
        <v>0.79500000000000004</v>
      </c>
      <c r="H489" s="3">
        <f t="shared" si="207"/>
        <v>0.05</v>
      </c>
      <c r="I489" s="2">
        <v>2</v>
      </c>
      <c r="J489" s="2">
        <v>0</v>
      </c>
      <c r="K489" s="2">
        <v>1</v>
      </c>
      <c r="L489" s="16">
        <v>1</v>
      </c>
      <c r="M489" s="5">
        <f t="shared" ref="M489:M524" si="232">290+10*A489</f>
        <v>940</v>
      </c>
      <c r="N489" s="6">
        <f t="shared" ref="N489:N524" si="233">F489*G489*(1+H489)</f>
        <v>87.648750000000007</v>
      </c>
      <c r="O489">
        <f t="shared" ref="O489:O524" si="234">C489*(1+D489/100)*(1+E489)</f>
        <v>1360.6499999999999</v>
      </c>
      <c r="P489" s="7">
        <f t="shared" si="208"/>
        <v>15.523895092628244</v>
      </c>
      <c r="Q489">
        <f>ROUNDUP(몬스터!$P$23/F489, 0)</f>
        <v>13</v>
      </c>
      <c r="R489" s="6">
        <f t="shared" ref="R489:R520" si="235">Q489/G489</f>
        <v>16.352201257861633</v>
      </c>
      <c r="S489" s="7">
        <f>B489/몬스터!$C$23*R489</f>
        <v>269.94110012977939</v>
      </c>
      <c r="T489" s="7">
        <f t="shared" ref="T489" si="236">SUM(S485:S489)</f>
        <v>1365.5364249699276</v>
      </c>
      <c r="U489">
        <f>ROUNDDOWN(R489*몬스터!$H$23, 0)*몬스터!$G$23*(1+몬스터!$I$23)</f>
        <v>1313.2800000000002</v>
      </c>
      <c r="V489" s="2">
        <f t="shared" si="209"/>
        <v>0.96518575680740848</v>
      </c>
    </row>
    <row r="490" spans="1:22" x14ac:dyDescent="0.4">
      <c r="A490">
        <v>66</v>
      </c>
      <c r="B490" s="4">
        <f>170*A490-680</f>
        <v>10540</v>
      </c>
      <c r="C490">
        <f t="shared" si="228"/>
        <v>975</v>
      </c>
      <c r="D490">
        <f t="shared" si="229"/>
        <v>41</v>
      </c>
      <c r="E490" s="2">
        <v>0</v>
      </c>
      <c r="F490">
        <f t="shared" si="230"/>
        <v>107</v>
      </c>
      <c r="G490">
        <f t="shared" si="231"/>
        <v>0.79700000000000004</v>
      </c>
      <c r="H490" s="3">
        <f t="shared" ref="H490:H524" si="237">0.05</f>
        <v>0.05</v>
      </c>
      <c r="I490" s="2">
        <v>2</v>
      </c>
      <c r="J490" s="2">
        <v>0</v>
      </c>
      <c r="K490" s="2">
        <v>1</v>
      </c>
      <c r="L490" s="16">
        <v>1</v>
      </c>
      <c r="M490" s="5">
        <f t="shared" si="232"/>
        <v>950</v>
      </c>
      <c r="N490" s="6">
        <f t="shared" si="233"/>
        <v>89.542950000000019</v>
      </c>
      <c r="O490">
        <f t="shared" si="234"/>
        <v>1374.75</v>
      </c>
      <c r="P490" s="7">
        <f t="shared" ref="P490:P524" si="238">O490/N490</f>
        <v>15.35296748655254</v>
      </c>
      <c r="Q490">
        <f>ROUNDUP(몬스터!$P$24/F490, 0)</f>
        <v>14</v>
      </c>
      <c r="R490" s="6">
        <f t="shared" si="235"/>
        <v>17.565872020075282</v>
      </c>
      <c r="S490" s="7">
        <f>B490/몬스터!$C$24*R490</f>
        <v>272.27101631116687</v>
      </c>
      <c r="U490">
        <f>ROUNDDOWN(R490*몬스터!$H$24, 0)*몬스터!$G$24*(1+몬스터!$I$24)</f>
        <v>1654.6949999999999</v>
      </c>
      <c r="V490" s="2">
        <f t="shared" ref="V490:V524" si="239">U490/O490</f>
        <v>1.2036333878887069</v>
      </c>
    </row>
    <row r="491" spans="1:22" x14ac:dyDescent="0.4">
      <c r="A491">
        <v>67</v>
      </c>
      <c r="B491" s="4">
        <f>170*A491</f>
        <v>11390</v>
      </c>
      <c r="C491">
        <f t="shared" si="228"/>
        <v>990</v>
      </c>
      <c r="D491">
        <f t="shared" si="229"/>
        <v>42</v>
      </c>
      <c r="E491" s="2">
        <v>0</v>
      </c>
      <c r="F491">
        <f t="shared" si="230"/>
        <v>108</v>
      </c>
      <c r="G491">
        <f t="shared" si="231"/>
        <v>0.79900000000000004</v>
      </c>
      <c r="H491" s="3">
        <f t="shared" si="237"/>
        <v>0.05</v>
      </c>
      <c r="I491" s="2">
        <v>2</v>
      </c>
      <c r="J491" s="2">
        <v>0</v>
      </c>
      <c r="K491" s="2">
        <v>1</v>
      </c>
      <c r="L491" s="16">
        <v>1</v>
      </c>
      <c r="M491" s="5">
        <f t="shared" si="232"/>
        <v>960</v>
      </c>
      <c r="N491" s="6">
        <f t="shared" si="233"/>
        <v>90.6066</v>
      </c>
      <c r="O491">
        <f t="shared" si="234"/>
        <v>1405.8</v>
      </c>
      <c r="P491" s="7">
        <f t="shared" si="238"/>
        <v>15.515426028567456</v>
      </c>
      <c r="Q491">
        <f>ROUNDUP(몬스터!$P$24/F491, 0)</f>
        <v>14</v>
      </c>
      <c r="R491" s="6">
        <f t="shared" si="235"/>
        <v>17.521902377972463</v>
      </c>
      <c r="S491" s="7">
        <f>B491/몬스터!$C$24*R491</f>
        <v>293.49186483103875</v>
      </c>
      <c r="U491">
        <f>ROUNDDOWN(R491*몬스터!$H$24, 0)*몬스터!$G$24*(1+몬스터!$I$24)</f>
        <v>1654.6949999999999</v>
      </c>
      <c r="V491" s="2">
        <f t="shared" si="239"/>
        <v>1.1770486555697823</v>
      </c>
    </row>
    <row r="492" spans="1:22" x14ac:dyDescent="0.4">
      <c r="A492">
        <v>68</v>
      </c>
      <c r="B492" s="4">
        <f>170*A492</f>
        <v>11560</v>
      </c>
      <c r="C492">
        <f t="shared" si="228"/>
        <v>1000</v>
      </c>
      <c r="D492">
        <f t="shared" si="229"/>
        <v>42</v>
      </c>
      <c r="E492" s="2">
        <v>0</v>
      </c>
      <c r="F492">
        <f t="shared" si="230"/>
        <v>109</v>
      </c>
      <c r="G492">
        <f t="shared" si="231"/>
        <v>0.80100000000000005</v>
      </c>
      <c r="H492" s="3">
        <f t="shared" si="237"/>
        <v>0.05</v>
      </c>
      <c r="I492" s="2">
        <v>2</v>
      </c>
      <c r="J492" s="2">
        <v>0</v>
      </c>
      <c r="K492" s="2">
        <v>1</v>
      </c>
      <c r="L492" s="16">
        <v>1</v>
      </c>
      <c r="M492" s="5">
        <f t="shared" si="232"/>
        <v>970</v>
      </c>
      <c r="N492" s="6">
        <f t="shared" si="233"/>
        <v>91.674450000000022</v>
      </c>
      <c r="O492">
        <f t="shared" si="234"/>
        <v>1420</v>
      </c>
      <c r="P492" s="7">
        <f t="shared" si="238"/>
        <v>15.489593883573882</v>
      </c>
      <c r="Q492">
        <f>ROUNDUP(몬스터!$P$24/F492, 0)</f>
        <v>14</v>
      </c>
      <c r="R492" s="6">
        <f t="shared" si="235"/>
        <v>17.478152309612984</v>
      </c>
      <c r="S492" s="7">
        <f>B492/몬스터!$C$24*R492</f>
        <v>297.12858926342074</v>
      </c>
      <c r="U492">
        <f>ROUNDDOWN(R492*몬스터!$H$24, 0)*몬스터!$G$24*(1+몬스터!$I$24)</f>
        <v>1654.6949999999999</v>
      </c>
      <c r="V492" s="2">
        <f t="shared" si="239"/>
        <v>1.1652781690140845</v>
      </c>
    </row>
    <row r="493" spans="1:22" x14ac:dyDescent="0.4">
      <c r="A493">
        <v>69</v>
      </c>
      <c r="B493" s="4">
        <f>170*A493</f>
        <v>11730</v>
      </c>
      <c r="C493">
        <f t="shared" si="228"/>
        <v>1010</v>
      </c>
      <c r="D493">
        <f t="shared" si="229"/>
        <v>42</v>
      </c>
      <c r="E493" s="2">
        <v>0</v>
      </c>
      <c r="F493">
        <f t="shared" si="230"/>
        <v>111</v>
      </c>
      <c r="G493">
        <f t="shared" si="231"/>
        <v>0.80300000000000005</v>
      </c>
      <c r="H493" s="3">
        <f t="shared" si="237"/>
        <v>0.05</v>
      </c>
      <c r="I493" s="2">
        <v>2</v>
      </c>
      <c r="J493" s="2">
        <v>0</v>
      </c>
      <c r="K493" s="2">
        <v>1</v>
      </c>
      <c r="L493" s="16">
        <v>1</v>
      </c>
      <c r="M493" s="5">
        <f t="shared" si="232"/>
        <v>980</v>
      </c>
      <c r="N493" s="6">
        <f t="shared" si="233"/>
        <v>93.58965000000002</v>
      </c>
      <c r="O493">
        <f t="shared" si="234"/>
        <v>1434.1999999999998</v>
      </c>
      <c r="P493" s="7">
        <f t="shared" si="238"/>
        <v>15.324344091467374</v>
      </c>
      <c r="Q493">
        <f>ROUNDUP(몬스터!$P$24/F493, 0)</f>
        <v>14</v>
      </c>
      <c r="R493" s="6">
        <f t="shared" si="235"/>
        <v>17.4346201743462</v>
      </c>
      <c r="S493" s="7">
        <f>B493/몬스터!$C$24*R493</f>
        <v>300.74719800747198</v>
      </c>
      <c r="U493">
        <f>ROUNDDOWN(R493*몬스터!$H$24, 0)*몬스터!$G$24*(1+몬스터!$I$24)</f>
        <v>1654.6949999999999</v>
      </c>
      <c r="V493" s="2">
        <f t="shared" si="239"/>
        <v>1.1537407614000839</v>
      </c>
    </row>
    <row r="494" spans="1:22" x14ac:dyDescent="0.4">
      <c r="A494">
        <v>70</v>
      </c>
      <c r="B494" s="4">
        <f>170*A494</f>
        <v>11900</v>
      </c>
      <c r="C494">
        <f t="shared" si="228"/>
        <v>1025</v>
      </c>
      <c r="D494">
        <f t="shared" si="229"/>
        <v>43</v>
      </c>
      <c r="E494" s="2">
        <v>0</v>
      </c>
      <c r="F494">
        <f t="shared" si="230"/>
        <v>112</v>
      </c>
      <c r="G494">
        <f t="shared" si="231"/>
        <v>0.80500000000000005</v>
      </c>
      <c r="H494" s="3">
        <f t="shared" si="237"/>
        <v>0.05</v>
      </c>
      <c r="I494" s="2">
        <v>2</v>
      </c>
      <c r="J494" s="2">
        <v>0</v>
      </c>
      <c r="K494" s="2">
        <v>1</v>
      </c>
      <c r="L494" s="16">
        <v>1</v>
      </c>
      <c r="M494" s="5">
        <f t="shared" si="232"/>
        <v>990</v>
      </c>
      <c r="N494" s="6">
        <f t="shared" si="233"/>
        <v>94.668000000000021</v>
      </c>
      <c r="O494">
        <f t="shared" si="234"/>
        <v>1465.75</v>
      </c>
      <c r="P494" s="7">
        <f t="shared" si="238"/>
        <v>15.483056576667931</v>
      </c>
      <c r="Q494">
        <f>ROUNDUP(몬스터!$P$24/F494, 0)</f>
        <v>14</v>
      </c>
      <c r="R494" s="6">
        <f t="shared" si="235"/>
        <v>17.391304347826086</v>
      </c>
      <c r="S494" s="7">
        <f>B494/몬스터!$C$24*R494</f>
        <v>304.3478260869565</v>
      </c>
      <c r="T494" s="7">
        <f t="shared" ref="T494" si="240">SUM(S490:S494)</f>
        <v>1467.986494500055</v>
      </c>
      <c r="U494">
        <f>ROUNDDOWN(R494*몬스터!$H$24, 0)*몬스터!$G$24*(1+몬스터!$I$24)</f>
        <v>1654.6949999999999</v>
      </c>
      <c r="V494" s="2">
        <f t="shared" si="239"/>
        <v>1.1289067030530444</v>
      </c>
    </row>
    <row r="495" spans="1:22" x14ac:dyDescent="0.4">
      <c r="A495">
        <v>71</v>
      </c>
      <c r="B495" s="4">
        <f>160*A495</f>
        <v>11360</v>
      </c>
      <c r="C495">
        <f t="shared" si="228"/>
        <v>1035</v>
      </c>
      <c r="D495">
        <f t="shared" si="229"/>
        <v>43</v>
      </c>
      <c r="E495" s="2">
        <v>0</v>
      </c>
      <c r="F495">
        <f t="shared" si="230"/>
        <v>113</v>
      </c>
      <c r="G495">
        <f t="shared" si="231"/>
        <v>0.80700000000000005</v>
      </c>
      <c r="H495" s="3">
        <f t="shared" si="237"/>
        <v>0.05</v>
      </c>
      <c r="I495" s="2">
        <v>2</v>
      </c>
      <c r="J495" s="2">
        <v>0</v>
      </c>
      <c r="K495" s="2">
        <v>1</v>
      </c>
      <c r="L495" s="16">
        <v>1</v>
      </c>
      <c r="M495" s="5">
        <f t="shared" si="232"/>
        <v>1000</v>
      </c>
      <c r="N495" s="6">
        <f t="shared" si="233"/>
        <v>95.750550000000004</v>
      </c>
      <c r="O495">
        <f t="shared" si="234"/>
        <v>1480.05</v>
      </c>
      <c r="P495" s="7">
        <f t="shared" si="238"/>
        <v>15.457352464293937</v>
      </c>
      <c r="Q495">
        <f>ROUNDUP(몬스터!$P$25/F495, 0)</f>
        <v>15</v>
      </c>
      <c r="R495" s="6">
        <f t="shared" si="235"/>
        <v>18.587360594795538</v>
      </c>
      <c r="S495" s="7">
        <f>B495/몬스터!$C$25*R495</f>
        <v>289.24988542037988</v>
      </c>
      <c r="U495">
        <f>ROUNDDOWN(R495*몬스터!$H$25, 0)*몬스터!$G$25*(1+몬스터!$I$25)</f>
        <v>1923.075</v>
      </c>
      <c r="V495" s="2">
        <f t="shared" si="239"/>
        <v>1.2993311036789299</v>
      </c>
    </row>
    <row r="496" spans="1:22" x14ac:dyDescent="0.4">
      <c r="A496">
        <v>72</v>
      </c>
      <c r="B496" s="4">
        <f>160*A496</f>
        <v>11520</v>
      </c>
      <c r="C496">
        <f t="shared" si="228"/>
        <v>1050</v>
      </c>
      <c r="D496">
        <f t="shared" si="229"/>
        <v>43</v>
      </c>
      <c r="E496" s="2">
        <v>0</v>
      </c>
      <c r="F496">
        <f t="shared" si="230"/>
        <v>115</v>
      </c>
      <c r="G496">
        <f t="shared" si="231"/>
        <v>0.80900000000000005</v>
      </c>
      <c r="H496" s="3">
        <f t="shared" si="237"/>
        <v>0.05</v>
      </c>
      <c r="I496" s="2">
        <v>2</v>
      </c>
      <c r="J496" s="2">
        <v>0</v>
      </c>
      <c r="K496" s="2">
        <v>1</v>
      </c>
      <c r="L496" s="16">
        <v>1</v>
      </c>
      <c r="M496" s="5">
        <f t="shared" si="232"/>
        <v>1010</v>
      </c>
      <c r="N496" s="6">
        <f t="shared" si="233"/>
        <v>97.686750000000018</v>
      </c>
      <c r="O496">
        <f t="shared" si="234"/>
        <v>1501.5</v>
      </c>
      <c r="P496" s="7">
        <f t="shared" si="238"/>
        <v>15.370559466867306</v>
      </c>
      <c r="Q496">
        <f>ROUNDUP(몬스터!$P$25/F496, 0)</f>
        <v>15</v>
      </c>
      <c r="R496" s="6">
        <f t="shared" si="235"/>
        <v>18.541409147095177</v>
      </c>
      <c r="S496" s="7">
        <f>B496/몬스터!$C$25*R496</f>
        <v>292.59867585552934</v>
      </c>
      <c r="U496">
        <f>ROUNDDOWN(R496*몬스터!$H$25, 0)*몬스터!$G$25*(1+몬스터!$I$25)</f>
        <v>1923.075</v>
      </c>
      <c r="V496" s="2">
        <f t="shared" si="239"/>
        <v>1.2807692307692309</v>
      </c>
    </row>
    <row r="497" spans="1:22" x14ac:dyDescent="0.4">
      <c r="A497">
        <v>73</v>
      </c>
      <c r="B497" s="4">
        <f>160*A497</f>
        <v>11680</v>
      </c>
      <c r="C497">
        <f t="shared" si="228"/>
        <v>1060</v>
      </c>
      <c r="D497">
        <f t="shared" si="229"/>
        <v>43</v>
      </c>
      <c r="E497" s="2">
        <v>0</v>
      </c>
      <c r="F497">
        <f t="shared" si="230"/>
        <v>116</v>
      </c>
      <c r="G497">
        <f t="shared" si="231"/>
        <v>0.81100000000000005</v>
      </c>
      <c r="H497" s="3">
        <f t="shared" si="237"/>
        <v>0.05</v>
      </c>
      <c r="I497" s="2">
        <v>2</v>
      </c>
      <c r="J497" s="2">
        <v>0</v>
      </c>
      <c r="K497" s="2">
        <v>1</v>
      </c>
      <c r="L497" s="16">
        <v>1</v>
      </c>
      <c r="M497" s="5">
        <f t="shared" si="232"/>
        <v>1020</v>
      </c>
      <c r="N497" s="6">
        <f t="shared" si="233"/>
        <v>98.779800000000009</v>
      </c>
      <c r="O497">
        <f t="shared" si="234"/>
        <v>1515.8</v>
      </c>
      <c r="P497" s="7">
        <f t="shared" si="238"/>
        <v>15.345242650825369</v>
      </c>
      <c r="Q497">
        <f>ROUNDUP(몬스터!$P$25/F497, 0)</f>
        <v>15</v>
      </c>
      <c r="R497" s="6">
        <f t="shared" si="235"/>
        <v>18.49568434032059</v>
      </c>
      <c r="S497" s="7">
        <f>B497/몬스터!$C$25*R497</f>
        <v>295.93094944512944</v>
      </c>
      <c r="U497">
        <f>ROUNDDOWN(R497*몬스터!$H$25, 0)*몬스터!$G$25*(1+몬스터!$I$25)</f>
        <v>1923.075</v>
      </c>
      <c r="V497" s="2">
        <f t="shared" si="239"/>
        <v>1.2686865021770684</v>
      </c>
    </row>
    <row r="498" spans="1:22" x14ac:dyDescent="0.4">
      <c r="A498">
        <v>74</v>
      </c>
      <c r="B498" s="4">
        <f>160*A498</f>
        <v>11840</v>
      </c>
      <c r="C498">
        <f t="shared" si="228"/>
        <v>1075</v>
      </c>
      <c r="D498">
        <f t="shared" si="229"/>
        <v>44</v>
      </c>
      <c r="E498" s="2">
        <v>0</v>
      </c>
      <c r="F498">
        <f t="shared" si="230"/>
        <v>117</v>
      </c>
      <c r="G498">
        <f t="shared" si="231"/>
        <v>0.81300000000000006</v>
      </c>
      <c r="H498" s="3">
        <f t="shared" si="237"/>
        <v>0.05</v>
      </c>
      <c r="I498" s="2">
        <v>2</v>
      </c>
      <c r="J498" s="2">
        <v>0</v>
      </c>
      <c r="K498" s="2">
        <v>1</v>
      </c>
      <c r="L498" s="16">
        <v>1</v>
      </c>
      <c r="M498" s="5">
        <f t="shared" si="232"/>
        <v>1030</v>
      </c>
      <c r="N498" s="6">
        <f t="shared" si="233"/>
        <v>99.877050000000011</v>
      </c>
      <c r="O498">
        <f t="shared" si="234"/>
        <v>1548</v>
      </c>
      <c r="P498" s="7">
        <f t="shared" si="238"/>
        <v>15.499056089461991</v>
      </c>
      <c r="Q498">
        <f>ROUNDUP(몬스터!$P$25/F498, 0)</f>
        <v>15</v>
      </c>
      <c r="R498" s="6">
        <f t="shared" si="235"/>
        <v>18.450184501845015</v>
      </c>
      <c r="S498" s="7">
        <f>B498/몬스터!$C$25*R498</f>
        <v>299.2468280847192</v>
      </c>
      <c r="U498">
        <f>ROUNDDOWN(R498*몬스터!$H$25, 0)*몬스터!$G$25*(1+몬스터!$I$25)</f>
        <v>1923.075</v>
      </c>
      <c r="V498" s="2">
        <f t="shared" si="239"/>
        <v>1.242296511627907</v>
      </c>
    </row>
    <row r="499" spans="1:22" x14ac:dyDescent="0.4">
      <c r="A499">
        <v>75</v>
      </c>
      <c r="B499" s="4">
        <f>160*A499</f>
        <v>12000</v>
      </c>
      <c r="C499">
        <f t="shared" si="228"/>
        <v>1085</v>
      </c>
      <c r="D499">
        <f t="shared" si="229"/>
        <v>44</v>
      </c>
      <c r="E499" s="2">
        <v>0</v>
      </c>
      <c r="F499">
        <f t="shared" si="230"/>
        <v>119</v>
      </c>
      <c r="G499">
        <f t="shared" si="231"/>
        <v>0.81500000000000006</v>
      </c>
      <c r="H499" s="3">
        <f t="shared" si="237"/>
        <v>0.05</v>
      </c>
      <c r="I499" s="2">
        <v>2</v>
      </c>
      <c r="J499" s="2">
        <v>0</v>
      </c>
      <c r="K499" s="2">
        <v>1</v>
      </c>
      <c r="L499" s="16">
        <v>1</v>
      </c>
      <c r="M499" s="5">
        <f t="shared" si="232"/>
        <v>1040</v>
      </c>
      <c r="N499" s="6">
        <f t="shared" si="233"/>
        <v>101.83425000000003</v>
      </c>
      <c r="O499">
        <f t="shared" si="234"/>
        <v>1562.3999999999999</v>
      </c>
      <c r="P499" s="7">
        <f t="shared" si="238"/>
        <v>15.342578749291123</v>
      </c>
      <c r="Q499">
        <f>ROUNDUP(몬스터!$P$25/F499, 0)</f>
        <v>14</v>
      </c>
      <c r="R499" s="6">
        <f t="shared" si="235"/>
        <v>17.177914110429448</v>
      </c>
      <c r="S499" s="7">
        <f>B499/몬스터!$C$25*R499</f>
        <v>282.37667030842931</v>
      </c>
      <c r="T499" s="7">
        <f t="shared" ref="T499" si="241">SUM(S495:S499)</f>
        <v>1459.4030091141872</v>
      </c>
      <c r="U499">
        <f>ROUNDDOWN(R499*몬스터!$H$25, 0)*몬스터!$G$25*(1+몬스터!$I$25)</f>
        <v>1794.8700000000001</v>
      </c>
      <c r="V499" s="2">
        <f t="shared" si="239"/>
        <v>1.1487903225806453</v>
      </c>
    </row>
    <row r="500" spans="1:22" x14ac:dyDescent="0.4">
      <c r="A500">
        <v>76</v>
      </c>
      <c r="B500" s="4">
        <f>170*A500</f>
        <v>12920</v>
      </c>
      <c r="C500">
        <f t="shared" si="228"/>
        <v>1100</v>
      </c>
      <c r="D500">
        <f t="shared" si="229"/>
        <v>44</v>
      </c>
      <c r="E500" s="2">
        <v>0</v>
      </c>
      <c r="F500">
        <f t="shared" si="230"/>
        <v>120</v>
      </c>
      <c r="G500">
        <f t="shared" si="231"/>
        <v>0.81700000000000006</v>
      </c>
      <c r="H500" s="3">
        <f t="shared" si="237"/>
        <v>0.05</v>
      </c>
      <c r="I500" s="2">
        <v>2</v>
      </c>
      <c r="J500" s="2">
        <v>0</v>
      </c>
      <c r="K500" s="2">
        <v>1</v>
      </c>
      <c r="L500" s="16">
        <v>1</v>
      </c>
      <c r="M500" s="5">
        <f t="shared" si="232"/>
        <v>1050</v>
      </c>
      <c r="N500" s="6">
        <f t="shared" si="233"/>
        <v>102.94200000000001</v>
      </c>
      <c r="O500">
        <f t="shared" si="234"/>
        <v>1584</v>
      </c>
      <c r="P500" s="7">
        <f t="shared" si="238"/>
        <v>15.387305472984787</v>
      </c>
      <c r="Q500">
        <f>ROUNDUP(몬스터!$P$26/F500, 0)</f>
        <v>16</v>
      </c>
      <c r="R500" s="6">
        <f t="shared" si="235"/>
        <v>19.583843329253366</v>
      </c>
      <c r="S500" s="7">
        <f>B500/몬스터!$C$26*R500</f>
        <v>324.38878950506859</v>
      </c>
      <c r="U500">
        <f>ROUNDDOWN(R500*몬스터!$H$26, 0)*몬스터!$G$26*(1+몬스터!$I$26)</f>
        <v>2194.8000000000002</v>
      </c>
      <c r="V500" s="2">
        <f t="shared" si="239"/>
        <v>1.3856060606060607</v>
      </c>
    </row>
    <row r="501" spans="1:22" x14ac:dyDescent="0.4">
      <c r="A501">
        <v>77</v>
      </c>
      <c r="B501" s="4">
        <f>170*A501</f>
        <v>13090</v>
      </c>
      <c r="C501">
        <f t="shared" si="228"/>
        <v>1110</v>
      </c>
      <c r="D501">
        <f t="shared" si="229"/>
        <v>45</v>
      </c>
      <c r="E501" s="2">
        <v>0</v>
      </c>
      <c r="F501">
        <f t="shared" si="230"/>
        <v>121</v>
      </c>
      <c r="G501">
        <f t="shared" si="231"/>
        <v>0.81900000000000006</v>
      </c>
      <c r="H501" s="3">
        <f t="shared" si="237"/>
        <v>0.05</v>
      </c>
      <c r="I501" s="2">
        <v>2</v>
      </c>
      <c r="J501" s="2">
        <v>0</v>
      </c>
      <c r="K501" s="2">
        <v>1</v>
      </c>
      <c r="L501" s="16">
        <v>1</v>
      </c>
      <c r="M501" s="5">
        <f t="shared" si="232"/>
        <v>1060</v>
      </c>
      <c r="N501" s="6">
        <f t="shared" si="233"/>
        <v>104.05395000000001</v>
      </c>
      <c r="O501">
        <f t="shared" si="234"/>
        <v>1609.5</v>
      </c>
      <c r="P501" s="7">
        <f t="shared" si="238"/>
        <v>15.467937545859622</v>
      </c>
      <c r="Q501">
        <f>ROUNDUP(몬스터!$P$26/F501, 0)</f>
        <v>15</v>
      </c>
      <c r="R501" s="6">
        <f t="shared" si="235"/>
        <v>18.315018315018314</v>
      </c>
      <c r="S501" s="7">
        <f>B501/몬스터!$C$26*R501</f>
        <v>307.36357659434577</v>
      </c>
      <c r="U501">
        <f>ROUNDDOWN(R501*몬스터!$H$26, 0)*몬스터!$G$26*(1+몬스터!$I$26)</f>
        <v>2057.625</v>
      </c>
      <c r="V501" s="2">
        <f t="shared" si="239"/>
        <v>1.2784249767008389</v>
      </c>
    </row>
    <row r="502" spans="1:22" x14ac:dyDescent="0.4">
      <c r="A502">
        <v>78</v>
      </c>
      <c r="B502" s="4">
        <f>170*A502</f>
        <v>13260</v>
      </c>
      <c r="C502">
        <f t="shared" si="228"/>
        <v>1125</v>
      </c>
      <c r="D502">
        <f t="shared" si="229"/>
        <v>45</v>
      </c>
      <c r="E502" s="2">
        <v>0</v>
      </c>
      <c r="F502">
        <f t="shared" si="230"/>
        <v>123</v>
      </c>
      <c r="G502">
        <f t="shared" si="231"/>
        <v>0.82100000000000006</v>
      </c>
      <c r="H502" s="3">
        <f t="shared" si="237"/>
        <v>0.05</v>
      </c>
      <c r="I502" s="2">
        <v>2</v>
      </c>
      <c r="J502" s="2">
        <v>0</v>
      </c>
      <c r="K502" s="2">
        <v>1</v>
      </c>
      <c r="L502" s="16">
        <v>1</v>
      </c>
      <c r="M502" s="5">
        <f t="shared" si="232"/>
        <v>1070</v>
      </c>
      <c r="N502" s="6">
        <f t="shared" si="233"/>
        <v>106.03215000000002</v>
      </c>
      <c r="O502">
        <f t="shared" si="234"/>
        <v>1631.25</v>
      </c>
      <c r="P502" s="7">
        <f t="shared" si="238"/>
        <v>15.384484800129016</v>
      </c>
      <c r="Q502">
        <f>ROUNDUP(몬스터!$P$26/F502, 0)</f>
        <v>15</v>
      </c>
      <c r="R502" s="6">
        <f t="shared" si="235"/>
        <v>18.270401948842874</v>
      </c>
      <c r="S502" s="7">
        <f>B502/몬스터!$C$26*R502</f>
        <v>310.59683313032883</v>
      </c>
      <c r="U502">
        <f>ROUNDDOWN(R502*몬스터!$H$26, 0)*몬스터!$G$26*(1+몬스터!$I$26)</f>
        <v>2057.625</v>
      </c>
      <c r="V502" s="2">
        <f t="shared" si="239"/>
        <v>1.2613793103448276</v>
      </c>
    </row>
    <row r="503" spans="1:22" x14ac:dyDescent="0.4">
      <c r="A503">
        <v>79</v>
      </c>
      <c r="B503" s="4">
        <f>170*A503</f>
        <v>13430</v>
      </c>
      <c r="C503">
        <f t="shared" si="228"/>
        <v>1135</v>
      </c>
      <c r="D503">
        <f t="shared" si="229"/>
        <v>45</v>
      </c>
      <c r="E503" s="2">
        <v>0</v>
      </c>
      <c r="F503">
        <f t="shared" si="230"/>
        <v>124</v>
      </c>
      <c r="G503">
        <f t="shared" si="231"/>
        <v>0.82300000000000006</v>
      </c>
      <c r="H503" s="3">
        <f t="shared" si="237"/>
        <v>0.05</v>
      </c>
      <c r="I503" s="2">
        <v>2</v>
      </c>
      <c r="J503" s="2">
        <v>0</v>
      </c>
      <c r="K503" s="2">
        <v>1</v>
      </c>
      <c r="L503" s="16">
        <v>1</v>
      </c>
      <c r="M503" s="5">
        <f t="shared" si="232"/>
        <v>1080</v>
      </c>
      <c r="N503" s="6">
        <f t="shared" si="233"/>
        <v>107.15460000000002</v>
      </c>
      <c r="O503">
        <f t="shared" si="234"/>
        <v>1645.75</v>
      </c>
      <c r="P503" s="7">
        <f t="shared" si="238"/>
        <v>15.35865002529056</v>
      </c>
      <c r="Q503">
        <f>ROUNDUP(몬스터!$P$26/F503, 0)</f>
        <v>15</v>
      </c>
      <c r="R503" s="6">
        <f t="shared" si="235"/>
        <v>18.226002430133654</v>
      </c>
      <c r="S503" s="7">
        <f>B503/몬스터!$C$26*R503</f>
        <v>313.81437517525001</v>
      </c>
      <c r="U503">
        <f>ROUNDDOWN(R503*몬스터!$H$26, 0)*몬스터!$G$26*(1+몬스터!$I$26)</f>
        <v>2057.625</v>
      </c>
      <c r="V503" s="2">
        <f t="shared" si="239"/>
        <v>1.2502658362448731</v>
      </c>
    </row>
    <row r="504" spans="1:22" x14ac:dyDescent="0.4">
      <c r="A504">
        <v>80</v>
      </c>
      <c r="B504" s="4">
        <f>170*A504</f>
        <v>13600</v>
      </c>
      <c r="C504">
        <f t="shared" si="228"/>
        <v>1150</v>
      </c>
      <c r="D504">
        <f t="shared" si="229"/>
        <v>46</v>
      </c>
      <c r="E504" s="2">
        <v>0</v>
      </c>
      <c r="F504">
        <f t="shared" si="230"/>
        <v>125</v>
      </c>
      <c r="G504">
        <f t="shared" si="231"/>
        <v>0.82500000000000007</v>
      </c>
      <c r="H504" s="3">
        <f t="shared" si="237"/>
        <v>0.05</v>
      </c>
      <c r="I504" s="2">
        <v>2</v>
      </c>
      <c r="J504" s="2">
        <v>0</v>
      </c>
      <c r="K504" s="2">
        <v>1</v>
      </c>
      <c r="L504" s="16">
        <v>1</v>
      </c>
      <c r="M504" s="5">
        <f t="shared" si="232"/>
        <v>1090</v>
      </c>
      <c r="N504" s="6">
        <f t="shared" si="233"/>
        <v>108.28125000000001</v>
      </c>
      <c r="O504">
        <f t="shared" si="234"/>
        <v>1679</v>
      </c>
      <c r="P504" s="7">
        <f t="shared" si="238"/>
        <v>15.505916305916305</v>
      </c>
      <c r="Q504">
        <f>ROUNDUP(몬스터!$P$26/F504, 0)</f>
        <v>15</v>
      </c>
      <c r="R504" s="6">
        <f t="shared" si="235"/>
        <v>18.18181818181818</v>
      </c>
      <c r="S504" s="7">
        <f>B504/몬스터!$C$26*R504</f>
        <v>317.01631701631698</v>
      </c>
      <c r="T504" s="7">
        <f t="shared" ref="T504" si="242">SUM(S500:S504)</f>
        <v>1573.17989142131</v>
      </c>
      <c r="U504">
        <f>ROUNDDOWN(R504*몬스터!$H$26, 0)*몬스터!$G$26*(1+몬스터!$I$26)</f>
        <v>2057.625</v>
      </c>
      <c r="V504" s="2">
        <f t="shared" si="239"/>
        <v>1.2255062537224539</v>
      </c>
    </row>
    <row r="505" spans="1:22" x14ac:dyDescent="0.4">
      <c r="A505">
        <v>81</v>
      </c>
      <c r="B505" s="4">
        <f>160*A505</f>
        <v>12960</v>
      </c>
      <c r="C505">
        <f t="shared" si="228"/>
        <v>1160</v>
      </c>
      <c r="D505">
        <f t="shared" si="229"/>
        <v>46</v>
      </c>
      <c r="E505" s="2">
        <v>0</v>
      </c>
      <c r="F505">
        <f t="shared" si="230"/>
        <v>127</v>
      </c>
      <c r="G505">
        <f t="shared" si="231"/>
        <v>0.82700000000000007</v>
      </c>
      <c r="H505" s="3">
        <f t="shared" si="237"/>
        <v>0.05</v>
      </c>
      <c r="I505" s="2">
        <v>2</v>
      </c>
      <c r="J505" s="2">
        <v>0</v>
      </c>
      <c r="K505" s="2">
        <v>1</v>
      </c>
      <c r="L505" s="16">
        <v>1</v>
      </c>
      <c r="M505" s="5">
        <f t="shared" si="232"/>
        <v>1100</v>
      </c>
      <c r="N505" s="6">
        <f t="shared" si="233"/>
        <v>110.28045000000002</v>
      </c>
      <c r="O505">
        <f t="shared" si="234"/>
        <v>1693.6</v>
      </c>
      <c r="P505" s="7">
        <f t="shared" si="238"/>
        <v>15.357209732096665</v>
      </c>
      <c r="Q505">
        <f>ROUNDUP(몬스터!$P$29/F505, 0)</f>
        <v>16</v>
      </c>
      <c r="R505" s="6">
        <f t="shared" si="235"/>
        <v>19.347037484885124</v>
      </c>
      <c r="S505" s="7">
        <f>B505/몬스터!$C$29*R505</f>
        <v>302.09350096880871</v>
      </c>
      <c r="U505">
        <f>ROUNDDOWN(R505*몬스터!$H$29, 0)*몬스터!$G$29*(1+몬스터!$I$29)</f>
        <v>2358.7199999999998</v>
      </c>
      <c r="V505" s="2">
        <f t="shared" si="239"/>
        <v>1.3927255550307038</v>
      </c>
    </row>
    <row r="506" spans="1:22" x14ac:dyDescent="0.4">
      <c r="A506">
        <v>82</v>
      </c>
      <c r="B506" s="4">
        <f>160*A506</f>
        <v>13120</v>
      </c>
      <c r="C506">
        <f t="shared" si="228"/>
        <v>1175</v>
      </c>
      <c r="D506">
        <f t="shared" si="229"/>
        <v>46</v>
      </c>
      <c r="E506" s="2">
        <v>0</v>
      </c>
      <c r="F506">
        <f t="shared" si="230"/>
        <v>128</v>
      </c>
      <c r="G506">
        <f t="shared" si="231"/>
        <v>0.82900000000000007</v>
      </c>
      <c r="H506" s="3">
        <f t="shared" si="237"/>
        <v>0.05</v>
      </c>
      <c r="I506" s="2">
        <v>2</v>
      </c>
      <c r="J506" s="2">
        <v>0</v>
      </c>
      <c r="K506" s="2">
        <v>1</v>
      </c>
      <c r="L506" s="16">
        <v>1</v>
      </c>
      <c r="M506" s="5">
        <f t="shared" si="232"/>
        <v>1110</v>
      </c>
      <c r="N506" s="6">
        <f t="shared" si="233"/>
        <v>111.41760000000001</v>
      </c>
      <c r="O506">
        <f t="shared" si="234"/>
        <v>1715.5</v>
      </c>
      <c r="P506" s="7">
        <f t="shared" si="238"/>
        <v>15.397028835659714</v>
      </c>
      <c r="Q506">
        <f>ROUNDUP(몬스터!$P$29/F506, 0)</f>
        <v>16</v>
      </c>
      <c r="R506" s="6">
        <f t="shared" si="235"/>
        <v>19.300361881785282</v>
      </c>
      <c r="S506" s="7">
        <f>B506/몬스터!$C$29*R506</f>
        <v>305.08523842050948</v>
      </c>
      <c r="U506">
        <f>ROUNDDOWN(R506*몬스터!$H$29, 0)*몬스터!$G$29*(1+몬스터!$I$29)</f>
        <v>2358.7199999999998</v>
      </c>
      <c r="V506" s="2">
        <f t="shared" si="239"/>
        <v>1.374946079860099</v>
      </c>
    </row>
    <row r="507" spans="1:22" x14ac:dyDescent="0.4">
      <c r="A507">
        <v>83</v>
      </c>
      <c r="B507" s="4">
        <f>160*A507</f>
        <v>13280</v>
      </c>
      <c r="C507">
        <f t="shared" si="228"/>
        <v>1185</v>
      </c>
      <c r="D507">
        <f t="shared" si="229"/>
        <v>46</v>
      </c>
      <c r="E507" s="2">
        <v>0</v>
      </c>
      <c r="F507">
        <f t="shared" si="230"/>
        <v>129</v>
      </c>
      <c r="G507">
        <f t="shared" si="231"/>
        <v>0.83100000000000007</v>
      </c>
      <c r="H507" s="3">
        <f t="shared" si="237"/>
        <v>0.05</v>
      </c>
      <c r="I507" s="2">
        <v>2</v>
      </c>
      <c r="J507" s="2">
        <v>0</v>
      </c>
      <c r="K507" s="2">
        <v>1</v>
      </c>
      <c r="L507" s="16">
        <v>1</v>
      </c>
      <c r="M507" s="5">
        <f t="shared" si="232"/>
        <v>1120</v>
      </c>
      <c r="N507" s="6">
        <f t="shared" si="233"/>
        <v>112.55895000000002</v>
      </c>
      <c r="O507">
        <f t="shared" si="234"/>
        <v>1730.1</v>
      </c>
      <c r="P507" s="7">
        <f t="shared" si="238"/>
        <v>15.370612465734618</v>
      </c>
      <c r="Q507">
        <f>ROUNDUP(몬스터!$P$29/F507, 0)</f>
        <v>16</v>
      </c>
      <c r="R507" s="6">
        <f t="shared" si="235"/>
        <v>19.253910950661851</v>
      </c>
      <c r="S507" s="7">
        <f>B507/몬스터!$C$29*R507</f>
        <v>308.06257521058961</v>
      </c>
      <c r="U507">
        <f>ROUNDDOWN(R507*몬스터!$H$29, 0)*몬스터!$G$29*(1+몬스터!$I$29)</f>
        <v>2358.7199999999998</v>
      </c>
      <c r="V507" s="2">
        <f t="shared" si="239"/>
        <v>1.3633431593549505</v>
      </c>
    </row>
    <row r="508" spans="1:22" x14ac:dyDescent="0.4">
      <c r="A508">
        <v>84</v>
      </c>
      <c r="B508" s="4">
        <f>160*A508</f>
        <v>13440</v>
      </c>
      <c r="C508">
        <f t="shared" si="228"/>
        <v>1195</v>
      </c>
      <c r="D508">
        <f t="shared" si="229"/>
        <v>47</v>
      </c>
      <c r="E508" s="2">
        <v>0</v>
      </c>
      <c r="F508">
        <f t="shared" si="230"/>
        <v>131</v>
      </c>
      <c r="G508">
        <f t="shared" si="231"/>
        <v>0.83300000000000007</v>
      </c>
      <c r="H508" s="3">
        <f t="shared" si="237"/>
        <v>0.05</v>
      </c>
      <c r="I508" s="2">
        <v>2</v>
      </c>
      <c r="J508" s="2">
        <v>0</v>
      </c>
      <c r="K508" s="2">
        <v>1</v>
      </c>
      <c r="L508" s="16">
        <v>1</v>
      </c>
      <c r="M508" s="5">
        <f t="shared" si="232"/>
        <v>1130</v>
      </c>
      <c r="N508" s="6">
        <f t="shared" si="233"/>
        <v>114.57915000000001</v>
      </c>
      <c r="O508">
        <f t="shared" si="234"/>
        <v>1756.6499999999999</v>
      </c>
      <c r="P508" s="7">
        <f t="shared" si="238"/>
        <v>15.33132336904227</v>
      </c>
      <c r="Q508">
        <f>ROUNDUP(몬스터!$P$29/F508, 0)</f>
        <v>16</v>
      </c>
      <c r="R508" s="6">
        <f t="shared" si="235"/>
        <v>19.20768307322929</v>
      </c>
      <c r="S508" s="7">
        <f>B508/몬스터!$C$29*R508</f>
        <v>311.02561506530321</v>
      </c>
      <c r="U508">
        <f>ROUNDDOWN(R508*몬스터!$H$29, 0)*몬스터!$G$29*(1+몬스터!$I$29)</f>
        <v>2358.7199999999998</v>
      </c>
      <c r="V508" s="2">
        <f t="shared" si="239"/>
        <v>1.3427375971309026</v>
      </c>
    </row>
    <row r="509" spans="1:22" x14ac:dyDescent="0.4">
      <c r="A509">
        <v>85</v>
      </c>
      <c r="B509" s="4">
        <f>160*A509</f>
        <v>13600</v>
      </c>
      <c r="C509">
        <f t="shared" si="228"/>
        <v>1210</v>
      </c>
      <c r="D509">
        <f t="shared" si="229"/>
        <v>47</v>
      </c>
      <c r="E509" s="2">
        <v>0</v>
      </c>
      <c r="F509">
        <f t="shared" si="230"/>
        <v>132</v>
      </c>
      <c r="G509">
        <f t="shared" si="231"/>
        <v>0.83500000000000008</v>
      </c>
      <c r="H509" s="3">
        <f t="shared" si="237"/>
        <v>0.05</v>
      </c>
      <c r="I509" s="2">
        <v>2</v>
      </c>
      <c r="J509" s="2">
        <v>0</v>
      </c>
      <c r="K509" s="2">
        <v>1</v>
      </c>
      <c r="L509" s="16">
        <v>1</v>
      </c>
      <c r="M509" s="5">
        <f t="shared" si="232"/>
        <v>1140</v>
      </c>
      <c r="N509" s="6">
        <f t="shared" si="233"/>
        <v>115.73100000000002</v>
      </c>
      <c r="O509">
        <f t="shared" si="234"/>
        <v>1778.7</v>
      </c>
      <c r="P509" s="7">
        <f t="shared" si="238"/>
        <v>15.369261477045905</v>
      </c>
      <c r="Q509">
        <f>ROUNDUP(몬스터!$P$29/F509, 0)</f>
        <v>15</v>
      </c>
      <c r="R509" s="6">
        <f t="shared" si="235"/>
        <v>17.964071856287422</v>
      </c>
      <c r="S509" s="7">
        <f>B509/몬스터!$C$29*R509</f>
        <v>294.35105692229996</v>
      </c>
      <c r="T509" s="7">
        <f t="shared" ref="T509" si="243">SUM(S505:S509)</f>
        <v>1520.617986587511</v>
      </c>
      <c r="U509">
        <f>ROUNDDOWN(R509*몬스터!$H$29, 0)*몬스터!$G$29*(1+몬스터!$I$29)</f>
        <v>2211.2999999999997</v>
      </c>
      <c r="V509" s="2">
        <f t="shared" si="239"/>
        <v>1.2432113341204249</v>
      </c>
    </row>
    <row r="510" spans="1:22" x14ac:dyDescent="0.4">
      <c r="A510">
        <v>86</v>
      </c>
      <c r="B510" s="4">
        <f>170*A510</f>
        <v>14620</v>
      </c>
      <c r="C510">
        <f t="shared" si="228"/>
        <v>1220</v>
      </c>
      <c r="D510">
        <f t="shared" si="229"/>
        <v>47</v>
      </c>
      <c r="E510" s="2">
        <v>0</v>
      </c>
      <c r="F510">
        <f t="shared" si="230"/>
        <v>133</v>
      </c>
      <c r="G510">
        <f t="shared" si="231"/>
        <v>0.83700000000000008</v>
      </c>
      <c r="H510" s="3">
        <f t="shared" si="237"/>
        <v>0.05</v>
      </c>
      <c r="I510" s="2">
        <v>2</v>
      </c>
      <c r="J510" s="2">
        <v>0</v>
      </c>
      <c r="K510" s="2">
        <v>1</v>
      </c>
      <c r="L510" s="16">
        <v>1</v>
      </c>
      <c r="M510" s="5">
        <f t="shared" si="232"/>
        <v>1150</v>
      </c>
      <c r="N510" s="6">
        <f t="shared" si="233"/>
        <v>116.88705000000002</v>
      </c>
      <c r="O510">
        <f t="shared" si="234"/>
        <v>1793.3999999999999</v>
      </c>
      <c r="P510" s="7">
        <f t="shared" si="238"/>
        <v>15.343017040809906</v>
      </c>
      <c r="Q510">
        <f>ROUNDUP(몬스터!$P$30/F510, 0)</f>
        <v>17</v>
      </c>
      <c r="R510" s="6">
        <f t="shared" si="235"/>
        <v>20.310633213859017</v>
      </c>
      <c r="S510" s="7">
        <f>B510/몬스터!$C$30*R510</f>
        <v>337.43347453024865</v>
      </c>
      <c r="U510">
        <f>ROUNDDOWN(R510*몬스터!$H$30, 0)*몬스터!$G$30*(1+몬스터!$I$30)</f>
        <v>2662.3274999999999</v>
      </c>
      <c r="V510" s="2">
        <f t="shared" si="239"/>
        <v>1.4845140515222484</v>
      </c>
    </row>
    <row r="511" spans="1:22" x14ac:dyDescent="0.4">
      <c r="A511">
        <v>87</v>
      </c>
      <c r="B511" s="4">
        <f>170*A511</f>
        <v>14790</v>
      </c>
      <c r="C511">
        <f t="shared" si="228"/>
        <v>1235</v>
      </c>
      <c r="D511">
        <f t="shared" si="229"/>
        <v>48</v>
      </c>
      <c r="E511" s="2">
        <v>0</v>
      </c>
      <c r="F511">
        <f t="shared" si="230"/>
        <v>135</v>
      </c>
      <c r="G511">
        <f t="shared" si="231"/>
        <v>0.83900000000000008</v>
      </c>
      <c r="H511" s="3">
        <f t="shared" si="237"/>
        <v>0.05</v>
      </c>
      <c r="I511" s="2">
        <v>2</v>
      </c>
      <c r="J511" s="2">
        <v>0</v>
      </c>
      <c r="K511" s="2">
        <v>1</v>
      </c>
      <c r="L511" s="16">
        <v>1</v>
      </c>
      <c r="M511" s="5">
        <f t="shared" si="232"/>
        <v>1160</v>
      </c>
      <c r="N511" s="6">
        <f t="shared" si="233"/>
        <v>118.92825000000002</v>
      </c>
      <c r="O511">
        <f t="shared" si="234"/>
        <v>1827.8</v>
      </c>
      <c r="P511" s="7">
        <f t="shared" si="238"/>
        <v>15.368930426538688</v>
      </c>
      <c r="Q511">
        <f>ROUNDUP(몬스터!$P$30/F511, 0)</f>
        <v>16</v>
      </c>
      <c r="R511" s="6">
        <f t="shared" si="235"/>
        <v>19.070321811680571</v>
      </c>
      <c r="S511" s="7">
        <f>B511/몬스터!$C$30*R511</f>
        <v>320.51143135767688</v>
      </c>
      <c r="U511">
        <f>ROUNDDOWN(R511*몬스터!$H$30, 0)*몬스터!$G$30*(1+몬스터!$I$30)</f>
        <v>2505.7199999999998</v>
      </c>
      <c r="V511" s="2">
        <f t="shared" si="239"/>
        <v>1.3708939708939709</v>
      </c>
    </row>
    <row r="512" spans="1:22" x14ac:dyDescent="0.4">
      <c r="A512">
        <v>88</v>
      </c>
      <c r="B512" s="4">
        <f>170*A512</f>
        <v>14960</v>
      </c>
      <c r="C512">
        <f t="shared" si="228"/>
        <v>1245</v>
      </c>
      <c r="D512">
        <f t="shared" si="229"/>
        <v>48</v>
      </c>
      <c r="E512" s="2">
        <v>0</v>
      </c>
      <c r="F512">
        <f t="shared" si="230"/>
        <v>136</v>
      </c>
      <c r="G512">
        <f t="shared" si="231"/>
        <v>0.84099999999999997</v>
      </c>
      <c r="H512" s="3">
        <f t="shared" si="237"/>
        <v>0.05</v>
      </c>
      <c r="I512" s="2">
        <v>2</v>
      </c>
      <c r="J512" s="2">
        <v>0</v>
      </c>
      <c r="K512" s="2">
        <v>1</v>
      </c>
      <c r="L512" s="16">
        <v>1</v>
      </c>
      <c r="M512" s="5">
        <f t="shared" si="232"/>
        <v>1170</v>
      </c>
      <c r="N512" s="6">
        <f t="shared" si="233"/>
        <v>120.09479999999999</v>
      </c>
      <c r="O512">
        <f t="shared" si="234"/>
        <v>1842.6</v>
      </c>
      <c r="P512" s="7">
        <f t="shared" si="238"/>
        <v>15.342879125490862</v>
      </c>
      <c r="Q512">
        <f>ROUNDUP(몬스터!$P$30/F512, 0)</f>
        <v>16</v>
      </c>
      <c r="R512" s="6">
        <f t="shared" si="235"/>
        <v>19.024970273483948</v>
      </c>
      <c r="S512" s="7">
        <f>B512/몬스터!$C$30*R512</f>
        <v>323.42449464922714</v>
      </c>
      <c r="U512">
        <f>ROUNDDOWN(R512*몬스터!$H$30, 0)*몬스터!$G$30*(1+몬스터!$I$30)</f>
        <v>2505.7199999999998</v>
      </c>
      <c r="V512" s="2">
        <f t="shared" si="239"/>
        <v>1.3598827743406057</v>
      </c>
    </row>
    <row r="513" spans="1:22" x14ac:dyDescent="0.4">
      <c r="A513">
        <v>89</v>
      </c>
      <c r="B513" s="4">
        <f>170*A513</f>
        <v>15130</v>
      </c>
      <c r="C513">
        <f t="shared" si="228"/>
        <v>1260</v>
      </c>
      <c r="D513">
        <f t="shared" si="229"/>
        <v>48</v>
      </c>
      <c r="E513" s="2">
        <v>0</v>
      </c>
      <c r="F513">
        <f t="shared" si="230"/>
        <v>137</v>
      </c>
      <c r="G513">
        <f t="shared" si="231"/>
        <v>0.84299999999999997</v>
      </c>
      <c r="H513" s="3">
        <f t="shared" si="237"/>
        <v>0.05</v>
      </c>
      <c r="I513" s="2">
        <v>2</v>
      </c>
      <c r="J513" s="2">
        <v>0</v>
      </c>
      <c r="K513" s="2">
        <v>1</v>
      </c>
      <c r="L513" s="16">
        <v>1</v>
      </c>
      <c r="M513" s="5">
        <f t="shared" si="232"/>
        <v>1180</v>
      </c>
      <c r="N513" s="6">
        <f t="shared" si="233"/>
        <v>121.26555</v>
      </c>
      <c r="O513">
        <f t="shared" si="234"/>
        <v>1864.8</v>
      </c>
      <c r="P513" s="7">
        <f t="shared" si="238"/>
        <v>15.377821648440138</v>
      </c>
      <c r="Q513">
        <f>ROUNDUP(몬스터!$P$30/F513, 0)</f>
        <v>16</v>
      </c>
      <c r="R513" s="6">
        <f t="shared" si="235"/>
        <v>18.979833926453143</v>
      </c>
      <c r="S513" s="7">
        <f>B513/몬스터!$C$30*R513</f>
        <v>326.32373557640454</v>
      </c>
      <c r="U513">
        <f>ROUNDDOWN(R513*몬스터!$H$30, 0)*몬스터!$G$30*(1+몬스터!$I$30)</f>
        <v>2505.7199999999998</v>
      </c>
      <c r="V513" s="2">
        <f t="shared" si="239"/>
        <v>1.3436936936936936</v>
      </c>
    </row>
    <row r="514" spans="1:22" x14ac:dyDescent="0.4">
      <c r="A514">
        <v>90</v>
      </c>
      <c r="B514" s="4">
        <f>170*A514</f>
        <v>15300</v>
      </c>
      <c r="C514">
        <f t="shared" si="228"/>
        <v>1270</v>
      </c>
      <c r="D514">
        <f t="shared" si="229"/>
        <v>49</v>
      </c>
      <c r="E514" s="2">
        <v>0</v>
      </c>
      <c r="F514">
        <f t="shared" si="230"/>
        <v>139</v>
      </c>
      <c r="G514">
        <f t="shared" si="231"/>
        <v>0.84499999999999997</v>
      </c>
      <c r="H514" s="3">
        <f t="shared" si="237"/>
        <v>0.05</v>
      </c>
      <c r="I514" s="2">
        <v>2</v>
      </c>
      <c r="J514" s="2">
        <v>0</v>
      </c>
      <c r="K514" s="2">
        <v>1</v>
      </c>
      <c r="L514" s="16">
        <v>1</v>
      </c>
      <c r="M514" s="5">
        <f t="shared" si="232"/>
        <v>1190</v>
      </c>
      <c r="N514" s="6">
        <f t="shared" si="233"/>
        <v>123.32775000000001</v>
      </c>
      <c r="O514">
        <f t="shared" si="234"/>
        <v>1892.3</v>
      </c>
      <c r="P514" s="7">
        <f t="shared" si="238"/>
        <v>15.343667584951479</v>
      </c>
      <c r="Q514">
        <f>ROUNDUP(몬스터!$P$30/F514, 0)</f>
        <v>16</v>
      </c>
      <c r="R514" s="6">
        <f t="shared" si="235"/>
        <v>18.934911242603551</v>
      </c>
      <c r="S514" s="7">
        <f>B514/몬스터!$C$30*R514</f>
        <v>329.2092522861754</v>
      </c>
      <c r="T514" s="7">
        <f t="shared" ref="T514" si="244">SUM(S510:S514)</f>
        <v>1636.9023883997324</v>
      </c>
      <c r="U514">
        <f>ROUNDDOWN(R514*몬스터!$H$30, 0)*몬스터!$G$30*(1+몬스터!$I$30)</f>
        <v>2505.7199999999998</v>
      </c>
      <c r="V514" s="2">
        <f t="shared" si="239"/>
        <v>1.3241663583998309</v>
      </c>
    </row>
    <row r="515" spans="1:22" x14ac:dyDescent="0.4">
      <c r="A515">
        <v>91</v>
      </c>
      <c r="B515" s="4">
        <f>160*A515</f>
        <v>14560</v>
      </c>
      <c r="C515">
        <f t="shared" si="228"/>
        <v>1285</v>
      </c>
      <c r="D515">
        <f t="shared" si="229"/>
        <v>49</v>
      </c>
      <c r="E515" s="2">
        <v>0</v>
      </c>
      <c r="F515">
        <f t="shared" si="230"/>
        <v>140</v>
      </c>
      <c r="G515">
        <f t="shared" si="231"/>
        <v>0.84699999999999998</v>
      </c>
      <c r="H515" s="3">
        <f t="shared" si="237"/>
        <v>0.05</v>
      </c>
      <c r="I515" s="2">
        <v>2</v>
      </c>
      <c r="J515" s="2">
        <v>0</v>
      </c>
      <c r="K515" s="2">
        <v>1</v>
      </c>
      <c r="L515" s="16">
        <v>1</v>
      </c>
      <c r="M515" s="5">
        <f t="shared" si="232"/>
        <v>1200</v>
      </c>
      <c r="N515" s="6">
        <f t="shared" si="233"/>
        <v>124.509</v>
      </c>
      <c r="O515">
        <f t="shared" si="234"/>
        <v>1914.65</v>
      </c>
      <c r="P515" s="7">
        <f t="shared" si="238"/>
        <v>15.377603225469645</v>
      </c>
      <c r="Q515">
        <f>ROUNDUP(몬스터!$P$31/F515, 0)</f>
        <v>17</v>
      </c>
      <c r="R515" s="6">
        <f t="shared" si="235"/>
        <v>20.070838252656436</v>
      </c>
      <c r="S515" s="7">
        <f>B515/몬스터!$C$31*R515</f>
        <v>314.22731715986851</v>
      </c>
      <c r="U515">
        <f>ROUNDDOWN(R515*몬스터!$H$31, 0)*몬스터!$G$31*(1+몬스터!$I$31)</f>
        <v>2840.4450000000002</v>
      </c>
      <c r="V515" s="2">
        <f t="shared" si="239"/>
        <v>1.4835322382680909</v>
      </c>
    </row>
    <row r="516" spans="1:22" x14ac:dyDescent="0.4">
      <c r="A516">
        <v>92</v>
      </c>
      <c r="B516" s="4">
        <f>160*A516</f>
        <v>14720</v>
      </c>
      <c r="C516">
        <f t="shared" si="228"/>
        <v>1295</v>
      </c>
      <c r="D516">
        <f t="shared" si="229"/>
        <v>49</v>
      </c>
      <c r="E516" s="2">
        <v>0</v>
      </c>
      <c r="F516">
        <f t="shared" si="230"/>
        <v>141</v>
      </c>
      <c r="G516">
        <f t="shared" si="231"/>
        <v>0.84899999999999998</v>
      </c>
      <c r="H516" s="3">
        <f t="shared" si="237"/>
        <v>0.05</v>
      </c>
      <c r="I516" s="2">
        <v>2</v>
      </c>
      <c r="J516" s="2">
        <v>0</v>
      </c>
      <c r="K516" s="2">
        <v>1</v>
      </c>
      <c r="L516" s="16">
        <v>1</v>
      </c>
      <c r="M516" s="5">
        <f t="shared" si="232"/>
        <v>1210</v>
      </c>
      <c r="N516" s="6">
        <f t="shared" si="233"/>
        <v>125.69445</v>
      </c>
      <c r="O516">
        <f t="shared" si="234"/>
        <v>1929.55</v>
      </c>
      <c r="P516" s="7">
        <f t="shared" si="238"/>
        <v>15.351115343597112</v>
      </c>
      <c r="Q516">
        <f>ROUNDUP(몬스터!$P$31/F516, 0)</f>
        <v>17</v>
      </c>
      <c r="R516" s="6">
        <f t="shared" si="235"/>
        <v>20.023557126030624</v>
      </c>
      <c r="S516" s="7">
        <f>B516/몬스터!$C$31*R516</f>
        <v>316.93200096254924</v>
      </c>
      <c r="U516">
        <f>ROUNDDOWN(R516*몬스터!$H$31, 0)*몬스터!$G$31*(1+몬스터!$I$31)</f>
        <v>2840.4450000000002</v>
      </c>
      <c r="V516" s="2">
        <f t="shared" si="239"/>
        <v>1.4720763908683372</v>
      </c>
    </row>
    <row r="517" spans="1:22" x14ac:dyDescent="0.4">
      <c r="A517">
        <v>93</v>
      </c>
      <c r="B517" s="4">
        <f>160*A517</f>
        <v>14880</v>
      </c>
      <c r="C517">
        <f t="shared" si="228"/>
        <v>1310</v>
      </c>
      <c r="D517">
        <f t="shared" si="229"/>
        <v>49</v>
      </c>
      <c r="E517" s="2">
        <v>0</v>
      </c>
      <c r="F517">
        <f t="shared" si="230"/>
        <v>143</v>
      </c>
      <c r="G517">
        <f t="shared" si="231"/>
        <v>0.85099999999999998</v>
      </c>
      <c r="H517" s="3">
        <f t="shared" si="237"/>
        <v>0.05</v>
      </c>
      <c r="I517" s="2">
        <v>2</v>
      </c>
      <c r="J517" s="2">
        <v>0</v>
      </c>
      <c r="K517" s="2">
        <v>1</v>
      </c>
      <c r="L517" s="16">
        <v>1</v>
      </c>
      <c r="M517" s="5">
        <f t="shared" si="232"/>
        <v>1220</v>
      </c>
      <c r="N517" s="6">
        <f t="shared" si="233"/>
        <v>127.77765000000001</v>
      </c>
      <c r="O517">
        <f t="shared" si="234"/>
        <v>1951.9</v>
      </c>
      <c r="P517" s="7">
        <f t="shared" si="238"/>
        <v>15.275754406189188</v>
      </c>
      <c r="Q517">
        <f>ROUNDUP(몬스터!$P$31/F517, 0)</f>
        <v>17</v>
      </c>
      <c r="R517" s="6">
        <f t="shared" si="235"/>
        <v>19.976498237367803</v>
      </c>
      <c r="S517" s="7">
        <f>B517/몬스터!$C$31*R517</f>
        <v>319.62397179788485</v>
      </c>
      <c r="U517">
        <f>ROUNDDOWN(R517*몬스터!$H$31, 0)*몬스터!$G$31*(1+몬스터!$I$31)</f>
        <v>2840.4450000000002</v>
      </c>
      <c r="V517" s="2">
        <f t="shared" si="239"/>
        <v>1.4552205543316767</v>
      </c>
    </row>
    <row r="518" spans="1:22" x14ac:dyDescent="0.4">
      <c r="A518">
        <v>94</v>
      </c>
      <c r="B518" s="4">
        <f>160*A518</f>
        <v>15040</v>
      </c>
      <c r="C518">
        <f t="shared" si="228"/>
        <v>1320</v>
      </c>
      <c r="D518">
        <f t="shared" si="229"/>
        <v>50</v>
      </c>
      <c r="E518" s="2">
        <v>0</v>
      </c>
      <c r="F518">
        <f t="shared" si="230"/>
        <v>144</v>
      </c>
      <c r="G518">
        <f t="shared" si="231"/>
        <v>0.85299999999999998</v>
      </c>
      <c r="H518" s="3">
        <f t="shared" si="237"/>
        <v>0.05</v>
      </c>
      <c r="I518" s="2">
        <v>2</v>
      </c>
      <c r="J518" s="2">
        <v>0</v>
      </c>
      <c r="K518" s="2">
        <v>1</v>
      </c>
      <c r="L518" s="16">
        <v>1</v>
      </c>
      <c r="M518" s="5">
        <f t="shared" si="232"/>
        <v>1230</v>
      </c>
      <c r="N518" s="6">
        <f t="shared" si="233"/>
        <v>128.9736</v>
      </c>
      <c r="O518">
        <f t="shared" si="234"/>
        <v>1980</v>
      </c>
      <c r="P518" s="7">
        <f t="shared" si="238"/>
        <v>15.351979009657789</v>
      </c>
      <c r="Q518">
        <f>ROUNDUP(몬스터!$P$31/F518, 0)</f>
        <v>17</v>
      </c>
      <c r="R518" s="6">
        <f t="shared" si="235"/>
        <v>19.929660023446658</v>
      </c>
      <c r="S518" s="7">
        <f>B518/몬스터!$C$31*R518</f>
        <v>322.30331908885779</v>
      </c>
      <c r="U518">
        <f>ROUNDDOWN(R518*몬스터!$H$31, 0)*몬스터!$G$31*(1+몬스터!$I$31)</f>
        <v>2840.4450000000002</v>
      </c>
      <c r="V518" s="2">
        <f t="shared" si="239"/>
        <v>1.4345681818181819</v>
      </c>
    </row>
    <row r="519" spans="1:22" x14ac:dyDescent="0.4">
      <c r="A519">
        <v>95</v>
      </c>
      <c r="B519" s="4">
        <f>160*A519</f>
        <v>15200</v>
      </c>
      <c r="C519">
        <f t="shared" si="228"/>
        <v>1335</v>
      </c>
      <c r="D519">
        <f t="shared" si="229"/>
        <v>50</v>
      </c>
      <c r="E519" s="2">
        <v>0</v>
      </c>
      <c r="F519">
        <f t="shared" si="230"/>
        <v>145</v>
      </c>
      <c r="G519">
        <f t="shared" si="231"/>
        <v>0.85499999999999998</v>
      </c>
      <c r="H519" s="3">
        <f t="shared" si="237"/>
        <v>0.05</v>
      </c>
      <c r="I519" s="2">
        <v>2</v>
      </c>
      <c r="J519" s="2">
        <v>0</v>
      </c>
      <c r="K519" s="2">
        <v>1</v>
      </c>
      <c r="L519" s="16">
        <v>1</v>
      </c>
      <c r="M519" s="5">
        <f t="shared" si="232"/>
        <v>1240</v>
      </c>
      <c r="N519" s="6">
        <f t="shared" si="233"/>
        <v>130.17375000000001</v>
      </c>
      <c r="O519">
        <f t="shared" si="234"/>
        <v>2002.5</v>
      </c>
      <c r="P519" s="7">
        <f t="shared" si="238"/>
        <v>15.383285800708666</v>
      </c>
      <c r="Q519">
        <f>ROUNDUP(몬스터!$P$31/F519, 0)</f>
        <v>17</v>
      </c>
      <c r="R519" s="6">
        <f t="shared" si="235"/>
        <v>19.883040935672515</v>
      </c>
      <c r="S519" s="7">
        <f>B519/몬스터!$C$31*R519</f>
        <v>324.97013142174433</v>
      </c>
      <c r="T519" s="7">
        <f t="shared" ref="T519" si="245">SUM(S515:S519)</f>
        <v>1598.0567404309047</v>
      </c>
      <c r="U519">
        <f>ROUNDDOWN(R519*몬스터!$H$31, 0)*몬스터!$G$31*(1+몬스터!$I$31)</f>
        <v>2840.4450000000002</v>
      </c>
      <c r="V519" s="2">
        <f t="shared" si="239"/>
        <v>1.4184494382022472</v>
      </c>
    </row>
    <row r="520" spans="1:22" x14ac:dyDescent="0.4">
      <c r="A520">
        <v>96</v>
      </c>
      <c r="B520" s="4">
        <f>170*A520</f>
        <v>16320</v>
      </c>
      <c r="C520">
        <f t="shared" si="228"/>
        <v>1345</v>
      </c>
      <c r="D520">
        <f t="shared" si="229"/>
        <v>50</v>
      </c>
      <c r="E520" s="2">
        <v>0</v>
      </c>
      <c r="F520">
        <f t="shared" si="230"/>
        <v>147</v>
      </c>
      <c r="G520">
        <f t="shared" si="231"/>
        <v>0.85699999999999998</v>
      </c>
      <c r="H520" s="3">
        <f t="shared" si="237"/>
        <v>0.05</v>
      </c>
      <c r="I520" s="2">
        <v>2</v>
      </c>
      <c r="J520" s="2">
        <v>0</v>
      </c>
      <c r="K520" s="2">
        <v>1</v>
      </c>
      <c r="L520" s="16">
        <v>1</v>
      </c>
      <c r="M520" s="5">
        <f t="shared" si="232"/>
        <v>1250</v>
      </c>
      <c r="N520" s="6">
        <f t="shared" si="233"/>
        <v>132.27795</v>
      </c>
      <c r="O520">
        <f t="shared" si="234"/>
        <v>2017.5</v>
      </c>
      <c r="P520" s="7">
        <f t="shared" si="238"/>
        <v>15.251975102426368</v>
      </c>
      <c r="Q520">
        <f>ROUNDUP(몬스터!$P$32/F520, 0)</f>
        <v>18</v>
      </c>
      <c r="R520" s="6">
        <f t="shared" si="235"/>
        <v>21.003500583430572</v>
      </c>
      <c r="S520" s="7">
        <f>B520/몬스터!$C$32*R520</f>
        <v>349.77258114447648</v>
      </c>
      <c r="U520">
        <f>ROUNDDOWN(R520*몬스터!$H$32, 0)*몬스터!$G$32*(1+몬스터!$I$32)</f>
        <v>3176.8199999999997</v>
      </c>
      <c r="V520" s="2">
        <f t="shared" si="239"/>
        <v>1.5746319702602229</v>
      </c>
    </row>
    <row r="521" spans="1:22" x14ac:dyDescent="0.4">
      <c r="A521">
        <v>97</v>
      </c>
      <c r="B521" s="4">
        <f>170*A521</f>
        <v>16490</v>
      </c>
      <c r="C521">
        <f t="shared" si="228"/>
        <v>1355</v>
      </c>
      <c r="D521">
        <f t="shared" si="229"/>
        <v>51</v>
      </c>
      <c r="E521" s="2">
        <v>0</v>
      </c>
      <c r="F521">
        <f t="shared" si="230"/>
        <v>148</v>
      </c>
      <c r="G521">
        <f t="shared" si="231"/>
        <v>0.85899999999999999</v>
      </c>
      <c r="H521" s="3">
        <f t="shared" si="237"/>
        <v>0.05</v>
      </c>
      <c r="I521" s="2">
        <v>2</v>
      </c>
      <c r="J521" s="2">
        <v>0</v>
      </c>
      <c r="K521" s="2">
        <v>1</v>
      </c>
      <c r="L521" s="16">
        <v>1</v>
      </c>
      <c r="M521" s="5">
        <f t="shared" si="232"/>
        <v>1260</v>
      </c>
      <c r="N521" s="6">
        <f t="shared" si="233"/>
        <v>133.48860000000002</v>
      </c>
      <c r="O521">
        <f t="shared" si="234"/>
        <v>2046.05</v>
      </c>
      <c r="P521" s="7">
        <f t="shared" si="238"/>
        <v>15.327526095861367</v>
      </c>
      <c r="Q521">
        <f>ROUNDUP(몬스터!$P$32/F521, 0)</f>
        <v>17</v>
      </c>
      <c r="R521" s="6">
        <f t="shared" ref="R521:R524" si="246">Q521/G521</f>
        <v>19.790454016298021</v>
      </c>
      <c r="S521" s="7">
        <f>B521/몬스터!$C$32*R521</f>
        <v>333.00468033546366</v>
      </c>
      <c r="U521">
        <f>ROUNDDOWN(R521*몬스터!$H$32, 0)*몬스터!$G$32*(1+몬스터!$I$32)</f>
        <v>3000.33</v>
      </c>
      <c r="V521" s="2">
        <f t="shared" si="239"/>
        <v>1.4664011143422693</v>
      </c>
    </row>
    <row r="522" spans="1:22" x14ac:dyDescent="0.4">
      <c r="A522">
        <v>98</v>
      </c>
      <c r="B522" s="4">
        <f>170*A522</f>
        <v>16660</v>
      </c>
      <c r="C522">
        <f t="shared" si="228"/>
        <v>1370</v>
      </c>
      <c r="D522">
        <f t="shared" si="229"/>
        <v>51</v>
      </c>
      <c r="E522" s="2">
        <v>0</v>
      </c>
      <c r="F522">
        <f t="shared" si="230"/>
        <v>149</v>
      </c>
      <c r="G522">
        <f t="shared" si="231"/>
        <v>0.86099999999999999</v>
      </c>
      <c r="H522" s="3">
        <f t="shared" si="237"/>
        <v>0.05</v>
      </c>
      <c r="I522" s="2">
        <v>2</v>
      </c>
      <c r="J522" s="2">
        <v>0</v>
      </c>
      <c r="K522" s="2">
        <v>1</v>
      </c>
      <c r="L522" s="16">
        <v>1</v>
      </c>
      <c r="M522" s="5">
        <f t="shared" si="232"/>
        <v>1270</v>
      </c>
      <c r="N522" s="6">
        <f t="shared" si="233"/>
        <v>134.70345</v>
      </c>
      <c r="O522">
        <f t="shared" si="234"/>
        <v>2068.6999999999998</v>
      </c>
      <c r="P522" s="7">
        <f t="shared" si="238"/>
        <v>15.357438877771875</v>
      </c>
      <c r="Q522">
        <f>ROUNDUP(몬스터!$P$32/F522, 0)</f>
        <v>17</v>
      </c>
      <c r="R522" s="6">
        <f t="shared" si="246"/>
        <v>19.744483159117305</v>
      </c>
      <c r="S522" s="7">
        <f>B522/몬스터!$C$32*R522</f>
        <v>335.65621370499417</v>
      </c>
      <c r="U522">
        <f>ROUNDDOWN(R522*몬스터!$H$32, 0)*몬스터!$G$32*(1+몬스터!$I$32)</f>
        <v>3000.33</v>
      </c>
      <c r="V522" s="2">
        <f t="shared" si="239"/>
        <v>1.4503456276888869</v>
      </c>
    </row>
    <row r="523" spans="1:22" x14ac:dyDescent="0.4">
      <c r="A523">
        <v>99</v>
      </c>
      <c r="B523" s="4">
        <f>170*A523</f>
        <v>16830</v>
      </c>
      <c r="C523">
        <f t="shared" si="228"/>
        <v>1380</v>
      </c>
      <c r="D523">
        <f t="shared" si="229"/>
        <v>51</v>
      </c>
      <c r="E523" s="2">
        <v>0</v>
      </c>
      <c r="F523">
        <f t="shared" si="230"/>
        <v>151</v>
      </c>
      <c r="G523">
        <f t="shared" si="231"/>
        <v>0.86299999999999999</v>
      </c>
      <c r="H523" s="3">
        <f t="shared" si="237"/>
        <v>0.05</v>
      </c>
      <c r="I523" s="2">
        <v>2</v>
      </c>
      <c r="J523" s="2">
        <v>0</v>
      </c>
      <c r="K523" s="2">
        <v>1</v>
      </c>
      <c r="L523" s="16">
        <v>1</v>
      </c>
      <c r="M523" s="5">
        <f t="shared" si="232"/>
        <v>1280</v>
      </c>
      <c r="N523" s="6">
        <f t="shared" si="233"/>
        <v>136.82864999999998</v>
      </c>
      <c r="O523">
        <f t="shared" si="234"/>
        <v>2083.8000000000002</v>
      </c>
      <c r="P523" s="7">
        <f t="shared" si="238"/>
        <v>15.22926667770237</v>
      </c>
      <c r="Q523">
        <f>ROUNDUP(몬스터!$P$32/F523, 0)</f>
        <v>17</v>
      </c>
      <c r="R523" s="6">
        <f t="shared" si="246"/>
        <v>19.698725376593281</v>
      </c>
      <c r="S523" s="7">
        <f>B523/몬스터!$C$32*R523</f>
        <v>338.29545723271929</v>
      </c>
      <c r="U523">
        <f>ROUNDDOWN(R523*몬스터!$H$32, 0)*몬스터!$G$32*(1+몬스터!$I$32)</f>
        <v>3000.33</v>
      </c>
      <c r="V523" s="2">
        <f t="shared" si="239"/>
        <v>1.4398358767636048</v>
      </c>
    </row>
    <row r="524" spans="1:22" x14ac:dyDescent="0.4">
      <c r="A524">
        <v>100</v>
      </c>
      <c r="B524" s="4">
        <f>170*A524</f>
        <v>17000</v>
      </c>
      <c r="C524">
        <f t="shared" si="228"/>
        <v>1395</v>
      </c>
      <c r="D524">
        <f t="shared" si="229"/>
        <v>52</v>
      </c>
      <c r="E524" s="2">
        <v>0</v>
      </c>
      <c r="F524">
        <f t="shared" si="230"/>
        <v>152</v>
      </c>
      <c r="G524">
        <f t="shared" si="231"/>
        <v>0.86499999999999999</v>
      </c>
      <c r="H524" s="3">
        <f t="shared" si="237"/>
        <v>0.05</v>
      </c>
      <c r="I524" s="2">
        <v>2</v>
      </c>
      <c r="J524" s="2">
        <v>0</v>
      </c>
      <c r="K524" s="2">
        <v>1</v>
      </c>
      <c r="L524" s="16">
        <v>1</v>
      </c>
      <c r="M524" s="5">
        <f t="shared" si="232"/>
        <v>1290</v>
      </c>
      <c r="N524" s="6">
        <f t="shared" si="233"/>
        <v>138.054</v>
      </c>
      <c r="O524">
        <f t="shared" si="234"/>
        <v>2120.4</v>
      </c>
      <c r="P524" s="7">
        <f t="shared" si="238"/>
        <v>15.359207266721718</v>
      </c>
      <c r="Q524">
        <f>ROUNDUP(몬스터!$P$32/F524, 0)</f>
        <v>17</v>
      </c>
      <c r="R524" s="6">
        <f t="shared" si="246"/>
        <v>19.653179190751445</v>
      </c>
      <c r="S524" s="7">
        <f>B524/몬스터!$C$32*R524</f>
        <v>340.92249616609649</v>
      </c>
      <c r="T524" s="7">
        <f t="shared" ref="T524" si="247">SUM(S520:S524)</f>
        <v>1697.6514285837502</v>
      </c>
      <c r="U524">
        <f>ROUNDDOWN(R524*몬스터!$H$32, 0)*몬스터!$G$32*(1+몬스터!$I$32)</f>
        <v>3000.33</v>
      </c>
      <c r="V524" s="2">
        <f t="shared" si="239"/>
        <v>1.4149830220713071</v>
      </c>
    </row>
    <row r="526" spans="1:22" x14ac:dyDescent="0.4">
      <c r="A526" t="s">
        <v>282</v>
      </c>
      <c r="B526" t="s">
        <v>290</v>
      </c>
    </row>
    <row r="528" spans="1:22" ht="19.8" thickBot="1" x14ac:dyDescent="0.45">
      <c r="B528" s="51" t="s">
        <v>287</v>
      </c>
    </row>
    <row r="529" spans="1:22" ht="18" thickBot="1" x14ac:dyDescent="0.45">
      <c r="A529" s="36" t="s">
        <v>18</v>
      </c>
      <c r="B529" s="36" t="s">
        <v>300</v>
      </c>
      <c r="C529" s="28" t="s">
        <v>301</v>
      </c>
      <c r="D529" s="28" t="s">
        <v>302</v>
      </c>
      <c r="E529" s="28" t="s">
        <v>303</v>
      </c>
      <c r="F529" s="37" t="s">
        <v>305</v>
      </c>
      <c r="G529" s="37" t="s">
        <v>306</v>
      </c>
      <c r="H529" s="37" t="s">
        <v>307</v>
      </c>
      <c r="I529" s="37" t="s">
        <v>308</v>
      </c>
      <c r="J529" s="37" t="s">
        <v>309</v>
      </c>
      <c r="K529" s="38" t="s">
        <v>310</v>
      </c>
      <c r="L529" s="38" t="s">
        <v>312</v>
      </c>
      <c r="M529" s="38" t="s">
        <v>311</v>
      </c>
      <c r="N529" s="23" t="s">
        <v>313</v>
      </c>
      <c r="O529" s="23" t="s">
        <v>314</v>
      </c>
      <c r="P529" s="23" t="s">
        <v>315</v>
      </c>
      <c r="Q529" s="39" t="s">
        <v>316</v>
      </c>
      <c r="R529" s="39" t="s">
        <v>317</v>
      </c>
      <c r="S529" s="39" t="s">
        <v>318</v>
      </c>
      <c r="T529" s="39" t="s">
        <v>319</v>
      </c>
      <c r="U529" s="39" t="s">
        <v>320</v>
      </c>
      <c r="V529" s="39" t="s">
        <v>321</v>
      </c>
    </row>
    <row r="530" spans="1:22" ht="18" thickTop="1" x14ac:dyDescent="0.4">
      <c r="A530">
        <v>1</v>
      </c>
      <c r="B530" s="4">
        <f>150*A530</f>
        <v>150</v>
      </c>
      <c r="C530">
        <f t="shared" ref="C530:C561" si="248">MROUND((150+A530*11)*0.88,5)</f>
        <v>140</v>
      </c>
      <c r="D530">
        <f t="shared" ref="D530:D561" si="249">ROUNDDOWN((18+A530*0.3), 0)</f>
        <v>18</v>
      </c>
      <c r="E530" s="2">
        <v>0</v>
      </c>
      <c r="F530">
        <f t="shared" ref="F530:F561" si="250">ROUND((28+A530*2)*2/3, 0)</f>
        <v>20</v>
      </c>
      <c r="G530">
        <f t="shared" ref="G530:G561" si="251">0.665+0.002*A530</f>
        <v>0.66700000000000004</v>
      </c>
      <c r="H530" s="3">
        <f>0.05</f>
        <v>0.05</v>
      </c>
      <c r="I530" s="2">
        <v>2</v>
      </c>
      <c r="J530" s="2">
        <v>0</v>
      </c>
      <c r="K530" s="2">
        <v>1</v>
      </c>
      <c r="L530" s="16">
        <v>2</v>
      </c>
      <c r="M530" s="5">
        <f t="shared" ref="M530:M561" si="252">290+10*A530</f>
        <v>300</v>
      </c>
      <c r="N530" s="6">
        <f t="shared" ref="N530:N561" si="253">F530*G530*(1+H530)</f>
        <v>14.007</v>
      </c>
      <c r="O530">
        <f t="shared" ref="O530:O561" si="254">C530*(1+D530/100)*(1+E530)</f>
        <v>165.2</v>
      </c>
      <c r="P530" s="7">
        <f>O530/N530</f>
        <v>11.794102948525737</v>
      </c>
      <c r="Q530">
        <f>ROUNDUP(몬스터!$P$5/F530, 0)</f>
        <v>7</v>
      </c>
      <c r="R530" s="6">
        <f t="shared" ref="R530:R561" si="255">Q530/G530</f>
        <v>10.494752623688155</v>
      </c>
      <c r="S530" s="7">
        <f>B530/몬스터!$C$5*R530</f>
        <v>52.473763118440779</v>
      </c>
      <c r="U530">
        <f>ROUNDDOWN(R530*몬스터!$H$5, 0)*몬스터!$G$5*(1+몬스터!$I$5)</f>
        <v>37.800000000000004</v>
      </c>
      <c r="V530" s="2">
        <f>U530/O530</f>
        <v>0.22881355932203393</v>
      </c>
    </row>
    <row r="531" spans="1:22" x14ac:dyDescent="0.4">
      <c r="A531">
        <v>2</v>
      </c>
      <c r="B531" s="4">
        <f>150*A531</f>
        <v>300</v>
      </c>
      <c r="C531">
        <f t="shared" si="248"/>
        <v>150</v>
      </c>
      <c r="D531">
        <f t="shared" si="249"/>
        <v>18</v>
      </c>
      <c r="E531" s="2">
        <v>0</v>
      </c>
      <c r="F531">
        <f t="shared" si="250"/>
        <v>21</v>
      </c>
      <c r="G531">
        <f t="shared" si="251"/>
        <v>0.66900000000000004</v>
      </c>
      <c r="H531" s="3">
        <f t="shared" ref="H531:H594" si="256">0.05</f>
        <v>0.05</v>
      </c>
      <c r="I531" s="2">
        <v>2</v>
      </c>
      <c r="J531" s="2">
        <v>0</v>
      </c>
      <c r="K531" s="2">
        <v>1</v>
      </c>
      <c r="L531" s="16">
        <v>2</v>
      </c>
      <c r="M531" s="5">
        <f t="shared" si="252"/>
        <v>310</v>
      </c>
      <c r="N531" s="6">
        <f t="shared" si="253"/>
        <v>14.751450000000002</v>
      </c>
      <c r="O531">
        <f t="shared" si="254"/>
        <v>177</v>
      </c>
      <c r="P531" s="7">
        <f t="shared" ref="P531:P594" si="257">O531/N531</f>
        <v>11.998820454938327</v>
      </c>
      <c r="Q531">
        <f>ROUNDUP(몬스터!$P$5/F531, 0)</f>
        <v>7</v>
      </c>
      <c r="R531" s="6">
        <f t="shared" si="255"/>
        <v>10.46337817638266</v>
      </c>
      <c r="S531" s="7">
        <f>B531/몬스터!$C$5*R531</f>
        <v>104.6337817638266</v>
      </c>
      <c r="U531">
        <f>ROUNDDOWN(R531*몬스터!$H$5, 0)*몬스터!$G$5*(1+몬스터!$I$5)</f>
        <v>37.800000000000004</v>
      </c>
      <c r="V531" s="2">
        <f t="shared" ref="V531:V594" si="258">U531/O531</f>
        <v>0.21355932203389832</v>
      </c>
    </row>
    <row r="532" spans="1:22" x14ac:dyDescent="0.4">
      <c r="A532">
        <v>3</v>
      </c>
      <c r="B532" s="4">
        <f>150*A532</f>
        <v>450</v>
      </c>
      <c r="C532">
        <f t="shared" si="248"/>
        <v>160</v>
      </c>
      <c r="D532">
        <f t="shared" si="249"/>
        <v>18</v>
      </c>
      <c r="E532" s="2">
        <v>0</v>
      </c>
      <c r="F532">
        <f t="shared" si="250"/>
        <v>23</v>
      </c>
      <c r="G532">
        <f t="shared" si="251"/>
        <v>0.67100000000000004</v>
      </c>
      <c r="H532" s="3">
        <f t="shared" si="256"/>
        <v>0.05</v>
      </c>
      <c r="I532" s="2">
        <v>2</v>
      </c>
      <c r="J532" s="2">
        <v>0</v>
      </c>
      <c r="K532" s="2">
        <v>1</v>
      </c>
      <c r="L532" s="16">
        <v>2</v>
      </c>
      <c r="M532" s="5">
        <f t="shared" si="252"/>
        <v>320</v>
      </c>
      <c r="N532" s="6">
        <f t="shared" si="253"/>
        <v>16.204650000000001</v>
      </c>
      <c r="O532">
        <f t="shared" si="254"/>
        <v>188.79999999999998</v>
      </c>
      <c r="P532" s="7">
        <f t="shared" si="257"/>
        <v>11.650976725816353</v>
      </c>
      <c r="Q532">
        <f>ROUNDUP(몬스터!$P$5/F532, 0)</f>
        <v>6</v>
      </c>
      <c r="R532" s="6">
        <f t="shared" si="255"/>
        <v>8.9418777943368095</v>
      </c>
      <c r="S532" s="7">
        <f>B532/몬스터!$C$5*R532</f>
        <v>134.12816691505213</v>
      </c>
      <c r="U532">
        <f>ROUNDDOWN(R532*몬스터!$H$5, 0)*몬스터!$G$5*(1+몬스터!$I$5)</f>
        <v>31.5</v>
      </c>
      <c r="V532" s="2">
        <f t="shared" si="258"/>
        <v>0.16684322033898308</v>
      </c>
    </row>
    <row r="533" spans="1:22" x14ac:dyDescent="0.4">
      <c r="A533">
        <v>4</v>
      </c>
      <c r="B533" s="4">
        <f>150*A533+50</f>
        <v>650</v>
      </c>
      <c r="C533">
        <f t="shared" si="248"/>
        <v>170</v>
      </c>
      <c r="D533">
        <f t="shared" si="249"/>
        <v>19</v>
      </c>
      <c r="E533" s="2">
        <v>0</v>
      </c>
      <c r="F533">
        <f t="shared" si="250"/>
        <v>24</v>
      </c>
      <c r="G533">
        <f t="shared" si="251"/>
        <v>0.67300000000000004</v>
      </c>
      <c r="H533" s="3">
        <f t="shared" si="256"/>
        <v>0.05</v>
      </c>
      <c r="I533" s="2">
        <v>2</v>
      </c>
      <c r="J533" s="2">
        <v>0</v>
      </c>
      <c r="K533" s="2">
        <v>1</v>
      </c>
      <c r="L533" s="16">
        <v>2</v>
      </c>
      <c r="M533" s="5">
        <f t="shared" si="252"/>
        <v>330</v>
      </c>
      <c r="N533" s="6">
        <f t="shared" si="253"/>
        <v>16.959600000000002</v>
      </c>
      <c r="O533">
        <f t="shared" si="254"/>
        <v>202.29999999999998</v>
      </c>
      <c r="P533" s="7">
        <f t="shared" si="257"/>
        <v>11.928347366683175</v>
      </c>
      <c r="Q533">
        <f>ROUNDUP(몬스터!$P$5/F533, 0)</f>
        <v>6</v>
      </c>
      <c r="R533" s="6">
        <f t="shared" si="255"/>
        <v>8.9153046062407135</v>
      </c>
      <c r="S533" s="7">
        <f>B533/몬스터!$C$5*R533</f>
        <v>193.16493313521548</v>
      </c>
      <c r="U533">
        <f>ROUNDDOWN(R533*몬스터!$H$5, 0)*몬스터!$G$5*(1+몬스터!$I$5)</f>
        <v>31.5</v>
      </c>
      <c r="V533" s="2">
        <f t="shared" si="258"/>
        <v>0.15570934256055366</v>
      </c>
    </row>
    <row r="534" spans="1:22" x14ac:dyDescent="0.4">
      <c r="A534">
        <v>5</v>
      </c>
      <c r="B534" s="4">
        <f>150*A534+75</f>
        <v>825</v>
      </c>
      <c r="C534">
        <f t="shared" si="248"/>
        <v>180</v>
      </c>
      <c r="D534">
        <f t="shared" si="249"/>
        <v>19</v>
      </c>
      <c r="E534" s="2">
        <v>0</v>
      </c>
      <c r="F534">
        <f t="shared" si="250"/>
        <v>25</v>
      </c>
      <c r="G534">
        <f t="shared" si="251"/>
        <v>0.67500000000000004</v>
      </c>
      <c r="H534" s="3">
        <f t="shared" si="256"/>
        <v>0.05</v>
      </c>
      <c r="I534" s="2">
        <v>2</v>
      </c>
      <c r="J534" s="2">
        <v>0</v>
      </c>
      <c r="K534" s="2">
        <v>1</v>
      </c>
      <c r="L534" s="16">
        <v>2</v>
      </c>
      <c r="M534" s="5">
        <f t="shared" si="252"/>
        <v>340</v>
      </c>
      <c r="N534" s="6">
        <f t="shared" si="253"/>
        <v>17.71875</v>
      </c>
      <c r="O534">
        <f t="shared" si="254"/>
        <v>214.2</v>
      </c>
      <c r="P534" s="7">
        <f t="shared" si="257"/>
        <v>12.088888888888889</v>
      </c>
      <c r="Q534">
        <f>ROUNDUP(몬스터!$P$5/F534, 0)</f>
        <v>6</v>
      </c>
      <c r="R534" s="6">
        <f t="shared" si="255"/>
        <v>8.8888888888888875</v>
      </c>
      <c r="S534" s="7">
        <f>B534/몬스터!$C$5*R534</f>
        <v>244.4444444444444</v>
      </c>
      <c r="T534" s="7">
        <f>SUM(S530:S534)</f>
        <v>728.84508937697933</v>
      </c>
      <c r="U534">
        <f>ROUNDDOWN(R534*몬스터!$H$5, 0)*몬스터!$G$5*(1+몬스터!$I$5)</f>
        <v>31.5</v>
      </c>
      <c r="V534" s="2">
        <f t="shared" si="258"/>
        <v>0.14705882352941177</v>
      </c>
    </row>
    <row r="535" spans="1:22" x14ac:dyDescent="0.4">
      <c r="A535">
        <v>6</v>
      </c>
      <c r="B535" s="4">
        <f>150*A535</f>
        <v>900</v>
      </c>
      <c r="C535">
        <f t="shared" si="248"/>
        <v>190</v>
      </c>
      <c r="D535">
        <f t="shared" si="249"/>
        <v>19</v>
      </c>
      <c r="E535" s="2">
        <v>0</v>
      </c>
      <c r="F535">
        <f t="shared" si="250"/>
        <v>27</v>
      </c>
      <c r="G535">
        <f t="shared" si="251"/>
        <v>0.67700000000000005</v>
      </c>
      <c r="H535" s="3">
        <f t="shared" si="256"/>
        <v>0.05</v>
      </c>
      <c r="I535" s="2">
        <v>2</v>
      </c>
      <c r="J535" s="2">
        <v>0</v>
      </c>
      <c r="K535" s="2">
        <v>1</v>
      </c>
      <c r="L535" s="16">
        <v>2</v>
      </c>
      <c r="M535" s="5">
        <f t="shared" si="252"/>
        <v>350</v>
      </c>
      <c r="N535" s="6">
        <f t="shared" si="253"/>
        <v>19.19295</v>
      </c>
      <c r="O535">
        <f t="shared" si="254"/>
        <v>226.1</v>
      </c>
      <c r="P535" s="7">
        <f t="shared" si="257"/>
        <v>11.78036727027372</v>
      </c>
      <c r="Q535">
        <f>ROUNDUP(몬스터!$P$6/F535, 0)</f>
        <v>9</v>
      </c>
      <c r="R535" s="6">
        <f t="shared" si="255"/>
        <v>13.29394387001477</v>
      </c>
      <c r="S535" s="7">
        <f>B535/몬스터!$C$6*R535</f>
        <v>149.55686853766616</v>
      </c>
      <c r="U535">
        <f>ROUNDDOWN(R535*몬스터!$H$6, 0)*몬스터!$G$6*(1+몬스터!$I$6)</f>
        <v>109.98000000000002</v>
      </c>
      <c r="V535" s="2">
        <f t="shared" si="258"/>
        <v>0.48642193719593108</v>
      </c>
    </row>
    <row r="536" spans="1:22" x14ac:dyDescent="0.4">
      <c r="A536">
        <v>7</v>
      </c>
      <c r="B536" s="4">
        <f>150*A536</f>
        <v>1050</v>
      </c>
      <c r="C536">
        <f t="shared" si="248"/>
        <v>200</v>
      </c>
      <c r="D536">
        <f t="shared" si="249"/>
        <v>20</v>
      </c>
      <c r="E536" s="2">
        <v>0</v>
      </c>
      <c r="F536">
        <f t="shared" si="250"/>
        <v>28</v>
      </c>
      <c r="G536">
        <f t="shared" si="251"/>
        <v>0.67900000000000005</v>
      </c>
      <c r="H536" s="3">
        <f t="shared" si="256"/>
        <v>0.05</v>
      </c>
      <c r="I536" s="2">
        <v>2</v>
      </c>
      <c r="J536" s="2">
        <v>0</v>
      </c>
      <c r="K536" s="2">
        <v>1</v>
      </c>
      <c r="L536" s="16">
        <v>2</v>
      </c>
      <c r="M536" s="5">
        <f t="shared" si="252"/>
        <v>360</v>
      </c>
      <c r="N536" s="6">
        <f t="shared" si="253"/>
        <v>19.962600000000002</v>
      </c>
      <c r="O536">
        <f t="shared" si="254"/>
        <v>240</v>
      </c>
      <c r="P536" s="7">
        <f t="shared" si="257"/>
        <v>12.022482041417449</v>
      </c>
      <c r="Q536">
        <f>ROUNDUP(몬스터!$P$6/F536, 0)</f>
        <v>8</v>
      </c>
      <c r="R536" s="6">
        <f t="shared" si="255"/>
        <v>11.782032400589101</v>
      </c>
      <c r="S536" s="7">
        <f>B536/몬스터!$C$6*R536</f>
        <v>154.63917525773195</v>
      </c>
      <c r="U536">
        <f>ROUNDDOWN(R536*몬스터!$H$6, 0)*몬스터!$G$6*(1+몬스터!$I$6)</f>
        <v>96.232500000000016</v>
      </c>
      <c r="V536" s="2">
        <f t="shared" si="258"/>
        <v>0.40096875000000004</v>
      </c>
    </row>
    <row r="537" spans="1:22" x14ac:dyDescent="0.4">
      <c r="A537">
        <v>8</v>
      </c>
      <c r="B537" s="4">
        <f>150*A537+50</f>
        <v>1250</v>
      </c>
      <c r="C537">
        <f t="shared" si="248"/>
        <v>210</v>
      </c>
      <c r="D537">
        <f t="shared" si="249"/>
        <v>20</v>
      </c>
      <c r="E537" s="2">
        <v>0</v>
      </c>
      <c r="F537">
        <f t="shared" si="250"/>
        <v>29</v>
      </c>
      <c r="G537">
        <f t="shared" si="251"/>
        <v>0.68100000000000005</v>
      </c>
      <c r="H537" s="3">
        <f t="shared" si="256"/>
        <v>0.05</v>
      </c>
      <c r="I537" s="2">
        <v>2</v>
      </c>
      <c r="J537" s="2">
        <v>0</v>
      </c>
      <c r="K537" s="2">
        <v>1</v>
      </c>
      <c r="L537" s="16">
        <v>2</v>
      </c>
      <c r="M537" s="5">
        <f t="shared" si="252"/>
        <v>370</v>
      </c>
      <c r="N537" s="6">
        <f t="shared" si="253"/>
        <v>20.736450000000005</v>
      </c>
      <c r="O537">
        <f t="shared" si="254"/>
        <v>252</v>
      </c>
      <c r="P537" s="7">
        <f t="shared" si="257"/>
        <v>12.152514051344369</v>
      </c>
      <c r="Q537">
        <f>ROUNDUP(몬스터!$P$6/F537, 0)</f>
        <v>8</v>
      </c>
      <c r="R537" s="6">
        <f t="shared" si="255"/>
        <v>11.747430249632892</v>
      </c>
      <c r="S537" s="7">
        <f>B537/몬스터!$C$6*R537</f>
        <v>183.55359765051392</v>
      </c>
      <c r="U537">
        <f>ROUNDDOWN(R537*몬스터!$H$6, 0)*몬스터!$G$6*(1+몬스터!$I$6)</f>
        <v>96.232500000000016</v>
      </c>
      <c r="V537" s="2">
        <f t="shared" si="258"/>
        <v>0.38187500000000008</v>
      </c>
    </row>
    <row r="538" spans="1:22" x14ac:dyDescent="0.4">
      <c r="A538">
        <v>9</v>
      </c>
      <c r="B538" s="4">
        <f>150*A538+50</f>
        <v>1400</v>
      </c>
      <c r="C538">
        <f t="shared" si="248"/>
        <v>220</v>
      </c>
      <c r="D538">
        <f t="shared" si="249"/>
        <v>20</v>
      </c>
      <c r="E538" s="2">
        <v>0</v>
      </c>
      <c r="F538">
        <f t="shared" si="250"/>
        <v>31</v>
      </c>
      <c r="G538">
        <f t="shared" si="251"/>
        <v>0.68300000000000005</v>
      </c>
      <c r="H538" s="3">
        <f t="shared" si="256"/>
        <v>0.05</v>
      </c>
      <c r="I538" s="2">
        <v>2</v>
      </c>
      <c r="J538" s="2">
        <v>0</v>
      </c>
      <c r="K538" s="2">
        <v>1</v>
      </c>
      <c r="L538" s="16">
        <v>2</v>
      </c>
      <c r="M538" s="5">
        <f t="shared" si="252"/>
        <v>380</v>
      </c>
      <c r="N538" s="6">
        <f t="shared" si="253"/>
        <v>22.231650000000002</v>
      </c>
      <c r="O538">
        <f t="shared" si="254"/>
        <v>264</v>
      </c>
      <c r="P538" s="7">
        <f t="shared" si="257"/>
        <v>11.87496204735141</v>
      </c>
      <c r="Q538">
        <f>ROUNDUP(몬스터!$P$6/F538, 0)</f>
        <v>8</v>
      </c>
      <c r="R538" s="6">
        <f t="shared" si="255"/>
        <v>11.713030746705709</v>
      </c>
      <c r="S538" s="7">
        <f>B538/몬스터!$C$6*R538</f>
        <v>204.9780380673499</v>
      </c>
      <c r="U538">
        <f>ROUNDDOWN(R538*몬스터!$H$6, 0)*몬스터!$G$6*(1+몬스터!$I$6)</f>
        <v>96.232500000000016</v>
      </c>
      <c r="V538" s="2">
        <f t="shared" si="258"/>
        <v>0.3645170454545455</v>
      </c>
    </row>
    <row r="539" spans="1:22" x14ac:dyDescent="0.4">
      <c r="A539">
        <v>10</v>
      </c>
      <c r="B539" s="4">
        <f>150*A539+50</f>
        <v>1550</v>
      </c>
      <c r="C539">
        <f t="shared" si="248"/>
        <v>230</v>
      </c>
      <c r="D539">
        <f t="shared" si="249"/>
        <v>21</v>
      </c>
      <c r="E539" s="2">
        <v>0</v>
      </c>
      <c r="F539">
        <f t="shared" si="250"/>
        <v>32</v>
      </c>
      <c r="G539">
        <f t="shared" si="251"/>
        <v>0.68500000000000005</v>
      </c>
      <c r="H539" s="3">
        <f t="shared" si="256"/>
        <v>0.05</v>
      </c>
      <c r="I539" s="2">
        <v>2</v>
      </c>
      <c r="J539" s="2">
        <v>0</v>
      </c>
      <c r="K539" s="2">
        <v>1</v>
      </c>
      <c r="L539" s="16">
        <v>2</v>
      </c>
      <c r="M539" s="5">
        <f t="shared" si="252"/>
        <v>390</v>
      </c>
      <c r="N539" s="6">
        <f t="shared" si="253"/>
        <v>23.016000000000002</v>
      </c>
      <c r="O539">
        <f t="shared" si="254"/>
        <v>278.3</v>
      </c>
      <c r="P539" s="7">
        <f t="shared" si="257"/>
        <v>12.091588460201599</v>
      </c>
      <c r="Q539">
        <f>ROUNDUP(몬스터!$P$6/F539, 0)</f>
        <v>7</v>
      </c>
      <c r="R539" s="6">
        <f t="shared" si="255"/>
        <v>10.21897810218978</v>
      </c>
      <c r="S539" s="7">
        <f>B539/몬스터!$C$6*R539</f>
        <v>197.99270072992698</v>
      </c>
      <c r="T539" s="7">
        <f>SUM(S535:S539)</f>
        <v>890.72038024318886</v>
      </c>
      <c r="U539">
        <f>ROUNDDOWN(R539*몬스터!$H$6, 0)*몬스터!$G$6*(1+몬스터!$I$6)</f>
        <v>82.485000000000014</v>
      </c>
      <c r="V539" s="2">
        <f t="shared" si="258"/>
        <v>0.29638878907653615</v>
      </c>
    </row>
    <row r="540" spans="1:22" x14ac:dyDescent="0.4">
      <c r="A540">
        <v>11</v>
      </c>
      <c r="B540" s="4">
        <f>160*A540</f>
        <v>1760</v>
      </c>
      <c r="C540">
        <f t="shared" si="248"/>
        <v>240</v>
      </c>
      <c r="D540">
        <f t="shared" si="249"/>
        <v>21</v>
      </c>
      <c r="E540" s="2">
        <v>0</v>
      </c>
      <c r="F540">
        <f t="shared" si="250"/>
        <v>33</v>
      </c>
      <c r="G540">
        <f t="shared" si="251"/>
        <v>0.68700000000000006</v>
      </c>
      <c r="H540" s="3">
        <f t="shared" si="256"/>
        <v>0.05</v>
      </c>
      <c r="I540" s="2">
        <v>2</v>
      </c>
      <c r="J540" s="2">
        <v>0</v>
      </c>
      <c r="K540" s="2">
        <v>1</v>
      </c>
      <c r="L540" s="16">
        <v>2</v>
      </c>
      <c r="M540" s="5">
        <f t="shared" si="252"/>
        <v>400</v>
      </c>
      <c r="N540" s="6">
        <f t="shared" si="253"/>
        <v>23.804550000000003</v>
      </c>
      <c r="O540">
        <f t="shared" si="254"/>
        <v>290.39999999999998</v>
      </c>
      <c r="P540" s="7">
        <f t="shared" si="257"/>
        <v>12.199348443889926</v>
      </c>
      <c r="Q540">
        <f>ROUNDUP(몬스터!$P$7/F540, 0)</f>
        <v>8</v>
      </c>
      <c r="R540" s="6">
        <f t="shared" si="255"/>
        <v>11.644832605531295</v>
      </c>
      <c r="S540" s="7">
        <f>B540/몬스터!$C$7*R540</f>
        <v>157.6531183518083</v>
      </c>
      <c r="U540">
        <f>ROUNDDOWN(R540*몬스터!$H$7, 0)*몬스터!$G$7*(1+몬스터!$I$7)</f>
        <v>156.55499999999998</v>
      </c>
      <c r="V540" s="2">
        <f t="shared" si="258"/>
        <v>0.53910123966942147</v>
      </c>
    </row>
    <row r="541" spans="1:22" x14ac:dyDescent="0.4">
      <c r="A541">
        <v>12</v>
      </c>
      <c r="B541" s="4">
        <f>160*A541</f>
        <v>1920</v>
      </c>
      <c r="C541">
        <f t="shared" si="248"/>
        <v>250</v>
      </c>
      <c r="D541">
        <f t="shared" si="249"/>
        <v>21</v>
      </c>
      <c r="E541" s="2">
        <v>0</v>
      </c>
      <c r="F541">
        <f t="shared" si="250"/>
        <v>35</v>
      </c>
      <c r="G541">
        <f t="shared" si="251"/>
        <v>0.68900000000000006</v>
      </c>
      <c r="H541" s="3">
        <f t="shared" si="256"/>
        <v>0.05</v>
      </c>
      <c r="I541" s="2">
        <v>2</v>
      </c>
      <c r="J541" s="2">
        <v>0</v>
      </c>
      <c r="K541" s="2">
        <v>1</v>
      </c>
      <c r="L541" s="16">
        <v>2</v>
      </c>
      <c r="M541" s="5">
        <f t="shared" si="252"/>
        <v>410</v>
      </c>
      <c r="N541" s="6">
        <f t="shared" si="253"/>
        <v>25.320750000000004</v>
      </c>
      <c r="O541">
        <f t="shared" si="254"/>
        <v>302.5</v>
      </c>
      <c r="P541" s="7">
        <f t="shared" si="257"/>
        <v>11.946723537020031</v>
      </c>
      <c r="Q541">
        <f>ROUNDUP(몬스터!$P$7/F541, 0)</f>
        <v>8</v>
      </c>
      <c r="R541" s="6">
        <f t="shared" si="255"/>
        <v>11.611030478955007</v>
      </c>
      <c r="S541" s="7">
        <f>B541/몬스터!$C$7*R541</f>
        <v>171.48598861225858</v>
      </c>
      <c r="U541">
        <f>ROUNDDOWN(R541*몬스터!$H$7, 0)*몬스터!$G$7*(1+몬스터!$I$7)</f>
        <v>156.55499999999998</v>
      </c>
      <c r="V541" s="2">
        <f t="shared" si="258"/>
        <v>0.51753719008264454</v>
      </c>
    </row>
    <row r="542" spans="1:22" x14ac:dyDescent="0.4">
      <c r="A542">
        <v>13</v>
      </c>
      <c r="B542" s="4">
        <f>160*A542+40</f>
        <v>2120</v>
      </c>
      <c r="C542">
        <f t="shared" si="248"/>
        <v>260</v>
      </c>
      <c r="D542">
        <f t="shared" si="249"/>
        <v>21</v>
      </c>
      <c r="E542" s="2">
        <v>0</v>
      </c>
      <c r="F542">
        <f t="shared" si="250"/>
        <v>36</v>
      </c>
      <c r="G542">
        <f t="shared" si="251"/>
        <v>0.69100000000000006</v>
      </c>
      <c r="H542" s="3">
        <f t="shared" si="256"/>
        <v>0.05</v>
      </c>
      <c r="I542" s="2">
        <v>2</v>
      </c>
      <c r="J542" s="2">
        <v>0</v>
      </c>
      <c r="K542" s="2">
        <v>1</v>
      </c>
      <c r="L542" s="16">
        <v>2</v>
      </c>
      <c r="M542" s="5">
        <f t="shared" si="252"/>
        <v>420</v>
      </c>
      <c r="N542" s="6">
        <f t="shared" si="253"/>
        <v>26.119800000000001</v>
      </c>
      <c r="O542">
        <f t="shared" si="254"/>
        <v>314.59999999999997</v>
      </c>
      <c r="P542" s="7">
        <f t="shared" si="257"/>
        <v>12.044502637845618</v>
      </c>
      <c r="Q542">
        <f>ROUNDUP(몬스터!$P$7/F542, 0)</f>
        <v>8</v>
      </c>
      <c r="R542" s="6">
        <f t="shared" si="255"/>
        <v>11.577424023154848</v>
      </c>
      <c r="S542" s="7">
        <f>B542/몬스터!$C$7*R542</f>
        <v>188.80106868529441</v>
      </c>
      <c r="U542">
        <f>ROUNDDOWN(R542*몬스터!$H$7, 0)*몬스터!$G$7*(1+몬스터!$I$7)</f>
        <v>156.55499999999998</v>
      </c>
      <c r="V542" s="2">
        <f t="shared" si="258"/>
        <v>0.49763191354100444</v>
      </c>
    </row>
    <row r="543" spans="1:22" x14ac:dyDescent="0.4">
      <c r="A543">
        <v>14</v>
      </c>
      <c r="B543" s="4">
        <f>160*A543+120</f>
        <v>2360</v>
      </c>
      <c r="C543">
        <f t="shared" si="248"/>
        <v>270</v>
      </c>
      <c r="D543">
        <f t="shared" si="249"/>
        <v>22</v>
      </c>
      <c r="E543" s="2">
        <v>0</v>
      </c>
      <c r="F543">
        <f t="shared" si="250"/>
        <v>37</v>
      </c>
      <c r="G543">
        <f t="shared" si="251"/>
        <v>0.69300000000000006</v>
      </c>
      <c r="H543" s="3">
        <f t="shared" si="256"/>
        <v>0.05</v>
      </c>
      <c r="I543" s="2">
        <v>2</v>
      </c>
      <c r="J543" s="2">
        <v>0</v>
      </c>
      <c r="K543" s="2">
        <v>1</v>
      </c>
      <c r="L543" s="16">
        <v>2</v>
      </c>
      <c r="M543" s="5">
        <f t="shared" si="252"/>
        <v>430</v>
      </c>
      <c r="N543" s="6">
        <f t="shared" si="253"/>
        <v>26.923050000000003</v>
      </c>
      <c r="O543">
        <f t="shared" si="254"/>
        <v>329.4</v>
      </c>
      <c r="P543" s="7">
        <f t="shared" si="257"/>
        <v>12.234869377726518</v>
      </c>
      <c r="Q543">
        <f>ROUNDUP(몬스터!$P$7/F543, 0)</f>
        <v>7</v>
      </c>
      <c r="R543" s="6">
        <f t="shared" si="255"/>
        <v>10.1010101010101</v>
      </c>
      <c r="S543" s="7">
        <f>B543/몬스터!$C$7*R543</f>
        <v>183.37218337218334</v>
      </c>
      <c r="U543">
        <f>ROUNDDOWN(R543*몬스터!$H$7, 0)*몬스터!$G$7*(1+몬스터!$I$7)</f>
        <v>134.19</v>
      </c>
      <c r="V543" s="2">
        <f t="shared" si="258"/>
        <v>0.40737704918032791</v>
      </c>
    </row>
    <row r="544" spans="1:22" x14ac:dyDescent="0.4">
      <c r="A544">
        <v>15</v>
      </c>
      <c r="B544" s="4">
        <f>160*A544+100</f>
        <v>2500</v>
      </c>
      <c r="C544">
        <f t="shared" si="248"/>
        <v>275</v>
      </c>
      <c r="D544">
        <f t="shared" si="249"/>
        <v>22</v>
      </c>
      <c r="E544" s="2">
        <v>0</v>
      </c>
      <c r="F544">
        <f t="shared" si="250"/>
        <v>39</v>
      </c>
      <c r="G544">
        <f t="shared" si="251"/>
        <v>0.69500000000000006</v>
      </c>
      <c r="H544" s="3">
        <f t="shared" si="256"/>
        <v>0.05</v>
      </c>
      <c r="I544" s="2">
        <v>2</v>
      </c>
      <c r="J544" s="2">
        <v>0</v>
      </c>
      <c r="K544" s="2">
        <v>1</v>
      </c>
      <c r="L544" s="16">
        <v>2</v>
      </c>
      <c r="M544" s="5">
        <f t="shared" si="252"/>
        <v>440</v>
      </c>
      <c r="N544" s="6">
        <f t="shared" si="253"/>
        <v>28.460250000000006</v>
      </c>
      <c r="O544">
        <f t="shared" si="254"/>
        <v>335.5</v>
      </c>
      <c r="P544" s="7">
        <f t="shared" si="257"/>
        <v>11.788371500601714</v>
      </c>
      <c r="Q544">
        <f>ROUNDUP(몬스터!$P$7/F544, 0)</f>
        <v>7</v>
      </c>
      <c r="R544" s="6">
        <f t="shared" si="255"/>
        <v>10.071942446043165</v>
      </c>
      <c r="S544" s="7">
        <f>B544/몬스터!$C$7*R544</f>
        <v>193.69120088544548</v>
      </c>
      <c r="T544" s="7">
        <f t="shared" ref="T544" si="259">SUM(S540:S544)</f>
        <v>895.00355990699006</v>
      </c>
      <c r="U544">
        <f>ROUNDDOWN(R544*몬스터!$H$7, 0)*몬스터!$G$7*(1+몬스터!$I$7)</f>
        <v>134.19</v>
      </c>
      <c r="V544" s="2">
        <f t="shared" si="258"/>
        <v>0.39997019374068554</v>
      </c>
    </row>
    <row r="545" spans="1:22" x14ac:dyDescent="0.4">
      <c r="A545">
        <v>16</v>
      </c>
      <c r="B545" s="4">
        <f>160*A545</f>
        <v>2560</v>
      </c>
      <c r="C545">
        <f t="shared" si="248"/>
        <v>285</v>
      </c>
      <c r="D545">
        <f t="shared" si="249"/>
        <v>22</v>
      </c>
      <c r="E545" s="2">
        <v>0</v>
      </c>
      <c r="F545">
        <f t="shared" si="250"/>
        <v>40</v>
      </c>
      <c r="G545">
        <f t="shared" si="251"/>
        <v>0.69700000000000006</v>
      </c>
      <c r="H545" s="3">
        <f t="shared" si="256"/>
        <v>0.05</v>
      </c>
      <c r="I545" s="2">
        <v>2</v>
      </c>
      <c r="J545" s="2">
        <v>0</v>
      </c>
      <c r="K545" s="2">
        <v>1</v>
      </c>
      <c r="L545" s="16">
        <v>2</v>
      </c>
      <c r="M545" s="5">
        <f t="shared" si="252"/>
        <v>450</v>
      </c>
      <c r="N545" s="6">
        <f t="shared" si="253"/>
        <v>29.274000000000004</v>
      </c>
      <c r="O545">
        <f t="shared" si="254"/>
        <v>347.7</v>
      </c>
      <c r="P545" s="7">
        <f t="shared" si="257"/>
        <v>11.877433900389422</v>
      </c>
      <c r="Q545">
        <f>ROUNDUP(몬스터!$P$8/F545, 0)</f>
        <v>9</v>
      </c>
      <c r="R545" s="6">
        <f t="shared" si="255"/>
        <v>12.91248206599713</v>
      </c>
      <c r="S545" s="7">
        <f>B545/몬스터!$C$8*R545</f>
        <v>183.64418938307028</v>
      </c>
      <c r="U545">
        <f>ROUNDDOWN(R545*몬스터!$H$8, 0)*몬스터!$G$8*(1+몬스터!$I$8)</f>
        <v>240.24</v>
      </c>
      <c r="V545" s="2">
        <f t="shared" si="258"/>
        <v>0.69094046591889569</v>
      </c>
    </row>
    <row r="546" spans="1:22" x14ac:dyDescent="0.4">
      <c r="A546">
        <v>17</v>
      </c>
      <c r="B546" s="4">
        <f>160*A546</f>
        <v>2720</v>
      </c>
      <c r="C546">
        <f t="shared" si="248"/>
        <v>295</v>
      </c>
      <c r="D546">
        <f t="shared" si="249"/>
        <v>23</v>
      </c>
      <c r="E546" s="2">
        <v>0</v>
      </c>
      <c r="F546">
        <f t="shared" si="250"/>
        <v>41</v>
      </c>
      <c r="G546">
        <f t="shared" si="251"/>
        <v>0.69900000000000007</v>
      </c>
      <c r="H546" s="3">
        <f t="shared" si="256"/>
        <v>0.05</v>
      </c>
      <c r="I546" s="2">
        <v>2</v>
      </c>
      <c r="J546" s="2">
        <v>0</v>
      </c>
      <c r="K546" s="2">
        <v>1</v>
      </c>
      <c r="L546" s="16">
        <v>2</v>
      </c>
      <c r="M546" s="5">
        <f t="shared" si="252"/>
        <v>460</v>
      </c>
      <c r="N546" s="6">
        <f t="shared" si="253"/>
        <v>30.091950000000004</v>
      </c>
      <c r="O546">
        <f t="shared" si="254"/>
        <v>362.85</v>
      </c>
      <c r="P546" s="7">
        <f t="shared" si="257"/>
        <v>12.058042100960556</v>
      </c>
      <c r="Q546">
        <f>ROUNDUP(몬스터!$P$8/F546, 0)</f>
        <v>9</v>
      </c>
      <c r="R546" s="6">
        <f t="shared" si="255"/>
        <v>12.875536480686694</v>
      </c>
      <c r="S546" s="7">
        <f>B546/몬스터!$C$8*R546</f>
        <v>194.56366237482115</v>
      </c>
      <c r="U546">
        <f>ROUNDDOWN(R546*몬스터!$H$8, 0)*몬스터!$G$8*(1+몬스터!$I$8)</f>
        <v>240.24</v>
      </c>
      <c r="V546" s="2">
        <f t="shared" si="258"/>
        <v>0.6620917734601075</v>
      </c>
    </row>
    <row r="547" spans="1:22" x14ac:dyDescent="0.4">
      <c r="A547">
        <v>18</v>
      </c>
      <c r="B547" s="4">
        <f>160*A547</f>
        <v>2880</v>
      </c>
      <c r="C547">
        <f t="shared" si="248"/>
        <v>305</v>
      </c>
      <c r="D547">
        <f t="shared" si="249"/>
        <v>23</v>
      </c>
      <c r="E547" s="2">
        <v>0</v>
      </c>
      <c r="F547">
        <f t="shared" si="250"/>
        <v>43</v>
      </c>
      <c r="G547">
        <f t="shared" si="251"/>
        <v>0.70100000000000007</v>
      </c>
      <c r="H547" s="3">
        <f t="shared" si="256"/>
        <v>0.05</v>
      </c>
      <c r="I547" s="2">
        <v>2</v>
      </c>
      <c r="J547" s="2">
        <v>0</v>
      </c>
      <c r="K547" s="2">
        <v>1</v>
      </c>
      <c r="L547" s="16">
        <v>2</v>
      </c>
      <c r="M547" s="5">
        <f t="shared" si="252"/>
        <v>470</v>
      </c>
      <c r="N547" s="6">
        <f t="shared" si="253"/>
        <v>31.650150000000007</v>
      </c>
      <c r="O547">
        <f t="shared" si="254"/>
        <v>375.15</v>
      </c>
      <c r="P547" s="7">
        <f t="shared" si="257"/>
        <v>11.853024393249317</v>
      </c>
      <c r="Q547">
        <f>ROUNDUP(몬스터!$P$8/F547, 0)</f>
        <v>8</v>
      </c>
      <c r="R547" s="6">
        <f t="shared" si="255"/>
        <v>11.412268188302424</v>
      </c>
      <c r="S547" s="7">
        <f>B547/몬스터!$C$8*R547</f>
        <v>182.59629101283878</v>
      </c>
      <c r="U547">
        <f>ROUNDDOWN(R547*몬스터!$H$8, 0)*몬스터!$G$8*(1+몬스터!$I$8)</f>
        <v>210.21</v>
      </c>
      <c r="V547" s="2">
        <f t="shared" si="258"/>
        <v>0.56033586565373861</v>
      </c>
    </row>
    <row r="548" spans="1:22" x14ac:dyDescent="0.4">
      <c r="A548">
        <v>19</v>
      </c>
      <c r="B548" s="4">
        <f>160*A548</f>
        <v>3040</v>
      </c>
      <c r="C548">
        <f t="shared" si="248"/>
        <v>315</v>
      </c>
      <c r="D548">
        <f t="shared" si="249"/>
        <v>23</v>
      </c>
      <c r="E548" s="2">
        <v>0</v>
      </c>
      <c r="F548">
        <f t="shared" si="250"/>
        <v>44</v>
      </c>
      <c r="G548">
        <f t="shared" si="251"/>
        <v>0.70300000000000007</v>
      </c>
      <c r="H548" s="3">
        <f t="shared" si="256"/>
        <v>0.05</v>
      </c>
      <c r="I548" s="2">
        <v>2</v>
      </c>
      <c r="J548" s="2">
        <v>0</v>
      </c>
      <c r="K548" s="2">
        <v>1</v>
      </c>
      <c r="L548" s="16">
        <v>2</v>
      </c>
      <c r="M548" s="5">
        <f t="shared" si="252"/>
        <v>480</v>
      </c>
      <c r="N548" s="6">
        <f t="shared" si="253"/>
        <v>32.4786</v>
      </c>
      <c r="O548">
        <f t="shared" si="254"/>
        <v>387.45</v>
      </c>
      <c r="P548" s="7">
        <f t="shared" si="257"/>
        <v>11.929393508340876</v>
      </c>
      <c r="Q548">
        <f>ROUNDUP(몬스터!$P$8/F548, 0)</f>
        <v>8</v>
      </c>
      <c r="R548" s="6">
        <f t="shared" si="255"/>
        <v>11.379800853485063</v>
      </c>
      <c r="S548" s="7">
        <f>B548/몬스터!$C$8*R548</f>
        <v>192.19219219219218</v>
      </c>
      <c r="U548">
        <f>ROUNDDOWN(R548*몬스터!$H$8, 0)*몬스터!$G$8*(1+몬스터!$I$8)</f>
        <v>210.21</v>
      </c>
      <c r="V548" s="2">
        <f t="shared" si="258"/>
        <v>0.54254742547425483</v>
      </c>
    </row>
    <row r="549" spans="1:22" x14ac:dyDescent="0.4">
      <c r="A549">
        <v>20</v>
      </c>
      <c r="B549" s="4">
        <f>160*A549+80</f>
        <v>3280</v>
      </c>
      <c r="C549">
        <f t="shared" si="248"/>
        <v>325</v>
      </c>
      <c r="D549">
        <f t="shared" si="249"/>
        <v>24</v>
      </c>
      <c r="E549" s="2">
        <v>0</v>
      </c>
      <c r="F549">
        <f t="shared" si="250"/>
        <v>45</v>
      </c>
      <c r="G549">
        <f t="shared" si="251"/>
        <v>0.70500000000000007</v>
      </c>
      <c r="H549" s="3">
        <f t="shared" si="256"/>
        <v>0.05</v>
      </c>
      <c r="I549" s="2">
        <v>2</v>
      </c>
      <c r="J549" s="2">
        <v>0</v>
      </c>
      <c r="K549" s="2">
        <v>1</v>
      </c>
      <c r="L549" s="16">
        <v>2</v>
      </c>
      <c r="M549" s="5">
        <f t="shared" si="252"/>
        <v>490</v>
      </c>
      <c r="N549" s="6">
        <f t="shared" si="253"/>
        <v>33.311250000000001</v>
      </c>
      <c r="O549">
        <f t="shared" si="254"/>
        <v>403</v>
      </c>
      <c r="P549" s="7">
        <f t="shared" si="257"/>
        <v>12.098014934894367</v>
      </c>
      <c r="Q549">
        <f>ROUNDUP(몬스터!$P$8/F549, 0)</f>
        <v>8</v>
      </c>
      <c r="R549" s="6">
        <f t="shared" si="255"/>
        <v>11.347517730496453</v>
      </c>
      <c r="S549" s="7">
        <f>B549/몬스터!$C$8*R549</f>
        <v>206.77698975571312</v>
      </c>
      <c r="T549" s="7">
        <f t="shared" ref="T549" si="260">SUM(S545:S549)</f>
        <v>959.77332471863554</v>
      </c>
      <c r="U549">
        <f>ROUNDDOWN(R549*몬스터!$H$8, 0)*몬스터!$G$8*(1+몬스터!$I$8)</f>
        <v>210.21</v>
      </c>
      <c r="V549" s="2">
        <f t="shared" si="258"/>
        <v>0.52161290322580645</v>
      </c>
    </row>
    <row r="550" spans="1:22" x14ac:dyDescent="0.4">
      <c r="A550">
        <v>21</v>
      </c>
      <c r="B550" s="4">
        <f>160*A550</f>
        <v>3360</v>
      </c>
      <c r="C550">
        <f t="shared" si="248"/>
        <v>335</v>
      </c>
      <c r="D550">
        <f t="shared" si="249"/>
        <v>24</v>
      </c>
      <c r="E550" s="2">
        <v>0</v>
      </c>
      <c r="F550">
        <f t="shared" si="250"/>
        <v>47</v>
      </c>
      <c r="G550">
        <f t="shared" si="251"/>
        <v>0.70700000000000007</v>
      </c>
      <c r="H550" s="3">
        <f t="shared" si="256"/>
        <v>0.05</v>
      </c>
      <c r="I550" s="2">
        <v>2</v>
      </c>
      <c r="J550" s="2">
        <v>0</v>
      </c>
      <c r="K550" s="2">
        <v>1</v>
      </c>
      <c r="L550" s="16">
        <v>2</v>
      </c>
      <c r="M550" s="5">
        <f t="shared" si="252"/>
        <v>500</v>
      </c>
      <c r="N550" s="6">
        <f t="shared" si="253"/>
        <v>34.890450000000008</v>
      </c>
      <c r="O550">
        <f t="shared" si="254"/>
        <v>415.4</v>
      </c>
      <c r="P550" s="7">
        <f t="shared" si="257"/>
        <v>11.905836697434395</v>
      </c>
      <c r="Q550">
        <f>ROUNDUP(몬스터!$P$11/F550, 0)</f>
        <v>10</v>
      </c>
      <c r="R550" s="6">
        <f t="shared" si="255"/>
        <v>14.144271570014142</v>
      </c>
      <c r="S550" s="7">
        <f>B550/몬스터!$C$11*R550</f>
        <v>206.62935858803269</v>
      </c>
      <c r="U550">
        <f>ROUNDDOWN(R550*몬스터!$H$11, 0)*몬스터!$G$11*(1+몬스터!$I$11)</f>
        <v>349.92</v>
      </c>
      <c r="V550" s="2">
        <f t="shared" si="258"/>
        <v>0.84236880115551283</v>
      </c>
    </row>
    <row r="551" spans="1:22" x14ac:dyDescent="0.4">
      <c r="A551">
        <v>22</v>
      </c>
      <c r="B551" s="4">
        <f>160*A551</f>
        <v>3520</v>
      </c>
      <c r="C551">
        <f t="shared" si="248"/>
        <v>345</v>
      </c>
      <c r="D551">
        <f t="shared" si="249"/>
        <v>24</v>
      </c>
      <c r="E551" s="2">
        <v>0</v>
      </c>
      <c r="F551">
        <f t="shared" si="250"/>
        <v>48</v>
      </c>
      <c r="G551">
        <f t="shared" si="251"/>
        <v>0.70900000000000007</v>
      </c>
      <c r="H551" s="3">
        <f t="shared" si="256"/>
        <v>0.05</v>
      </c>
      <c r="I551" s="2">
        <v>2</v>
      </c>
      <c r="J551" s="2">
        <v>0</v>
      </c>
      <c r="K551" s="2">
        <v>1</v>
      </c>
      <c r="L551" s="16">
        <v>2</v>
      </c>
      <c r="M551" s="5">
        <f t="shared" si="252"/>
        <v>510</v>
      </c>
      <c r="N551" s="6">
        <f t="shared" si="253"/>
        <v>35.733600000000003</v>
      </c>
      <c r="O551">
        <f t="shared" si="254"/>
        <v>427.8</v>
      </c>
      <c r="P551" s="7">
        <f t="shared" si="257"/>
        <v>11.971925582644905</v>
      </c>
      <c r="Q551">
        <f>ROUNDUP(몬스터!$P$11/F551, 0)</f>
        <v>9</v>
      </c>
      <c r="R551" s="6">
        <f t="shared" si="255"/>
        <v>12.693935119887163</v>
      </c>
      <c r="S551" s="7">
        <f>B551/몬스터!$C$11*R551</f>
        <v>194.27239835653398</v>
      </c>
      <c r="U551">
        <f>ROUNDDOWN(R551*몬스터!$H$11, 0)*몬스터!$G$11*(1+몬스터!$I$11)</f>
        <v>311.04000000000002</v>
      </c>
      <c r="V551" s="2">
        <f t="shared" si="258"/>
        <v>0.72706872370266484</v>
      </c>
    </row>
    <row r="552" spans="1:22" x14ac:dyDescent="0.4">
      <c r="A552">
        <v>23</v>
      </c>
      <c r="B552" s="4">
        <f>160*A552</f>
        <v>3680</v>
      </c>
      <c r="C552">
        <f t="shared" si="248"/>
        <v>355</v>
      </c>
      <c r="D552">
        <f t="shared" si="249"/>
        <v>24</v>
      </c>
      <c r="E552" s="2">
        <v>0</v>
      </c>
      <c r="F552">
        <f t="shared" si="250"/>
        <v>49</v>
      </c>
      <c r="G552">
        <f t="shared" si="251"/>
        <v>0.71100000000000008</v>
      </c>
      <c r="H552" s="3">
        <f t="shared" si="256"/>
        <v>0.05</v>
      </c>
      <c r="I552" s="2">
        <v>2</v>
      </c>
      <c r="J552" s="2">
        <v>0</v>
      </c>
      <c r="K552" s="2">
        <v>1</v>
      </c>
      <c r="L552" s="16">
        <v>2</v>
      </c>
      <c r="M552" s="5">
        <f t="shared" si="252"/>
        <v>520</v>
      </c>
      <c r="N552" s="6">
        <f t="shared" si="253"/>
        <v>36.580950000000009</v>
      </c>
      <c r="O552">
        <f t="shared" si="254"/>
        <v>440.2</v>
      </c>
      <c r="P552" s="7">
        <f t="shared" si="257"/>
        <v>12.033585787137838</v>
      </c>
      <c r="Q552">
        <f>ROUNDUP(몬스터!$P$11/F552, 0)</f>
        <v>9</v>
      </c>
      <c r="R552" s="6">
        <f t="shared" si="255"/>
        <v>12.658227848101264</v>
      </c>
      <c r="S552" s="7">
        <f>B552/몬스터!$C$11*R552</f>
        <v>202.53164556962022</v>
      </c>
      <c r="U552">
        <f>ROUNDDOWN(R552*몬스터!$H$11, 0)*몬스터!$G$11*(1+몬스터!$I$11)</f>
        <v>311.04000000000002</v>
      </c>
      <c r="V552" s="2">
        <f t="shared" si="258"/>
        <v>0.70658791458427994</v>
      </c>
    </row>
    <row r="553" spans="1:22" x14ac:dyDescent="0.4">
      <c r="A553">
        <v>24</v>
      </c>
      <c r="B553" s="4">
        <f>160*A553</f>
        <v>3840</v>
      </c>
      <c r="C553">
        <f t="shared" si="248"/>
        <v>365</v>
      </c>
      <c r="D553">
        <f t="shared" si="249"/>
        <v>25</v>
      </c>
      <c r="E553" s="2">
        <v>0</v>
      </c>
      <c r="F553">
        <f t="shared" si="250"/>
        <v>51</v>
      </c>
      <c r="G553">
        <f t="shared" si="251"/>
        <v>0.71300000000000008</v>
      </c>
      <c r="H553" s="3">
        <f t="shared" si="256"/>
        <v>0.05</v>
      </c>
      <c r="I553" s="2">
        <v>2</v>
      </c>
      <c r="J553" s="2">
        <v>0</v>
      </c>
      <c r="K553" s="2">
        <v>1</v>
      </c>
      <c r="L553" s="16">
        <v>2</v>
      </c>
      <c r="M553" s="5">
        <f t="shared" si="252"/>
        <v>530</v>
      </c>
      <c r="N553" s="6">
        <f t="shared" si="253"/>
        <v>38.181150000000009</v>
      </c>
      <c r="O553">
        <f t="shared" si="254"/>
        <v>456.25</v>
      </c>
      <c r="P553" s="7">
        <f t="shared" si="257"/>
        <v>11.949613880147661</v>
      </c>
      <c r="Q553">
        <f>ROUNDUP(몬스터!$P$11/F553, 0)</f>
        <v>9</v>
      </c>
      <c r="R553" s="6">
        <f t="shared" si="255"/>
        <v>12.622720897615707</v>
      </c>
      <c r="S553" s="7">
        <f>B553/몬스터!$C$11*R553</f>
        <v>210.74455759497528</v>
      </c>
      <c r="U553">
        <f>ROUNDDOWN(R553*몬스터!$H$11, 0)*몬스터!$G$11*(1+몬스터!$I$11)</f>
        <v>311.04000000000002</v>
      </c>
      <c r="V553" s="2">
        <f t="shared" si="258"/>
        <v>0.68173150684931516</v>
      </c>
    </row>
    <row r="554" spans="1:22" x14ac:dyDescent="0.4">
      <c r="A554">
        <v>25</v>
      </c>
      <c r="B554" s="4">
        <f>160*A554</f>
        <v>4000</v>
      </c>
      <c r="C554">
        <f t="shared" si="248"/>
        <v>375</v>
      </c>
      <c r="D554">
        <f t="shared" si="249"/>
        <v>25</v>
      </c>
      <c r="E554" s="2">
        <v>0</v>
      </c>
      <c r="F554">
        <f t="shared" si="250"/>
        <v>52</v>
      </c>
      <c r="G554">
        <f t="shared" si="251"/>
        <v>0.71500000000000008</v>
      </c>
      <c r="H554" s="3">
        <f t="shared" si="256"/>
        <v>0.05</v>
      </c>
      <c r="I554" s="2">
        <v>2</v>
      </c>
      <c r="J554" s="2">
        <v>0</v>
      </c>
      <c r="K554" s="2">
        <v>1</v>
      </c>
      <c r="L554" s="16">
        <v>2</v>
      </c>
      <c r="M554" s="5">
        <f t="shared" si="252"/>
        <v>540</v>
      </c>
      <c r="N554" s="6">
        <f t="shared" si="253"/>
        <v>39.039000000000009</v>
      </c>
      <c r="O554">
        <f t="shared" si="254"/>
        <v>468.75</v>
      </c>
      <c r="P554" s="7">
        <f t="shared" si="257"/>
        <v>12.007223545685081</v>
      </c>
      <c r="Q554">
        <f>ROUNDUP(몬스터!$P$11/F554, 0)</f>
        <v>9</v>
      </c>
      <c r="R554" s="6">
        <f t="shared" si="255"/>
        <v>12.587412587412587</v>
      </c>
      <c r="S554" s="7">
        <f>B554/몬스터!$C$11*R554</f>
        <v>218.91152325934931</v>
      </c>
      <c r="T554" s="7">
        <f t="shared" ref="T554" si="261">SUM(S550:S554)</f>
        <v>1033.0894833685115</v>
      </c>
      <c r="U554">
        <f>ROUNDDOWN(R554*몬스터!$H$11, 0)*몬스터!$G$11*(1+몬스터!$I$11)</f>
        <v>311.04000000000002</v>
      </c>
      <c r="V554" s="2">
        <f t="shared" si="258"/>
        <v>0.66355200000000003</v>
      </c>
    </row>
    <row r="555" spans="1:22" x14ac:dyDescent="0.4">
      <c r="A555">
        <v>26</v>
      </c>
      <c r="B555" s="4">
        <f>170*A555</f>
        <v>4420</v>
      </c>
      <c r="C555">
        <f t="shared" si="248"/>
        <v>385</v>
      </c>
      <c r="D555">
        <f t="shared" si="249"/>
        <v>25</v>
      </c>
      <c r="E555" s="2">
        <v>0</v>
      </c>
      <c r="F555">
        <f t="shared" si="250"/>
        <v>53</v>
      </c>
      <c r="G555">
        <f t="shared" si="251"/>
        <v>0.71700000000000008</v>
      </c>
      <c r="H555" s="3">
        <f t="shared" si="256"/>
        <v>0.05</v>
      </c>
      <c r="I555" s="2">
        <v>2</v>
      </c>
      <c r="J555" s="2">
        <v>0</v>
      </c>
      <c r="K555" s="2">
        <v>1</v>
      </c>
      <c r="L555" s="16">
        <v>2</v>
      </c>
      <c r="M555" s="5">
        <f t="shared" si="252"/>
        <v>550</v>
      </c>
      <c r="N555" s="6">
        <f t="shared" si="253"/>
        <v>39.901050000000005</v>
      </c>
      <c r="O555">
        <f t="shared" si="254"/>
        <v>481.25</v>
      </c>
      <c r="P555" s="7">
        <f t="shared" si="257"/>
        <v>12.061086111768986</v>
      </c>
      <c r="Q555">
        <f>ROUNDUP(몬스터!$P$12/F555, 0)</f>
        <v>10</v>
      </c>
      <c r="R555" s="6">
        <f t="shared" si="255"/>
        <v>13.947001394700138</v>
      </c>
      <c r="S555" s="7">
        <f>B555/몬스터!$C$12*R555</f>
        <v>220.16337915919505</v>
      </c>
      <c r="U555">
        <f>ROUNDDOWN(R555*몬스터!$H$12, 0)*몬스터!$G$12*(1+몬스터!$I$12)</f>
        <v>420.86249999999995</v>
      </c>
      <c r="V555" s="2">
        <f t="shared" si="258"/>
        <v>0.87451948051948047</v>
      </c>
    </row>
    <row r="556" spans="1:22" x14ac:dyDescent="0.4">
      <c r="A556">
        <v>27</v>
      </c>
      <c r="B556" s="4">
        <f>170*A556</f>
        <v>4590</v>
      </c>
      <c r="C556">
        <f t="shared" si="248"/>
        <v>395</v>
      </c>
      <c r="D556">
        <f t="shared" si="249"/>
        <v>26</v>
      </c>
      <c r="E556" s="2">
        <v>0</v>
      </c>
      <c r="F556">
        <f t="shared" si="250"/>
        <v>55</v>
      </c>
      <c r="G556">
        <f t="shared" si="251"/>
        <v>0.71900000000000008</v>
      </c>
      <c r="H556" s="3">
        <f t="shared" si="256"/>
        <v>0.05</v>
      </c>
      <c r="I556" s="2">
        <v>2</v>
      </c>
      <c r="J556" s="2">
        <v>0</v>
      </c>
      <c r="K556" s="2">
        <v>1</v>
      </c>
      <c r="L556" s="16">
        <v>2</v>
      </c>
      <c r="M556" s="5">
        <f t="shared" si="252"/>
        <v>560</v>
      </c>
      <c r="N556" s="6">
        <f t="shared" si="253"/>
        <v>41.522250000000007</v>
      </c>
      <c r="O556">
        <f t="shared" si="254"/>
        <v>497.7</v>
      </c>
      <c r="P556" s="7">
        <f t="shared" si="257"/>
        <v>11.986344670628396</v>
      </c>
      <c r="Q556">
        <f>ROUNDUP(몬스터!$P$12/F556, 0)</f>
        <v>10</v>
      </c>
      <c r="R556" s="6">
        <f t="shared" si="255"/>
        <v>13.908205841446453</v>
      </c>
      <c r="S556" s="7">
        <f>B556/몬스터!$C$12*R556</f>
        <v>227.99523147228291</v>
      </c>
      <c r="U556">
        <f>ROUNDDOWN(R556*몬스터!$H$12, 0)*몬스터!$G$12*(1+몬스터!$I$12)</f>
        <v>420.86249999999995</v>
      </c>
      <c r="V556" s="2">
        <f t="shared" si="258"/>
        <v>0.84561482820976486</v>
      </c>
    </row>
    <row r="557" spans="1:22" x14ac:dyDescent="0.4">
      <c r="A557">
        <v>28</v>
      </c>
      <c r="B557" s="4">
        <f>170*A557</f>
        <v>4760</v>
      </c>
      <c r="C557">
        <f t="shared" si="248"/>
        <v>405</v>
      </c>
      <c r="D557">
        <f t="shared" si="249"/>
        <v>26</v>
      </c>
      <c r="E557" s="2">
        <v>0</v>
      </c>
      <c r="F557">
        <f t="shared" si="250"/>
        <v>56</v>
      </c>
      <c r="G557">
        <f t="shared" si="251"/>
        <v>0.72100000000000009</v>
      </c>
      <c r="H557" s="3">
        <f t="shared" si="256"/>
        <v>0.05</v>
      </c>
      <c r="I557" s="2">
        <v>2</v>
      </c>
      <c r="J557" s="2">
        <v>0</v>
      </c>
      <c r="K557" s="2">
        <v>1</v>
      </c>
      <c r="L557" s="16">
        <v>2</v>
      </c>
      <c r="M557" s="5">
        <f t="shared" si="252"/>
        <v>570</v>
      </c>
      <c r="N557" s="6">
        <f t="shared" si="253"/>
        <v>42.394800000000004</v>
      </c>
      <c r="O557">
        <f t="shared" si="254"/>
        <v>510.3</v>
      </c>
      <c r="P557" s="7">
        <f t="shared" si="257"/>
        <v>12.036853576382008</v>
      </c>
      <c r="Q557">
        <f>ROUNDUP(몬스터!$P$12/F557, 0)</f>
        <v>10</v>
      </c>
      <c r="R557" s="6">
        <f t="shared" si="255"/>
        <v>13.869625520110956</v>
      </c>
      <c r="S557" s="7">
        <f>B557/몬스터!$C$12*R557</f>
        <v>235.78363384188626</v>
      </c>
      <c r="U557">
        <f>ROUNDDOWN(R557*몬스터!$H$12, 0)*몬스터!$G$12*(1+몬스터!$I$12)</f>
        <v>420.86249999999995</v>
      </c>
      <c r="V557" s="2">
        <f t="shared" si="258"/>
        <v>0.82473544973544965</v>
      </c>
    </row>
    <row r="558" spans="1:22" x14ac:dyDescent="0.4">
      <c r="A558">
        <v>29</v>
      </c>
      <c r="B558" s="4">
        <f>170*A558</f>
        <v>4930</v>
      </c>
      <c r="C558">
        <f t="shared" si="248"/>
        <v>415</v>
      </c>
      <c r="D558">
        <f t="shared" si="249"/>
        <v>26</v>
      </c>
      <c r="E558" s="2">
        <v>0</v>
      </c>
      <c r="F558">
        <f t="shared" si="250"/>
        <v>57</v>
      </c>
      <c r="G558">
        <f t="shared" si="251"/>
        <v>0.72300000000000009</v>
      </c>
      <c r="H558" s="3">
        <f t="shared" si="256"/>
        <v>0.05</v>
      </c>
      <c r="I558" s="2">
        <v>2</v>
      </c>
      <c r="J558" s="2">
        <v>0</v>
      </c>
      <c r="K558" s="2">
        <v>1</v>
      </c>
      <c r="L558" s="16">
        <v>2</v>
      </c>
      <c r="M558" s="5">
        <f t="shared" si="252"/>
        <v>580</v>
      </c>
      <c r="N558" s="6">
        <f t="shared" si="253"/>
        <v>43.271550000000005</v>
      </c>
      <c r="O558">
        <f t="shared" si="254"/>
        <v>522.9</v>
      </c>
      <c r="P558" s="7">
        <f t="shared" si="257"/>
        <v>12.084152289437284</v>
      </c>
      <c r="Q558">
        <f>ROUNDUP(몬스터!$P$12/F558, 0)</f>
        <v>10</v>
      </c>
      <c r="R558" s="6">
        <f t="shared" si="255"/>
        <v>13.831258644536652</v>
      </c>
      <c r="S558" s="7">
        <f>B558/몬스터!$C$12*R558</f>
        <v>243.5289468484489</v>
      </c>
      <c r="U558">
        <f>ROUNDDOWN(R558*몬스터!$H$12, 0)*몬스터!$G$12*(1+몬스터!$I$12)</f>
        <v>420.86249999999995</v>
      </c>
      <c r="V558" s="2">
        <f t="shared" si="258"/>
        <v>0.80486230636833045</v>
      </c>
    </row>
    <row r="559" spans="1:22" x14ac:dyDescent="0.4">
      <c r="A559">
        <v>30</v>
      </c>
      <c r="B559" s="4">
        <f>170*A559</f>
        <v>5100</v>
      </c>
      <c r="C559">
        <f t="shared" si="248"/>
        <v>420</v>
      </c>
      <c r="D559">
        <f t="shared" si="249"/>
        <v>27</v>
      </c>
      <c r="E559" s="2">
        <v>0</v>
      </c>
      <c r="F559">
        <f t="shared" si="250"/>
        <v>59</v>
      </c>
      <c r="G559">
        <f t="shared" si="251"/>
        <v>0.72500000000000009</v>
      </c>
      <c r="H559" s="3">
        <f t="shared" si="256"/>
        <v>0.05</v>
      </c>
      <c r="I559" s="2">
        <v>2</v>
      </c>
      <c r="J559" s="2">
        <v>0</v>
      </c>
      <c r="K559" s="2">
        <v>1</v>
      </c>
      <c r="L559" s="16">
        <v>2</v>
      </c>
      <c r="M559" s="5">
        <f t="shared" si="252"/>
        <v>590</v>
      </c>
      <c r="N559" s="6">
        <f t="shared" si="253"/>
        <v>44.913750000000007</v>
      </c>
      <c r="O559">
        <f t="shared" si="254"/>
        <v>533.4</v>
      </c>
      <c r="P559" s="7">
        <f t="shared" si="257"/>
        <v>11.876095850379892</v>
      </c>
      <c r="Q559">
        <f>ROUNDUP(몬스터!$P$12/F559, 0)</f>
        <v>9</v>
      </c>
      <c r="R559" s="6">
        <f t="shared" si="255"/>
        <v>12.413793103448274</v>
      </c>
      <c r="S559" s="7">
        <f>B559/몬스터!$C$12*R559</f>
        <v>226.10837438423644</v>
      </c>
      <c r="T559" s="7">
        <f t="shared" ref="T559" si="262">SUM(S555:S559)</f>
        <v>1153.5795657060496</v>
      </c>
      <c r="U559">
        <f>ROUNDDOWN(R559*몬스터!$H$12, 0)*몬스터!$G$12*(1+몬스터!$I$12)</f>
        <v>374.09999999999997</v>
      </c>
      <c r="V559" s="2">
        <f t="shared" si="258"/>
        <v>0.70134983127109107</v>
      </c>
    </row>
    <row r="560" spans="1:22" x14ac:dyDescent="0.4">
      <c r="A560">
        <v>31</v>
      </c>
      <c r="B560" s="4">
        <f>160*A560</f>
        <v>4960</v>
      </c>
      <c r="C560">
        <f t="shared" si="248"/>
        <v>430</v>
      </c>
      <c r="D560">
        <f t="shared" si="249"/>
        <v>27</v>
      </c>
      <c r="E560" s="2">
        <v>0</v>
      </c>
      <c r="F560">
        <f t="shared" si="250"/>
        <v>60</v>
      </c>
      <c r="G560">
        <f t="shared" si="251"/>
        <v>0.72700000000000009</v>
      </c>
      <c r="H560" s="3">
        <f t="shared" si="256"/>
        <v>0.05</v>
      </c>
      <c r="I560" s="2">
        <v>2</v>
      </c>
      <c r="J560" s="2">
        <v>0</v>
      </c>
      <c r="K560" s="2">
        <v>1</v>
      </c>
      <c r="L560" s="16">
        <v>2</v>
      </c>
      <c r="M560" s="5">
        <f t="shared" si="252"/>
        <v>600</v>
      </c>
      <c r="N560" s="6">
        <f t="shared" si="253"/>
        <v>45.801000000000009</v>
      </c>
      <c r="O560">
        <f t="shared" si="254"/>
        <v>546.1</v>
      </c>
      <c r="P560" s="7">
        <f t="shared" si="257"/>
        <v>11.923320451518524</v>
      </c>
      <c r="Q560">
        <f>ROUNDUP(몬스터!$P$13/F560, 0)</f>
        <v>11</v>
      </c>
      <c r="R560" s="6">
        <f t="shared" si="255"/>
        <v>15.13067400275103</v>
      </c>
      <c r="S560" s="7">
        <f>B560/몬스터!$C$13*R560</f>
        <v>227.41861531407611</v>
      </c>
      <c r="U560">
        <f>ROUNDDOWN(R560*몬스터!$H$13, 0)*몬스터!$G$13*(1+몬스터!$I$13)</f>
        <v>558.44999999999993</v>
      </c>
      <c r="V560" s="2">
        <f t="shared" si="258"/>
        <v>1.0226149056949274</v>
      </c>
    </row>
    <row r="561" spans="1:22" x14ac:dyDescent="0.4">
      <c r="A561">
        <v>32</v>
      </c>
      <c r="B561" s="4">
        <f>160*A561</f>
        <v>5120</v>
      </c>
      <c r="C561">
        <f t="shared" si="248"/>
        <v>440</v>
      </c>
      <c r="D561">
        <f t="shared" si="249"/>
        <v>27</v>
      </c>
      <c r="E561" s="2">
        <v>0</v>
      </c>
      <c r="F561">
        <f t="shared" si="250"/>
        <v>61</v>
      </c>
      <c r="G561">
        <f t="shared" si="251"/>
        <v>0.72900000000000009</v>
      </c>
      <c r="H561" s="3">
        <f t="shared" si="256"/>
        <v>0.05</v>
      </c>
      <c r="I561" s="2">
        <v>2</v>
      </c>
      <c r="J561" s="2">
        <v>0</v>
      </c>
      <c r="K561" s="2">
        <v>1</v>
      </c>
      <c r="L561" s="16">
        <v>2</v>
      </c>
      <c r="M561" s="5">
        <f t="shared" si="252"/>
        <v>610</v>
      </c>
      <c r="N561" s="6">
        <f t="shared" si="253"/>
        <v>46.692450000000008</v>
      </c>
      <c r="O561">
        <f t="shared" si="254"/>
        <v>558.79999999999995</v>
      </c>
      <c r="P561" s="7">
        <f t="shared" si="257"/>
        <v>11.967673574635725</v>
      </c>
      <c r="Q561">
        <f>ROUNDUP(몬스터!$P$13/F561, 0)</f>
        <v>11</v>
      </c>
      <c r="R561" s="6">
        <f t="shared" si="255"/>
        <v>15.089163237311384</v>
      </c>
      <c r="S561" s="7">
        <f>B561/몬스터!$C$13*R561</f>
        <v>234.11065386374025</v>
      </c>
      <c r="U561">
        <f>ROUNDDOWN(R561*몬스터!$H$13, 0)*몬스터!$G$13*(1+몬스터!$I$13)</f>
        <v>558.44999999999993</v>
      </c>
      <c r="V561" s="2">
        <f t="shared" si="258"/>
        <v>0.99937365783822474</v>
      </c>
    </row>
    <row r="562" spans="1:22" x14ac:dyDescent="0.4">
      <c r="A562">
        <v>33</v>
      </c>
      <c r="B562" s="4">
        <f>160*A562</f>
        <v>5280</v>
      </c>
      <c r="C562">
        <f t="shared" ref="C562:C593" si="263">MROUND((150+A562*11)*0.88,5)</f>
        <v>450</v>
      </c>
      <c r="D562">
        <f t="shared" ref="D562:D593" si="264">ROUNDDOWN((18+A562*0.3), 0)</f>
        <v>27</v>
      </c>
      <c r="E562" s="2">
        <v>0</v>
      </c>
      <c r="F562">
        <f t="shared" ref="F562:F593" si="265">ROUND((28+A562*2)*2/3, 0)</f>
        <v>63</v>
      </c>
      <c r="G562">
        <f t="shared" ref="G562:G593" si="266">0.665+0.002*A562</f>
        <v>0.73100000000000009</v>
      </c>
      <c r="H562" s="3">
        <f t="shared" si="256"/>
        <v>0.05</v>
      </c>
      <c r="I562" s="2">
        <v>2</v>
      </c>
      <c r="J562" s="2">
        <v>0</v>
      </c>
      <c r="K562" s="2">
        <v>1</v>
      </c>
      <c r="L562" s="16">
        <v>2</v>
      </c>
      <c r="M562" s="5">
        <f t="shared" ref="M562:M593" si="267">290+10*A562</f>
        <v>620</v>
      </c>
      <c r="N562" s="6">
        <f t="shared" ref="N562:N593" si="268">F562*G562*(1+H562)</f>
        <v>48.355650000000004</v>
      </c>
      <c r="O562">
        <f t="shared" ref="O562:O593" si="269">C562*(1+D562/100)*(1+E562)</f>
        <v>571.5</v>
      </c>
      <c r="P562" s="7">
        <f t="shared" si="257"/>
        <v>11.818680960756394</v>
      </c>
      <c r="Q562">
        <f>ROUNDUP(몬스터!$P$13/F562, 0)</f>
        <v>10</v>
      </c>
      <c r="R562" s="6">
        <f t="shared" ref="R562:R593" si="270">Q562/G562</f>
        <v>13.679890560875512</v>
      </c>
      <c r="S562" s="7">
        <f>B562/몬스터!$C$13*R562</f>
        <v>218.87824897400819</v>
      </c>
      <c r="U562">
        <f>ROUNDDOWN(R562*몬스터!$H$13, 0)*몬스터!$G$13*(1+몬스터!$I$13)</f>
        <v>502.60499999999996</v>
      </c>
      <c r="V562" s="2">
        <f t="shared" si="258"/>
        <v>0.87944881889763771</v>
      </c>
    </row>
    <row r="563" spans="1:22" x14ac:dyDescent="0.4">
      <c r="A563">
        <v>34</v>
      </c>
      <c r="B563" s="4">
        <f>160*A563</f>
        <v>5440</v>
      </c>
      <c r="C563">
        <f t="shared" si="263"/>
        <v>460</v>
      </c>
      <c r="D563">
        <f t="shared" si="264"/>
        <v>28</v>
      </c>
      <c r="E563" s="2">
        <v>0</v>
      </c>
      <c r="F563">
        <f t="shared" si="265"/>
        <v>64</v>
      </c>
      <c r="G563">
        <f t="shared" si="266"/>
        <v>0.7330000000000001</v>
      </c>
      <c r="H563" s="3">
        <f t="shared" si="256"/>
        <v>0.05</v>
      </c>
      <c r="I563" s="2">
        <v>2</v>
      </c>
      <c r="J563" s="2">
        <v>0</v>
      </c>
      <c r="K563" s="2">
        <v>1</v>
      </c>
      <c r="L563" s="16">
        <v>2</v>
      </c>
      <c r="M563" s="5">
        <f t="shared" si="267"/>
        <v>630</v>
      </c>
      <c r="N563" s="6">
        <f t="shared" si="268"/>
        <v>49.257600000000011</v>
      </c>
      <c r="O563">
        <f t="shared" si="269"/>
        <v>588.80000000000007</v>
      </c>
      <c r="P563" s="7">
        <f t="shared" si="257"/>
        <v>11.953485350483986</v>
      </c>
      <c r="Q563">
        <f>ROUNDUP(몬스터!$P$13/F563, 0)</f>
        <v>10</v>
      </c>
      <c r="R563" s="6">
        <f t="shared" si="270"/>
        <v>13.642564802182809</v>
      </c>
      <c r="S563" s="7">
        <f>B563/몬스터!$C$13*R563</f>
        <v>224.89561370871056</v>
      </c>
      <c r="U563">
        <f>ROUNDDOWN(R563*몬스터!$H$13, 0)*몬스터!$G$13*(1+몬스터!$I$13)</f>
        <v>502.60499999999996</v>
      </c>
      <c r="V563" s="2">
        <f t="shared" si="258"/>
        <v>0.85360903532608678</v>
      </c>
    </row>
    <row r="564" spans="1:22" x14ac:dyDescent="0.4">
      <c r="A564">
        <v>35</v>
      </c>
      <c r="B564" s="4">
        <f>160*A564</f>
        <v>5600</v>
      </c>
      <c r="C564">
        <f t="shared" si="263"/>
        <v>470</v>
      </c>
      <c r="D564">
        <f t="shared" si="264"/>
        <v>28</v>
      </c>
      <c r="E564" s="2">
        <v>0</v>
      </c>
      <c r="F564">
        <f t="shared" si="265"/>
        <v>65</v>
      </c>
      <c r="G564">
        <f t="shared" si="266"/>
        <v>0.7350000000000001</v>
      </c>
      <c r="H564" s="3">
        <f t="shared" si="256"/>
        <v>0.05</v>
      </c>
      <c r="I564" s="2">
        <v>2</v>
      </c>
      <c r="J564" s="2">
        <v>0</v>
      </c>
      <c r="K564" s="2">
        <v>1</v>
      </c>
      <c r="L564" s="16">
        <v>2</v>
      </c>
      <c r="M564" s="5">
        <f t="shared" si="267"/>
        <v>640</v>
      </c>
      <c r="N564" s="6">
        <f t="shared" si="268"/>
        <v>50.163750000000007</v>
      </c>
      <c r="O564">
        <f t="shared" si="269"/>
        <v>601.6</v>
      </c>
      <c r="P564" s="7">
        <f t="shared" si="257"/>
        <v>11.992723829458521</v>
      </c>
      <c r="Q564">
        <f>ROUNDUP(몬스터!$P$13/F564, 0)</f>
        <v>10</v>
      </c>
      <c r="R564" s="6">
        <f t="shared" si="270"/>
        <v>13.605442176870746</v>
      </c>
      <c r="S564" s="7">
        <f>B564/몬스터!$C$13*R564</f>
        <v>230.88023088023081</v>
      </c>
      <c r="T564" s="7">
        <f t="shared" ref="T564" si="271">SUM(S560:S564)</f>
        <v>1136.1833627407659</v>
      </c>
      <c r="U564">
        <f>ROUNDDOWN(R564*몬스터!$H$13, 0)*몬스터!$G$13*(1+몬스터!$I$13)</f>
        <v>502.60499999999996</v>
      </c>
      <c r="V564" s="2">
        <f t="shared" si="258"/>
        <v>0.83544714095744677</v>
      </c>
    </row>
    <row r="565" spans="1:22" x14ac:dyDescent="0.4">
      <c r="A565">
        <v>36</v>
      </c>
      <c r="B565" s="4">
        <f>170*A565</f>
        <v>6120</v>
      </c>
      <c r="C565">
        <f t="shared" si="263"/>
        <v>480</v>
      </c>
      <c r="D565">
        <f t="shared" si="264"/>
        <v>28</v>
      </c>
      <c r="E565" s="2">
        <v>0</v>
      </c>
      <c r="F565">
        <f t="shared" si="265"/>
        <v>67</v>
      </c>
      <c r="G565">
        <f t="shared" si="266"/>
        <v>0.7370000000000001</v>
      </c>
      <c r="H565" s="3">
        <f t="shared" si="256"/>
        <v>0.05</v>
      </c>
      <c r="I565" s="2">
        <v>2</v>
      </c>
      <c r="J565" s="2">
        <v>0</v>
      </c>
      <c r="K565" s="2">
        <v>1</v>
      </c>
      <c r="L565" s="16">
        <v>2</v>
      </c>
      <c r="M565" s="5">
        <f t="shared" si="267"/>
        <v>650</v>
      </c>
      <c r="N565" s="6">
        <f t="shared" si="268"/>
        <v>51.847950000000004</v>
      </c>
      <c r="O565">
        <f t="shared" si="269"/>
        <v>614.4</v>
      </c>
      <c r="P565" s="7">
        <f t="shared" si="257"/>
        <v>11.850034572244416</v>
      </c>
      <c r="Q565">
        <f>ROUNDUP(몬스터!$P$14/F565, 0)</f>
        <v>10</v>
      </c>
      <c r="R565" s="6">
        <f t="shared" si="270"/>
        <v>13.568521031207597</v>
      </c>
      <c r="S565" s="7">
        <f>B565/몬스터!$C$14*R565</f>
        <v>218.52460187102761</v>
      </c>
      <c r="U565">
        <f>ROUNDDOWN(R565*몬스터!$H$14, 0)*몬스터!$G$14*(1+몬스터!$I$14)</f>
        <v>575.505</v>
      </c>
      <c r="V565" s="2">
        <f t="shared" si="258"/>
        <v>0.93669433593750007</v>
      </c>
    </row>
    <row r="566" spans="1:22" x14ac:dyDescent="0.4">
      <c r="A566">
        <v>37</v>
      </c>
      <c r="B566" s="4">
        <f>170*A566</f>
        <v>6290</v>
      </c>
      <c r="C566">
        <f t="shared" si="263"/>
        <v>490</v>
      </c>
      <c r="D566">
        <f t="shared" si="264"/>
        <v>29</v>
      </c>
      <c r="E566" s="2">
        <v>0</v>
      </c>
      <c r="F566">
        <f t="shared" si="265"/>
        <v>68</v>
      </c>
      <c r="G566">
        <f t="shared" si="266"/>
        <v>0.73899999999999999</v>
      </c>
      <c r="H566" s="3">
        <f t="shared" si="256"/>
        <v>0.05</v>
      </c>
      <c r="I566" s="2">
        <v>2</v>
      </c>
      <c r="J566" s="2">
        <v>0</v>
      </c>
      <c r="K566" s="2">
        <v>1</v>
      </c>
      <c r="L566" s="16">
        <v>2</v>
      </c>
      <c r="M566" s="5">
        <f t="shared" si="267"/>
        <v>660</v>
      </c>
      <c r="N566" s="6">
        <f t="shared" si="268"/>
        <v>52.764600000000002</v>
      </c>
      <c r="O566">
        <f t="shared" si="269"/>
        <v>632.1</v>
      </c>
      <c r="P566" s="7">
        <f t="shared" si="257"/>
        <v>11.979622701584017</v>
      </c>
      <c r="Q566">
        <f>ROUNDUP(몬스터!$P$14/F566, 0)</f>
        <v>10</v>
      </c>
      <c r="R566" s="6">
        <f t="shared" si="270"/>
        <v>13.531799729364005</v>
      </c>
      <c r="S566" s="7">
        <f>B566/몬스터!$C$14*R566</f>
        <v>223.9868955202621</v>
      </c>
      <c r="U566">
        <f>ROUNDDOWN(R566*몬스터!$H$14, 0)*몬스터!$G$14*(1+몬스터!$I$14)</f>
        <v>575.505</v>
      </c>
      <c r="V566" s="2">
        <f t="shared" si="258"/>
        <v>0.91046511627906968</v>
      </c>
    </row>
    <row r="567" spans="1:22" x14ac:dyDescent="0.4">
      <c r="A567">
        <v>38</v>
      </c>
      <c r="B567" s="4">
        <f>170*A567</f>
        <v>6460</v>
      </c>
      <c r="C567">
        <f t="shared" si="263"/>
        <v>500</v>
      </c>
      <c r="D567">
        <f t="shared" si="264"/>
        <v>29</v>
      </c>
      <c r="E567" s="2">
        <v>0</v>
      </c>
      <c r="F567">
        <f t="shared" si="265"/>
        <v>69</v>
      </c>
      <c r="G567">
        <f t="shared" si="266"/>
        <v>0.74099999999999999</v>
      </c>
      <c r="H567" s="3">
        <f t="shared" si="256"/>
        <v>0.05</v>
      </c>
      <c r="I567" s="2">
        <v>2</v>
      </c>
      <c r="J567" s="2">
        <v>0</v>
      </c>
      <c r="K567" s="2">
        <v>1</v>
      </c>
      <c r="L567" s="16">
        <v>2</v>
      </c>
      <c r="M567" s="5">
        <f t="shared" si="267"/>
        <v>670</v>
      </c>
      <c r="N567" s="6">
        <f t="shared" si="268"/>
        <v>53.685450000000003</v>
      </c>
      <c r="O567">
        <f t="shared" si="269"/>
        <v>645</v>
      </c>
      <c r="P567" s="7">
        <f t="shared" si="257"/>
        <v>12.014428490401031</v>
      </c>
      <c r="Q567">
        <f>ROUNDUP(몬스터!$P$14/F567, 0)</f>
        <v>10</v>
      </c>
      <c r="R567" s="6">
        <f t="shared" si="270"/>
        <v>13.495276653171389</v>
      </c>
      <c r="S567" s="7">
        <f>B567/몬스터!$C$14*R567</f>
        <v>229.41970310391363</v>
      </c>
      <c r="U567">
        <f>ROUNDDOWN(R567*몬스터!$H$14, 0)*몬스터!$G$14*(1+몬스터!$I$14)</f>
        <v>575.505</v>
      </c>
      <c r="V567" s="2">
        <f t="shared" si="258"/>
        <v>0.89225581395348841</v>
      </c>
    </row>
    <row r="568" spans="1:22" x14ac:dyDescent="0.4">
      <c r="A568">
        <v>39</v>
      </c>
      <c r="B568" s="4">
        <f>170*A568</f>
        <v>6630</v>
      </c>
      <c r="C568">
        <f t="shared" si="263"/>
        <v>510</v>
      </c>
      <c r="D568">
        <f t="shared" si="264"/>
        <v>29</v>
      </c>
      <c r="E568" s="2">
        <v>0</v>
      </c>
      <c r="F568">
        <f t="shared" si="265"/>
        <v>71</v>
      </c>
      <c r="G568">
        <f t="shared" si="266"/>
        <v>0.74299999999999999</v>
      </c>
      <c r="H568" s="3">
        <f t="shared" si="256"/>
        <v>0.05</v>
      </c>
      <c r="I568" s="2">
        <v>2</v>
      </c>
      <c r="J568" s="2">
        <v>0</v>
      </c>
      <c r="K568" s="2">
        <v>1</v>
      </c>
      <c r="L568" s="16">
        <v>2</v>
      </c>
      <c r="M568" s="5">
        <f t="shared" si="267"/>
        <v>680</v>
      </c>
      <c r="N568" s="6">
        <f t="shared" si="268"/>
        <v>55.390650000000001</v>
      </c>
      <c r="O568">
        <f t="shared" si="269"/>
        <v>657.9</v>
      </c>
      <c r="P568" s="7">
        <f t="shared" si="257"/>
        <v>11.877455852206102</v>
      </c>
      <c r="Q568">
        <f>ROUNDUP(몬스터!$P$14/F568, 0)</f>
        <v>10</v>
      </c>
      <c r="R568" s="6">
        <f t="shared" si="270"/>
        <v>13.458950201884253</v>
      </c>
      <c r="S568" s="7">
        <f>B568/몬스터!$C$14*R568</f>
        <v>234.82326273287524</v>
      </c>
      <c r="U568">
        <f>ROUNDDOWN(R568*몬스터!$H$14, 0)*몬스터!$G$14*(1+몬스터!$I$14)</f>
        <v>575.505</v>
      </c>
      <c r="V568" s="2">
        <f t="shared" si="258"/>
        <v>0.87476060191518468</v>
      </c>
    </row>
    <row r="569" spans="1:22" x14ac:dyDescent="0.4">
      <c r="A569">
        <v>40</v>
      </c>
      <c r="B569" s="4">
        <f>170*A569</f>
        <v>6800</v>
      </c>
      <c r="C569">
        <f t="shared" si="263"/>
        <v>520</v>
      </c>
      <c r="D569">
        <f t="shared" si="264"/>
        <v>30</v>
      </c>
      <c r="E569" s="2">
        <v>0</v>
      </c>
      <c r="F569">
        <f t="shared" si="265"/>
        <v>72</v>
      </c>
      <c r="G569">
        <f t="shared" si="266"/>
        <v>0.745</v>
      </c>
      <c r="H569" s="3">
        <f t="shared" si="256"/>
        <v>0.05</v>
      </c>
      <c r="I569" s="2">
        <v>2</v>
      </c>
      <c r="J569" s="2">
        <v>0</v>
      </c>
      <c r="K569" s="2">
        <v>1</v>
      </c>
      <c r="L569" s="16">
        <v>2</v>
      </c>
      <c r="M569" s="5">
        <f t="shared" si="267"/>
        <v>690</v>
      </c>
      <c r="N569" s="6">
        <f t="shared" si="268"/>
        <v>56.322000000000003</v>
      </c>
      <c r="O569">
        <f t="shared" si="269"/>
        <v>676</v>
      </c>
      <c r="P569" s="7">
        <f t="shared" si="257"/>
        <v>12.002414686978446</v>
      </c>
      <c r="Q569">
        <f>ROUNDUP(몬스터!$P$14/F569, 0)</f>
        <v>10</v>
      </c>
      <c r="R569" s="6">
        <f t="shared" si="270"/>
        <v>13.422818791946309</v>
      </c>
      <c r="S569" s="7">
        <f>B569/몬스터!$C$14*R569</f>
        <v>240.19780996114449</v>
      </c>
      <c r="T569" s="7">
        <f t="shared" ref="T569" si="272">SUM(S565:S569)</f>
        <v>1146.9522731892232</v>
      </c>
      <c r="U569">
        <f>ROUNDDOWN(R569*몬스터!$H$14, 0)*몬스터!$G$14*(1+몬스터!$I$14)</f>
        <v>575.505</v>
      </c>
      <c r="V569" s="2">
        <f t="shared" si="258"/>
        <v>0.85133875739644971</v>
      </c>
    </row>
    <row r="570" spans="1:22" x14ac:dyDescent="0.4">
      <c r="A570">
        <v>41</v>
      </c>
      <c r="B570" s="4">
        <f>160*A570</f>
        <v>6560</v>
      </c>
      <c r="C570">
        <f t="shared" si="263"/>
        <v>530</v>
      </c>
      <c r="D570">
        <f t="shared" si="264"/>
        <v>30</v>
      </c>
      <c r="E570" s="2">
        <v>0</v>
      </c>
      <c r="F570">
        <f t="shared" si="265"/>
        <v>73</v>
      </c>
      <c r="G570">
        <f t="shared" si="266"/>
        <v>0.747</v>
      </c>
      <c r="H570" s="3">
        <f t="shared" si="256"/>
        <v>0.05</v>
      </c>
      <c r="I570" s="2">
        <v>2</v>
      </c>
      <c r="J570" s="2">
        <v>0</v>
      </c>
      <c r="K570" s="2">
        <v>1</v>
      </c>
      <c r="L570" s="16">
        <v>2</v>
      </c>
      <c r="M570" s="5">
        <f t="shared" si="267"/>
        <v>700</v>
      </c>
      <c r="N570" s="6">
        <f t="shared" si="268"/>
        <v>57.257550000000002</v>
      </c>
      <c r="O570">
        <f t="shared" si="269"/>
        <v>689</v>
      </c>
      <c r="P570" s="7">
        <f t="shared" si="257"/>
        <v>12.033347567264055</v>
      </c>
      <c r="Q570">
        <f>ROUNDUP(몬스터!$P$17/F570, 0)</f>
        <v>12</v>
      </c>
      <c r="R570" s="6">
        <f t="shared" si="270"/>
        <v>16.064257028112451</v>
      </c>
      <c r="S570" s="7">
        <f>B570/몬스터!$C$17*R570</f>
        <v>245.07331652190157</v>
      </c>
      <c r="U570">
        <f>ROUNDDOWN(R570*몬스터!$H$17, 0)*몬스터!$G$17*(1+몬스터!$I$17)</f>
        <v>805.86000000000013</v>
      </c>
      <c r="V570" s="2">
        <f t="shared" si="258"/>
        <v>1.1696081277213355</v>
      </c>
    </row>
    <row r="571" spans="1:22" x14ac:dyDescent="0.4">
      <c r="A571">
        <v>42</v>
      </c>
      <c r="B571" s="4">
        <f>160*A571</f>
        <v>6720</v>
      </c>
      <c r="C571">
        <f t="shared" si="263"/>
        <v>540</v>
      </c>
      <c r="D571">
        <f t="shared" si="264"/>
        <v>30</v>
      </c>
      <c r="E571" s="2">
        <v>0</v>
      </c>
      <c r="F571">
        <f t="shared" si="265"/>
        <v>75</v>
      </c>
      <c r="G571">
        <f t="shared" si="266"/>
        <v>0.749</v>
      </c>
      <c r="H571" s="3">
        <f t="shared" si="256"/>
        <v>0.05</v>
      </c>
      <c r="I571" s="2">
        <v>2</v>
      </c>
      <c r="J571" s="2">
        <v>0</v>
      </c>
      <c r="K571" s="2">
        <v>1</v>
      </c>
      <c r="L571" s="16">
        <v>2</v>
      </c>
      <c r="M571" s="5">
        <f t="shared" si="267"/>
        <v>710</v>
      </c>
      <c r="N571" s="6">
        <f t="shared" si="268"/>
        <v>58.983750000000001</v>
      </c>
      <c r="O571">
        <f t="shared" si="269"/>
        <v>702</v>
      </c>
      <c r="P571" s="7">
        <f t="shared" si="257"/>
        <v>11.901583063131795</v>
      </c>
      <c r="Q571">
        <f>ROUNDUP(몬스터!$P$17/F571, 0)</f>
        <v>12</v>
      </c>
      <c r="R571" s="6">
        <f t="shared" si="270"/>
        <v>16.021361815754339</v>
      </c>
      <c r="S571" s="7">
        <f>B571/몬스터!$C$17*R571</f>
        <v>250.38035209737012</v>
      </c>
      <c r="U571">
        <f>ROUNDDOWN(R571*몬스터!$H$17, 0)*몬스터!$G$17*(1+몬스터!$I$17)</f>
        <v>805.86000000000013</v>
      </c>
      <c r="V571" s="2">
        <f t="shared" si="258"/>
        <v>1.1479487179487182</v>
      </c>
    </row>
    <row r="572" spans="1:22" x14ac:dyDescent="0.4">
      <c r="A572">
        <v>43</v>
      </c>
      <c r="B572" s="4">
        <f>160*A572</f>
        <v>6880</v>
      </c>
      <c r="C572">
        <f t="shared" si="263"/>
        <v>550</v>
      </c>
      <c r="D572">
        <f t="shared" si="264"/>
        <v>30</v>
      </c>
      <c r="E572" s="2">
        <v>0</v>
      </c>
      <c r="F572">
        <f t="shared" si="265"/>
        <v>76</v>
      </c>
      <c r="G572">
        <f t="shared" si="266"/>
        <v>0.751</v>
      </c>
      <c r="H572" s="3">
        <f t="shared" si="256"/>
        <v>0.05</v>
      </c>
      <c r="I572" s="2">
        <v>2</v>
      </c>
      <c r="J572" s="2">
        <v>0</v>
      </c>
      <c r="K572" s="2">
        <v>1</v>
      </c>
      <c r="L572" s="16">
        <v>2</v>
      </c>
      <c r="M572" s="5">
        <f t="shared" si="267"/>
        <v>720</v>
      </c>
      <c r="N572" s="6">
        <f t="shared" si="268"/>
        <v>59.9298</v>
      </c>
      <c r="O572">
        <f t="shared" si="269"/>
        <v>715</v>
      </c>
      <c r="P572" s="7">
        <f t="shared" si="257"/>
        <v>11.930625498499911</v>
      </c>
      <c r="Q572">
        <f>ROUNDUP(몬스터!$P$17/F572, 0)</f>
        <v>11</v>
      </c>
      <c r="R572" s="6">
        <f t="shared" si="270"/>
        <v>14.647137150466046</v>
      </c>
      <c r="S572" s="7">
        <f>B572/몬스터!$C$17*R572</f>
        <v>234.35419440745673</v>
      </c>
      <c r="U572">
        <f>ROUNDDOWN(R572*몬스터!$H$17, 0)*몬스터!$G$17*(1+몬스터!$I$17)</f>
        <v>732.6</v>
      </c>
      <c r="V572" s="2">
        <f t="shared" si="258"/>
        <v>1.0246153846153847</v>
      </c>
    </row>
    <row r="573" spans="1:22" x14ac:dyDescent="0.4">
      <c r="A573">
        <v>44</v>
      </c>
      <c r="B573" s="4">
        <f>160*A573</f>
        <v>7040</v>
      </c>
      <c r="C573">
        <f t="shared" si="263"/>
        <v>560</v>
      </c>
      <c r="D573">
        <f t="shared" si="264"/>
        <v>31</v>
      </c>
      <c r="E573" s="2">
        <v>0</v>
      </c>
      <c r="F573">
        <f t="shared" si="265"/>
        <v>77</v>
      </c>
      <c r="G573">
        <f t="shared" si="266"/>
        <v>0.753</v>
      </c>
      <c r="H573" s="3">
        <f t="shared" si="256"/>
        <v>0.05</v>
      </c>
      <c r="I573" s="2">
        <v>2</v>
      </c>
      <c r="J573" s="2">
        <v>0</v>
      </c>
      <c r="K573" s="2">
        <v>1</v>
      </c>
      <c r="L573" s="16">
        <v>2</v>
      </c>
      <c r="M573" s="5">
        <f t="shared" si="267"/>
        <v>730</v>
      </c>
      <c r="N573" s="6">
        <f t="shared" si="268"/>
        <v>60.880050000000004</v>
      </c>
      <c r="O573">
        <f t="shared" si="269"/>
        <v>733.6</v>
      </c>
      <c r="P573" s="7">
        <f t="shared" si="257"/>
        <v>12.049924400522009</v>
      </c>
      <c r="Q573">
        <f>ROUNDUP(몬스터!$P$17/F573, 0)</f>
        <v>11</v>
      </c>
      <c r="R573" s="6">
        <f t="shared" si="270"/>
        <v>14.608233731739707</v>
      </c>
      <c r="S573" s="7">
        <f>B573/몬스터!$C$17*R573</f>
        <v>239.16736156150591</v>
      </c>
      <c r="U573">
        <f>ROUNDDOWN(R573*몬스터!$H$17, 0)*몬스터!$G$17*(1+몬스터!$I$17)</f>
        <v>732.6</v>
      </c>
      <c r="V573" s="2">
        <f t="shared" si="258"/>
        <v>0.99863685932388224</v>
      </c>
    </row>
    <row r="574" spans="1:22" x14ac:dyDescent="0.4">
      <c r="A574">
        <v>45</v>
      </c>
      <c r="B574" s="4">
        <f>160*A574</f>
        <v>7200</v>
      </c>
      <c r="C574">
        <f t="shared" si="263"/>
        <v>570</v>
      </c>
      <c r="D574">
        <f t="shared" si="264"/>
        <v>31</v>
      </c>
      <c r="E574" s="2">
        <v>0</v>
      </c>
      <c r="F574">
        <f t="shared" si="265"/>
        <v>79</v>
      </c>
      <c r="G574">
        <f t="shared" si="266"/>
        <v>0.755</v>
      </c>
      <c r="H574" s="3">
        <f t="shared" si="256"/>
        <v>0.05</v>
      </c>
      <c r="I574" s="2">
        <v>2</v>
      </c>
      <c r="J574" s="2">
        <v>0</v>
      </c>
      <c r="K574" s="2">
        <v>1</v>
      </c>
      <c r="L574" s="16">
        <v>2</v>
      </c>
      <c r="M574" s="5">
        <f t="shared" si="267"/>
        <v>740</v>
      </c>
      <c r="N574" s="6">
        <f t="shared" si="268"/>
        <v>62.627250000000004</v>
      </c>
      <c r="O574">
        <f t="shared" si="269"/>
        <v>746.7</v>
      </c>
      <c r="P574" s="7">
        <f t="shared" si="257"/>
        <v>11.922924924853</v>
      </c>
      <c r="Q574">
        <f>ROUNDUP(몬스터!$P$17/F574, 0)</f>
        <v>11</v>
      </c>
      <c r="R574" s="6">
        <f t="shared" si="270"/>
        <v>14.569536423841059</v>
      </c>
      <c r="S574" s="7">
        <f>B574/몬스터!$C$17*R574</f>
        <v>243.9550284922224</v>
      </c>
      <c r="T574" s="7">
        <f t="shared" ref="T574" si="273">SUM(S570:S574)</f>
        <v>1212.9302530804569</v>
      </c>
      <c r="U574">
        <f>ROUNDDOWN(R574*몬스터!$H$17, 0)*몬스터!$G$17*(1+몬스터!$I$17)</f>
        <v>732.6</v>
      </c>
      <c r="V574" s="2">
        <f t="shared" si="258"/>
        <v>0.98111691442346316</v>
      </c>
    </row>
    <row r="575" spans="1:22" x14ac:dyDescent="0.4">
      <c r="A575">
        <v>46</v>
      </c>
      <c r="B575" s="4">
        <f>170*A575-620</f>
        <v>7200</v>
      </c>
      <c r="C575">
        <f t="shared" si="263"/>
        <v>575</v>
      </c>
      <c r="D575">
        <f t="shared" si="264"/>
        <v>31</v>
      </c>
      <c r="E575" s="2">
        <v>0</v>
      </c>
      <c r="F575">
        <f t="shared" si="265"/>
        <v>80</v>
      </c>
      <c r="G575">
        <f t="shared" si="266"/>
        <v>0.75700000000000001</v>
      </c>
      <c r="H575" s="3">
        <f t="shared" si="256"/>
        <v>0.05</v>
      </c>
      <c r="I575" s="2">
        <v>2</v>
      </c>
      <c r="J575" s="2">
        <v>0</v>
      </c>
      <c r="K575" s="2">
        <v>1</v>
      </c>
      <c r="L575" s="16">
        <v>2</v>
      </c>
      <c r="M575" s="5">
        <f t="shared" si="267"/>
        <v>750</v>
      </c>
      <c r="N575" s="6">
        <f t="shared" si="268"/>
        <v>63.588000000000008</v>
      </c>
      <c r="O575">
        <f t="shared" si="269"/>
        <v>753.25</v>
      </c>
      <c r="P575" s="7">
        <f t="shared" si="257"/>
        <v>11.845788513556016</v>
      </c>
      <c r="Q575">
        <f>ROUNDUP(몬스터!$P$18/F575, 0)</f>
        <v>12</v>
      </c>
      <c r="R575" s="6">
        <f t="shared" si="270"/>
        <v>15.852047556142669</v>
      </c>
      <c r="S575" s="7">
        <f>B575/몬스터!$C$18*R575</f>
        <v>237.78071334214002</v>
      </c>
      <c r="U575">
        <f>ROUNDDOWN(R575*몬스터!$H$18, 0)*몬스터!$G$18*(1+몬스터!$I$18)</f>
        <v>897.35249999999996</v>
      </c>
      <c r="V575" s="2">
        <f t="shared" si="258"/>
        <v>1.1913076667772984</v>
      </c>
    </row>
    <row r="576" spans="1:22" x14ac:dyDescent="0.4">
      <c r="A576">
        <v>47</v>
      </c>
      <c r="B576" s="4">
        <f>170*A576</f>
        <v>7990</v>
      </c>
      <c r="C576">
        <f t="shared" si="263"/>
        <v>585</v>
      </c>
      <c r="D576">
        <f t="shared" si="264"/>
        <v>32</v>
      </c>
      <c r="E576" s="2">
        <v>0</v>
      </c>
      <c r="F576">
        <f t="shared" si="265"/>
        <v>81</v>
      </c>
      <c r="G576">
        <f t="shared" si="266"/>
        <v>0.75900000000000001</v>
      </c>
      <c r="H576" s="3">
        <f t="shared" si="256"/>
        <v>0.05</v>
      </c>
      <c r="I576" s="2">
        <v>2</v>
      </c>
      <c r="J576" s="2">
        <v>0</v>
      </c>
      <c r="K576" s="2">
        <v>1</v>
      </c>
      <c r="L576" s="16">
        <v>2</v>
      </c>
      <c r="M576" s="5">
        <f t="shared" si="267"/>
        <v>760</v>
      </c>
      <c r="N576" s="6">
        <f t="shared" si="268"/>
        <v>64.552949999999996</v>
      </c>
      <c r="O576">
        <f t="shared" si="269"/>
        <v>772.2</v>
      </c>
      <c r="P576" s="7">
        <f t="shared" si="257"/>
        <v>11.962272831838051</v>
      </c>
      <c r="Q576">
        <f>ROUNDUP(몬스터!$P$18/F576, 0)</f>
        <v>12</v>
      </c>
      <c r="R576" s="6">
        <f t="shared" si="270"/>
        <v>15.810276679841897</v>
      </c>
      <c r="S576" s="7">
        <f>B576/몬스터!$C$18*R576</f>
        <v>263.17523056653488</v>
      </c>
      <c r="U576">
        <f>ROUNDDOWN(R576*몬스터!$H$18, 0)*몬스터!$G$18*(1+몬스터!$I$18)</f>
        <v>897.35249999999996</v>
      </c>
      <c r="V576" s="2">
        <f t="shared" si="258"/>
        <v>1.1620726495726494</v>
      </c>
    </row>
    <row r="577" spans="1:22" x14ac:dyDescent="0.4">
      <c r="A577">
        <v>48</v>
      </c>
      <c r="B577" s="4">
        <f>170*A577</f>
        <v>8160</v>
      </c>
      <c r="C577">
        <f t="shared" si="263"/>
        <v>595</v>
      </c>
      <c r="D577">
        <f t="shared" si="264"/>
        <v>32</v>
      </c>
      <c r="E577" s="2">
        <v>0</v>
      </c>
      <c r="F577">
        <f t="shared" si="265"/>
        <v>83</v>
      </c>
      <c r="G577">
        <f t="shared" si="266"/>
        <v>0.76100000000000001</v>
      </c>
      <c r="H577" s="3">
        <f t="shared" si="256"/>
        <v>0.05</v>
      </c>
      <c r="I577" s="2">
        <v>2</v>
      </c>
      <c r="J577" s="2">
        <v>0</v>
      </c>
      <c r="K577" s="2">
        <v>1</v>
      </c>
      <c r="L577" s="16">
        <v>2</v>
      </c>
      <c r="M577" s="5">
        <f t="shared" si="267"/>
        <v>770</v>
      </c>
      <c r="N577" s="6">
        <f t="shared" si="268"/>
        <v>66.321150000000003</v>
      </c>
      <c r="O577">
        <f t="shared" si="269"/>
        <v>785.40000000000009</v>
      </c>
      <c r="P577" s="7">
        <f t="shared" si="257"/>
        <v>11.842376074600637</v>
      </c>
      <c r="Q577">
        <f>ROUNDUP(몬스터!$P$18/F577, 0)</f>
        <v>12</v>
      </c>
      <c r="R577" s="6">
        <f t="shared" si="270"/>
        <v>15.768725361366622</v>
      </c>
      <c r="S577" s="7">
        <f>B577/몬스터!$C$18*R577</f>
        <v>268.06833114323257</v>
      </c>
      <c r="U577">
        <f>ROUNDDOWN(R577*몬스터!$H$18, 0)*몬스터!$G$18*(1+몬스터!$I$18)</f>
        <v>897.35249999999996</v>
      </c>
      <c r="V577" s="2">
        <f t="shared" si="258"/>
        <v>1.1425420168067224</v>
      </c>
    </row>
    <row r="578" spans="1:22" x14ac:dyDescent="0.4">
      <c r="A578">
        <v>49</v>
      </c>
      <c r="B578" s="4">
        <f>170*A578</f>
        <v>8330</v>
      </c>
      <c r="C578">
        <f t="shared" si="263"/>
        <v>605</v>
      </c>
      <c r="D578">
        <f t="shared" si="264"/>
        <v>32</v>
      </c>
      <c r="E578" s="2">
        <v>0</v>
      </c>
      <c r="F578">
        <f t="shared" si="265"/>
        <v>84</v>
      </c>
      <c r="G578">
        <f t="shared" si="266"/>
        <v>0.76300000000000001</v>
      </c>
      <c r="H578" s="3">
        <f t="shared" si="256"/>
        <v>0.05</v>
      </c>
      <c r="I578" s="2">
        <v>2</v>
      </c>
      <c r="J578" s="2">
        <v>0</v>
      </c>
      <c r="K578" s="2">
        <v>1</v>
      </c>
      <c r="L578" s="16">
        <v>2</v>
      </c>
      <c r="M578" s="5">
        <f t="shared" si="267"/>
        <v>780</v>
      </c>
      <c r="N578" s="6">
        <f t="shared" si="268"/>
        <v>67.296599999999998</v>
      </c>
      <c r="O578">
        <f t="shared" si="269"/>
        <v>798.6</v>
      </c>
      <c r="P578" s="7">
        <f t="shared" si="257"/>
        <v>11.866869945881367</v>
      </c>
      <c r="Q578">
        <f>ROUNDUP(몬스터!$P$18/F578, 0)</f>
        <v>12</v>
      </c>
      <c r="R578" s="6">
        <f t="shared" si="270"/>
        <v>15.727391874180865</v>
      </c>
      <c r="S578" s="7">
        <f>B578/몬스터!$C$18*R578</f>
        <v>272.93577981651379</v>
      </c>
      <c r="U578">
        <f>ROUNDDOWN(R578*몬스터!$H$18, 0)*몬스터!$G$18*(1+몬스터!$I$18)</f>
        <v>897.35249999999996</v>
      </c>
      <c r="V578" s="2">
        <f t="shared" si="258"/>
        <v>1.1236570247933884</v>
      </c>
    </row>
    <row r="579" spans="1:22" x14ac:dyDescent="0.4">
      <c r="A579">
        <v>50</v>
      </c>
      <c r="B579" s="4">
        <f>170*A579</f>
        <v>8500</v>
      </c>
      <c r="C579">
        <f t="shared" si="263"/>
        <v>615</v>
      </c>
      <c r="D579">
        <f t="shared" si="264"/>
        <v>33</v>
      </c>
      <c r="E579" s="2">
        <v>0</v>
      </c>
      <c r="F579">
        <f t="shared" si="265"/>
        <v>85</v>
      </c>
      <c r="G579">
        <f t="shared" si="266"/>
        <v>0.76500000000000001</v>
      </c>
      <c r="H579" s="3">
        <f t="shared" si="256"/>
        <v>0.05</v>
      </c>
      <c r="I579" s="2">
        <v>2</v>
      </c>
      <c r="J579" s="2">
        <v>0</v>
      </c>
      <c r="K579" s="2">
        <v>1</v>
      </c>
      <c r="L579" s="16">
        <v>2</v>
      </c>
      <c r="M579" s="5">
        <f t="shared" si="267"/>
        <v>790</v>
      </c>
      <c r="N579" s="6">
        <f t="shared" si="268"/>
        <v>68.276250000000005</v>
      </c>
      <c r="O579">
        <f t="shared" si="269"/>
        <v>817.95</v>
      </c>
      <c r="P579" s="7">
        <f t="shared" si="257"/>
        <v>11.98000768935025</v>
      </c>
      <c r="Q579">
        <f>ROUNDUP(몬스터!$P$18/F579, 0)</f>
        <v>12</v>
      </c>
      <c r="R579" s="6">
        <f t="shared" si="270"/>
        <v>15.686274509803921</v>
      </c>
      <c r="S579" s="7">
        <f>B579/몬스터!$C$18*R579</f>
        <v>277.77777777777777</v>
      </c>
      <c r="T579" s="7">
        <f t="shared" ref="T579" si="274">SUM(S575:S579)</f>
        <v>1319.737832646199</v>
      </c>
      <c r="U579">
        <f>ROUNDDOWN(R579*몬스터!$H$18, 0)*몬스터!$G$18*(1+몬스터!$I$18)</f>
        <v>897.35249999999996</v>
      </c>
      <c r="V579" s="2">
        <f t="shared" si="258"/>
        <v>1.0970750045846323</v>
      </c>
    </row>
    <row r="580" spans="1:22" x14ac:dyDescent="0.4">
      <c r="A580">
        <v>51</v>
      </c>
      <c r="B580" s="4">
        <f>160*A580</f>
        <v>8160</v>
      </c>
      <c r="C580">
        <f t="shared" si="263"/>
        <v>625</v>
      </c>
      <c r="D580">
        <f t="shared" si="264"/>
        <v>33</v>
      </c>
      <c r="E580" s="2">
        <v>0</v>
      </c>
      <c r="F580">
        <f t="shared" si="265"/>
        <v>87</v>
      </c>
      <c r="G580">
        <f t="shared" si="266"/>
        <v>0.76700000000000002</v>
      </c>
      <c r="H580" s="3">
        <f t="shared" si="256"/>
        <v>0.05</v>
      </c>
      <c r="I580" s="2">
        <v>2</v>
      </c>
      <c r="J580" s="2">
        <v>0</v>
      </c>
      <c r="K580" s="2">
        <v>1</v>
      </c>
      <c r="L580" s="16">
        <v>2</v>
      </c>
      <c r="M580" s="5">
        <f t="shared" si="267"/>
        <v>800</v>
      </c>
      <c r="N580" s="6">
        <f t="shared" si="268"/>
        <v>70.065449999999998</v>
      </c>
      <c r="O580">
        <f t="shared" si="269"/>
        <v>831.25</v>
      </c>
      <c r="P580" s="7">
        <f t="shared" si="257"/>
        <v>11.863907246724313</v>
      </c>
      <c r="Q580">
        <f>ROUNDUP(몬스터!$P$19/F580, 0)</f>
        <v>13</v>
      </c>
      <c r="R580" s="6">
        <f t="shared" si="270"/>
        <v>16.949152542372882</v>
      </c>
      <c r="S580" s="7">
        <f>B580/몬스터!$C$19*R580</f>
        <v>260.95299008634476</v>
      </c>
      <c r="U580">
        <f>ROUNDDOWN(R580*몬스터!$H$19, 0)*몬스터!$G$19*(1+몬스터!$I$19)</f>
        <v>1093.5</v>
      </c>
      <c r="V580" s="2">
        <f t="shared" si="258"/>
        <v>1.3154887218045113</v>
      </c>
    </row>
    <row r="581" spans="1:22" x14ac:dyDescent="0.4">
      <c r="A581">
        <v>52</v>
      </c>
      <c r="B581" s="4">
        <f>160*A581</f>
        <v>8320</v>
      </c>
      <c r="C581">
        <f t="shared" si="263"/>
        <v>635</v>
      </c>
      <c r="D581">
        <f t="shared" si="264"/>
        <v>33</v>
      </c>
      <c r="E581" s="2">
        <v>0</v>
      </c>
      <c r="F581">
        <f t="shared" si="265"/>
        <v>88</v>
      </c>
      <c r="G581">
        <f t="shared" si="266"/>
        <v>0.76900000000000002</v>
      </c>
      <c r="H581" s="3">
        <f t="shared" si="256"/>
        <v>0.05</v>
      </c>
      <c r="I581" s="2">
        <v>2</v>
      </c>
      <c r="J581" s="2">
        <v>0</v>
      </c>
      <c r="K581" s="2">
        <v>1</v>
      </c>
      <c r="L581" s="16">
        <v>2</v>
      </c>
      <c r="M581" s="5">
        <f t="shared" si="267"/>
        <v>810</v>
      </c>
      <c r="N581" s="6">
        <f t="shared" si="268"/>
        <v>71.055599999999998</v>
      </c>
      <c r="O581">
        <f t="shared" si="269"/>
        <v>844.55000000000007</v>
      </c>
      <c r="P581" s="7">
        <f t="shared" si="257"/>
        <v>11.885762698506523</v>
      </c>
      <c r="Q581">
        <f>ROUNDUP(몬스터!$P$19/F581, 0)</f>
        <v>13</v>
      </c>
      <c r="R581" s="6">
        <f t="shared" si="270"/>
        <v>16.905071521456435</v>
      </c>
      <c r="S581" s="7">
        <f>B581/몬스터!$C$19*R581</f>
        <v>265.37772652550478</v>
      </c>
      <c r="U581">
        <f>ROUNDDOWN(R581*몬스터!$H$19, 0)*몬스터!$G$19*(1+몬스터!$I$19)</f>
        <v>1093.5</v>
      </c>
      <c r="V581" s="2">
        <f t="shared" si="258"/>
        <v>1.2947723639808182</v>
      </c>
    </row>
    <row r="582" spans="1:22" x14ac:dyDescent="0.4">
      <c r="A582">
        <v>53</v>
      </c>
      <c r="B582" s="4">
        <f>160*A582</f>
        <v>8480</v>
      </c>
      <c r="C582">
        <f t="shared" si="263"/>
        <v>645</v>
      </c>
      <c r="D582">
        <f t="shared" si="264"/>
        <v>33</v>
      </c>
      <c r="E582" s="2">
        <v>0</v>
      </c>
      <c r="F582">
        <f t="shared" si="265"/>
        <v>89</v>
      </c>
      <c r="G582">
        <f t="shared" si="266"/>
        <v>0.77100000000000002</v>
      </c>
      <c r="H582" s="3">
        <f t="shared" si="256"/>
        <v>0.05</v>
      </c>
      <c r="I582" s="2">
        <v>2</v>
      </c>
      <c r="J582" s="2">
        <v>0</v>
      </c>
      <c r="K582" s="2">
        <v>1</v>
      </c>
      <c r="L582" s="16">
        <v>2</v>
      </c>
      <c r="M582" s="5">
        <f t="shared" si="267"/>
        <v>820</v>
      </c>
      <c r="N582" s="6">
        <f t="shared" si="268"/>
        <v>72.04995000000001</v>
      </c>
      <c r="O582">
        <f t="shared" si="269"/>
        <v>857.85</v>
      </c>
      <c r="P582" s="7">
        <f t="shared" si="257"/>
        <v>11.906323321529021</v>
      </c>
      <c r="Q582">
        <f>ROUNDUP(몬스터!$P$19/F582, 0)</f>
        <v>13</v>
      </c>
      <c r="R582" s="6">
        <f t="shared" si="270"/>
        <v>16.861219195849547</v>
      </c>
      <c r="S582" s="7">
        <f>B582/몬스터!$C$19*R582</f>
        <v>269.77950713359274</v>
      </c>
      <c r="U582">
        <f>ROUNDDOWN(R582*몬스터!$H$19, 0)*몬스터!$G$19*(1+몬스터!$I$19)</f>
        <v>1093.5</v>
      </c>
      <c r="V582" s="2">
        <f t="shared" si="258"/>
        <v>1.2746983738415807</v>
      </c>
    </row>
    <row r="583" spans="1:22" x14ac:dyDescent="0.4">
      <c r="A583">
        <v>54</v>
      </c>
      <c r="B583" s="4">
        <f>160*A583</f>
        <v>8640</v>
      </c>
      <c r="C583">
        <f t="shared" si="263"/>
        <v>655</v>
      </c>
      <c r="D583">
        <f t="shared" si="264"/>
        <v>34</v>
      </c>
      <c r="E583" s="2">
        <v>0</v>
      </c>
      <c r="F583">
        <f t="shared" si="265"/>
        <v>91</v>
      </c>
      <c r="G583">
        <f t="shared" si="266"/>
        <v>0.77300000000000002</v>
      </c>
      <c r="H583" s="3">
        <f t="shared" si="256"/>
        <v>0.05</v>
      </c>
      <c r="I583" s="2">
        <v>2</v>
      </c>
      <c r="J583" s="2">
        <v>0</v>
      </c>
      <c r="K583" s="2">
        <v>1</v>
      </c>
      <c r="L583" s="16">
        <v>2</v>
      </c>
      <c r="M583" s="5">
        <f t="shared" si="267"/>
        <v>830</v>
      </c>
      <c r="N583" s="6">
        <f t="shared" si="268"/>
        <v>73.860150000000004</v>
      </c>
      <c r="O583">
        <f t="shared" si="269"/>
        <v>877.7</v>
      </c>
      <c r="P583" s="7">
        <f t="shared" si="257"/>
        <v>11.88326858258479</v>
      </c>
      <c r="Q583">
        <f>ROUNDUP(몬스터!$P$19/F583, 0)</f>
        <v>12</v>
      </c>
      <c r="R583" s="6">
        <f t="shared" si="270"/>
        <v>15.523932729624837</v>
      </c>
      <c r="S583" s="7">
        <f>B583/몬스터!$C$19*R583</f>
        <v>253.06939393199735</v>
      </c>
      <c r="U583">
        <f>ROUNDDOWN(R583*몬스터!$H$19, 0)*몬스터!$G$19*(1+몬스터!$I$19)</f>
        <v>1002.375</v>
      </c>
      <c r="V583" s="2">
        <f t="shared" si="258"/>
        <v>1.1420473966047624</v>
      </c>
    </row>
    <row r="584" spans="1:22" x14ac:dyDescent="0.4">
      <c r="A584">
        <v>55</v>
      </c>
      <c r="B584" s="4">
        <f>160*A584</f>
        <v>8800</v>
      </c>
      <c r="C584">
        <f t="shared" si="263"/>
        <v>665</v>
      </c>
      <c r="D584">
        <f t="shared" si="264"/>
        <v>34</v>
      </c>
      <c r="E584" s="2">
        <v>0</v>
      </c>
      <c r="F584">
        <f t="shared" si="265"/>
        <v>92</v>
      </c>
      <c r="G584">
        <f t="shared" si="266"/>
        <v>0.77500000000000002</v>
      </c>
      <c r="H584" s="3">
        <f t="shared" si="256"/>
        <v>0.05</v>
      </c>
      <c r="I584" s="2">
        <v>2</v>
      </c>
      <c r="J584" s="2">
        <v>0</v>
      </c>
      <c r="K584" s="2">
        <v>1</v>
      </c>
      <c r="L584" s="16">
        <v>2</v>
      </c>
      <c r="M584" s="5">
        <f t="shared" si="267"/>
        <v>840</v>
      </c>
      <c r="N584" s="6">
        <f t="shared" si="268"/>
        <v>74.864999999999995</v>
      </c>
      <c r="O584">
        <f t="shared" si="269"/>
        <v>891.1</v>
      </c>
      <c r="P584" s="7">
        <f t="shared" si="257"/>
        <v>11.902758298270221</v>
      </c>
      <c r="Q584">
        <f>ROUNDUP(몬스터!$P$19/F584, 0)</f>
        <v>12</v>
      </c>
      <c r="R584" s="6">
        <f t="shared" si="270"/>
        <v>15.483870967741934</v>
      </c>
      <c r="S584" s="7">
        <f>B584/몬스터!$C$19*R584</f>
        <v>257.09068776628118</v>
      </c>
      <c r="T584" s="7">
        <f t="shared" ref="T584" si="275">SUM(S580:S584)</f>
        <v>1306.2703054437209</v>
      </c>
      <c r="U584">
        <f>ROUNDDOWN(R584*몬스터!$H$19, 0)*몬스터!$G$19*(1+몬스터!$I$19)</f>
        <v>1002.375</v>
      </c>
      <c r="V584" s="2">
        <f t="shared" si="258"/>
        <v>1.1248737515430367</v>
      </c>
    </row>
    <row r="585" spans="1:22" x14ac:dyDescent="0.4">
      <c r="A585">
        <v>56</v>
      </c>
      <c r="B585" s="4">
        <f>170*A585</f>
        <v>9520</v>
      </c>
      <c r="C585">
        <f t="shared" si="263"/>
        <v>675</v>
      </c>
      <c r="D585">
        <f t="shared" si="264"/>
        <v>34</v>
      </c>
      <c r="E585" s="2">
        <v>0</v>
      </c>
      <c r="F585">
        <f t="shared" si="265"/>
        <v>93</v>
      </c>
      <c r="G585">
        <f t="shared" si="266"/>
        <v>0.77700000000000002</v>
      </c>
      <c r="H585" s="3">
        <f t="shared" si="256"/>
        <v>0.05</v>
      </c>
      <c r="I585" s="2">
        <v>2</v>
      </c>
      <c r="J585" s="2">
        <v>0</v>
      </c>
      <c r="K585" s="2">
        <v>1</v>
      </c>
      <c r="L585" s="16">
        <v>2</v>
      </c>
      <c r="M585" s="5">
        <f t="shared" si="267"/>
        <v>850</v>
      </c>
      <c r="N585" s="6">
        <f t="shared" si="268"/>
        <v>75.874049999999997</v>
      </c>
      <c r="O585">
        <f t="shared" si="269"/>
        <v>904.5</v>
      </c>
      <c r="P585" s="7">
        <f t="shared" si="257"/>
        <v>11.92107182890593</v>
      </c>
      <c r="Q585">
        <f>ROUNDUP(몬스터!$P$20/F585, 0)</f>
        <v>13</v>
      </c>
      <c r="R585" s="6">
        <f t="shared" si="270"/>
        <v>16.73101673101673</v>
      </c>
      <c r="S585" s="7">
        <f>B585/몬스터!$C$20*R585</f>
        <v>274.61944703324014</v>
      </c>
      <c r="U585">
        <f>ROUNDDOWN(R585*몬스터!$H$20, 0)*몬스터!$G$20*(1+몬스터!$I$20)</f>
        <v>1195.92</v>
      </c>
      <c r="V585" s="2">
        <f t="shared" si="258"/>
        <v>1.3221890547263682</v>
      </c>
    </row>
    <row r="586" spans="1:22" x14ac:dyDescent="0.4">
      <c r="A586">
        <v>57</v>
      </c>
      <c r="B586" s="4">
        <f>170*A586</f>
        <v>9690</v>
      </c>
      <c r="C586">
        <f t="shared" si="263"/>
        <v>685</v>
      </c>
      <c r="D586">
        <f t="shared" si="264"/>
        <v>35</v>
      </c>
      <c r="E586" s="2">
        <v>0</v>
      </c>
      <c r="F586">
        <f t="shared" si="265"/>
        <v>95</v>
      </c>
      <c r="G586">
        <f t="shared" si="266"/>
        <v>0.77900000000000003</v>
      </c>
      <c r="H586" s="3">
        <f t="shared" si="256"/>
        <v>0.05</v>
      </c>
      <c r="I586" s="2">
        <v>2</v>
      </c>
      <c r="J586" s="2">
        <v>0</v>
      </c>
      <c r="K586" s="2">
        <v>1</v>
      </c>
      <c r="L586" s="16">
        <v>2</v>
      </c>
      <c r="M586" s="5">
        <f t="shared" si="267"/>
        <v>860</v>
      </c>
      <c r="N586" s="6">
        <f t="shared" si="268"/>
        <v>77.705249999999992</v>
      </c>
      <c r="O586">
        <f t="shared" si="269"/>
        <v>924.75000000000011</v>
      </c>
      <c r="P586" s="7">
        <f t="shared" si="257"/>
        <v>11.90074029747025</v>
      </c>
      <c r="Q586">
        <f>ROUNDUP(몬스터!$P$20/F586, 0)</f>
        <v>13</v>
      </c>
      <c r="R586" s="6">
        <f t="shared" si="270"/>
        <v>16.688061617458278</v>
      </c>
      <c r="S586" s="7">
        <f>B586/몬스터!$C$20*R586</f>
        <v>278.80571909167367</v>
      </c>
      <c r="U586">
        <f>ROUNDDOWN(R586*몬스터!$H$20, 0)*몬스터!$G$20*(1+몬스터!$I$20)</f>
        <v>1195.92</v>
      </c>
      <c r="V586" s="2">
        <f t="shared" si="258"/>
        <v>1.2932360097323601</v>
      </c>
    </row>
    <row r="587" spans="1:22" x14ac:dyDescent="0.4">
      <c r="A587">
        <v>58</v>
      </c>
      <c r="B587" s="4">
        <f>170*A587</f>
        <v>9860</v>
      </c>
      <c r="C587">
        <f t="shared" si="263"/>
        <v>695</v>
      </c>
      <c r="D587">
        <f t="shared" si="264"/>
        <v>35</v>
      </c>
      <c r="E587" s="2">
        <v>0</v>
      </c>
      <c r="F587">
        <f t="shared" si="265"/>
        <v>96</v>
      </c>
      <c r="G587">
        <f t="shared" si="266"/>
        <v>0.78100000000000003</v>
      </c>
      <c r="H587" s="3">
        <f t="shared" si="256"/>
        <v>0.05</v>
      </c>
      <c r="I587" s="2">
        <v>2</v>
      </c>
      <c r="J587" s="2">
        <v>0</v>
      </c>
      <c r="K587" s="2">
        <v>1</v>
      </c>
      <c r="L587" s="16">
        <v>2</v>
      </c>
      <c r="M587" s="5">
        <f t="shared" si="267"/>
        <v>870</v>
      </c>
      <c r="N587" s="6">
        <f t="shared" si="268"/>
        <v>78.724800000000002</v>
      </c>
      <c r="O587">
        <f t="shared" si="269"/>
        <v>938.25000000000011</v>
      </c>
      <c r="P587" s="7">
        <f t="shared" si="257"/>
        <v>11.918099506127676</v>
      </c>
      <c r="Q587">
        <f>ROUNDUP(몬스터!$P$20/F587, 0)</f>
        <v>13</v>
      </c>
      <c r="R587" s="6">
        <f t="shared" si="270"/>
        <v>16.645326504481435</v>
      </c>
      <c r="S587" s="7">
        <f>B587/몬스터!$C$20*R587</f>
        <v>282.97055057618439</v>
      </c>
      <c r="U587">
        <f>ROUNDDOWN(R587*몬스터!$H$20, 0)*몬스터!$G$20*(1+몬스터!$I$20)</f>
        <v>1195.92</v>
      </c>
      <c r="V587" s="2">
        <f t="shared" si="258"/>
        <v>1.2746282973621101</v>
      </c>
    </row>
    <row r="588" spans="1:22" x14ac:dyDescent="0.4">
      <c r="A588">
        <v>59</v>
      </c>
      <c r="B588" s="4">
        <f>170*A588</f>
        <v>10030</v>
      </c>
      <c r="C588">
        <f t="shared" si="263"/>
        <v>705</v>
      </c>
      <c r="D588">
        <f t="shared" si="264"/>
        <v>35</v>
      </c>
      <c r="E588" s="2">
        <v>0</v>
      </c>
      <c r="F588">
        <f t="shared" si="265"/>
        <v>97</v>
      </c>
      <c r="G588">
        <f t="shared" si="266"/>
        <v>0.78300000000000003</v>
      </c>
      <c r="H588" s="3">
        <f t="shared" si="256"/>
        <v>0.05</v>
      </c>
      <c r="I588" s="2">
        <v>2</v>
      </c>
      <c r="J588" s="2">
        <v>0</v>
      </c>
      <c r="K588" s="2">
        <v>1</v>
      </c>
      <c r="L588" s="16">
        <v>2</v>
      </c>
      <c r="M588" s="5">
        <f t="shared" si="267"/>
        <v>880</v>
      </c>
      <c r="N588" s="6">
        <f t="shared" si="268"/>
        <v>79.748550000000009</v>
      </c>
      <c r="O588">
        <f t="shared" si="269"/>
        <v>951.75000000000011</v>
      </c>
      <c r="P588" s="7">
        <f t="shared" si="257"/>
        <v>11.934386267838098</v>
      </c>
      <c r="Q588">
        <f>ROUNDUP(몬스터!$P$20/F588, 0)</f>
        <v>13</v>
      </c>
      <c r="R588" s="6">
        <f t="shared" si="270"/>
        <v>16.602809706257982</v>
      </c>
      <c r="S588" s="7">
        <f>B588/몬스터!$C$20*R588</f>
        <v>287.11410578235785</v>
      </c>
      <c r="U588">
        <f>ROUNDDOWN(R588*몬스터!$H$20, 0)*몬스터!$G$20*(1+몬스터!$I$20)</f>
        <v>1195.92</v>
      </c>
      <c r="V588" s="2">
        <f t="shared" si="258"/>
        <v>1.2565484633569739</v>
      </c>
    </row>
    <row r="589" spans="1:22" x14ac:dyDescent="0.4">
      <c r="A589">
        <v>60</v>
      </c>
      <c r="B589" s="4">
        <f>170*A589</f>
        <v>10200</v>
      </c>
      <c r="C589">
        <f t="shared" si="263"/>
        <v>715</v>
      </c>
      <c r="D589">
        <f t="shared" si="264"/>
        <v>36</v>
      </c>
      <c r="E589" s="2">
        <v>0</v>
      </c>
      <c r="F589">
        <f t="shared" si="265"/>
        <v>99</v>
      </c>
      <c r="G589">
        <f t="shared" si="266"/>
        <v>0.78500000000000003</v>
      </c>
      <c r="H589" s="3">
        <f t="shared" si="256"/>
        <v>0.05</v>
      </c>
      <c r="I589" s="2">
        <v>2</v>
      </c>
      <c r="J589" s="2">
        <v>0</v>
      </c>
      <c r="K589" s="2">
        <v>1</v>
      </c>
      <c r="L589" s="16">
        <v>2</v>
      </c>
      <c r="M589" s="5">
        <f t="shared" si="267"/>
        <v>890</v>
      </c>
      <c r="N589" s="6">
        <f t="shared" si="268"/>
        <v>81.600750000000005</v>
      </c>
      <c r="O589">
        <f t="shared" si="269"/>
        <v>972.39999999999986</v>
      </c>
      <c r="P589" s="7">
        <f t="shared" si="257"/>
        <v>11.916557139487074</v>
      </c>
      <c r="Q589">
        <f>ROUNDUP(몬스터!$P$20/F589, 0)</f>
        <v>13</v>
      </c>
      <c r="R589" s="6">
        <f t="shared" si="270"/>
        <v>16.560509554140125</v>
      </c>
      <c r="S589" s="7">
        <f>B589/몬스터!$C$20*R589</f>
        <v>291.23654733142979</v>
      </c>
      <c r="T589" s="7">
        <f t="shared" ref="T589" si="276">SUM(S585:S589)</f>
        <v>1414.7463698148861</v>
      </c>
      <c r="U589">
        <f>ROUNDDOWN(R589*몬스터!$H$20, 0)*몬스터!$G$20*(1+몬스터!$I$20)</f>
        <v>1195.92</v>
      </c>
      <c r="V589" s="2">
        <f t="shared" si="258"/>
        <v>1.2298642533936655</v>
      </c>
    </row>
    <row r="590" spans="1:22" x14ac:dyDescent="0.4">
      <c r="A590">
        <v>61</v>
      </c>
      <c r="B590" s="4">
        <f>160*A590-320</f>
        <v>9440</v>
      </c>
      <c r="C590">
        <f t="shared" si="263"/>
        <v>720</v>
      </c>
      <c r="D590">
        <f t="shared" si="264"/>
        <v>36</v>
      </c>
      <c r="E590" s="2">
        <v>0</v>
      </c>
      <c r="F590">
        <f t="shared" si="265"/>
        <v>100</v>
      </c>
      <c r="G590">
        <f t="shared" si="266"/>
        <v>0.78700000000000003</v>
      </c>
      <c r="H590" s="3">
        <f t="shared" si="256"/>
        <v>0.05</v>
      </c>
      <c r="I590" s="2">
        <v>2</v>
      </c>
      <c r="J590" s="2">
        <v>0</v>
      </c>
      <c r="K590" s="2">
        <v>1</v>
      </c>
      <c r="L590" s="16">
        <v>2</v>
      </c>
      <c r="M590" s="5">
        <f t="shared" si="267"/>
        <v>900</v>
      </c>
      <c r="N590" s="6">
        <f t="shared" si="268"/>
        <v>82.635000000000005</v>
      </c>
      <c r="O590">
        <f t="shared" si="269"/>
        <v>979.19999999999993</v>
      </c>
      <c r="P590" s="7">
        <f t="shared" si="257"/>
        <v>11.849700490107097</v>
      </c>
      <c r="Q590">
        <f>ROUNDUP(몬스터!$P$23/F590, 0)</f>
        <v>14</v>
      </c>
      <c r="R590" s="6">
        <f t="shared" si="270"/>
        <v>17.789072426937736</v>
      </c>
      <c r="S590" s="7">
        <f>B590/몬스터!$C$23*R590</f>
        <v>266.55372017506704</v>
      </c>
      <c r="U590">
        <f>ROUNDDOWN(R590*몬스터!$H$23, 0)*몬스터!$G$23*(1+몬스터!$I$23)</f>
        <v>1532.16</v>
      </c>
      <c r="V590" s="2">
        <f t="shared" si="258"/>
        <v>1.5647058823529414</v>
      </c>
    </row>
    <row r="591" spans="1:22" x14ac:dyDescent="0.4">
      <c r="A591">
        <v>62</v>
      </c>
      <c r="B591" s="4">
        <f>160*A591</f>
        <v>9920</v>
      </c>
      <c r="C591">
        <f t="shared" si="263"/>
        <v>730</v>
      </c>
      <c r="D591">
        <f t="shared" si="264"/>
        <v>36</v>
      </c>
      <c r="E591" s="2">
        <v>0</v>
      </c>
      <c r="F591">
        <f t="shared" si="265"/>
        <v>101</v>
      </c>
      <c r="G591">
        <f t="shared" si="266"/>
        <v>0.78900000000000003</v>
      </c>
      <c r="H591" s="3">
        <f t="shared" si="256"/>
        <v>0.05</v>
      </c>
      <c r="I591" s="2">
        <v>2</v>
      </c>
      <c r="J591" s="2">
        <v>0</v>
      </c>
      <c r="K591" s="2">
        <v>1</v>
      </c>
      <c r="L591" s="16">
        <v>2</v>
      </c>
      <c r="M591" s="5">
        <f t="shared" si="267"/>
        <v>910</v>
      </c>
      <c r="N591" s="6">
        <f t="shared" si="268"/>
        <v>83.673450000000017</v>
      </c>
      <c r="O591">
        <f t="shared" si="269"/>
        <v>992.8</v>
      </c>
      <c r="P591" s="7">
        <f t="shared" si="257"/>
        <v>11.865173480954828</v>
      </c>
      <c r="Q591">
        <f>ROUNDUP(몬스터!$P$23/F591, 0)</f>
        <v>14</v>
      </c>
      <c r="R591" s="6">
        <f t="shared" si="270"/>
        <v>17.743979721166031</v>
      </c>
      <c r="S591" s="7">
        <f>B591/몬스터!$C$23*R591</f>
        <v>279.39726799042387</v>
      </c>
      <c r="U591">
        <f>ROUNDDOWN(R591*몬스터!$H$23, 0)*몬스터!$G$23*(1+몬스터!$I$23)</f>
        <v>1532.16</v>
      </c>
      <c r="V591" s="2">
        <f t="shared" si="258"/>
        <v>1.5432715551974217</v>
      </c>
    </row>
    <row r="592" spans="1:22" x14ac:dyDescent="0.4">
      <c r="A592">
        <v>63</v>
      </c>
      <c r="B592" s="4">
        <f>160*A592</f>
        <v>10080</v>
      </c>
      <c r="C592">
        <f t="shared" si="263"/>
        <v>740</v>
      </c>
      <c r="D592">
        <f t="shared" si="264"/>
        <v>36</v>
      </c>
      <c r="E592" s="2">
        <v>0</v>
      </c>
      <c r="F592">
        <f t="shared" si="265"/>
        <v>103</v>
      </c>
      <c r="G592">
        <f t="shared" si="266"/>
        <v>0.79100000000000004</v>
      </c>
      <c r="H592" s="3">
        <f t="shared" si="256"/>
        <v>0.05</v>
      </c>
      <c r="I592" s="2">
        <v>2</v>
      </c>
      <c r="J592" s="2">
        <v>0</v>
      </c>
      <c r="K592" s="2">
        <v>1</v>
      </c>
      <c r="L592" s="16">
        <v>2</v>
      </c>
      <c r="M592" s="5">
        <f t="shared" si="267"/>
        <v>920</v>
      </c>
      <c r="N592" s="6">
        <f t="shared" si="268"/>
        <v>85.54665</v>
      </c>
      <c r="O592">
        <f t="shared" si="269"/>
        <v>1006.3999999999999</v>
      </c>
      <c r="P592" s="7">
        <f t="shared" si="257"/>
        <v>11.764341444112656</v>
      </c>
      <c r="Q592">
        <f>ROUNDUP(몬스터!$P$23/F592, 0)</f>
        <v>14</v>
      </c>
      <c r="R592" s="6">
        <f t="shared" si="270"/>
        <v>17.699115044247787</v>
      </c>
      <c r="S592" s="7">
        <f>B592/몬스터!$C$23*R592</f>
        <v>283.18584070796459</v>
      </c>
      <c r="U592">
        <f>ROUNDDOWN(R592*몬스터!$H$23, 0)*몬스터!$G$23*(1+몬스터!$I$23)</f>
        <v>1532.16</v>
      </c>
      <c r="V592" s="2">
        <f t="shared" si="258"/>
        <v>1.5224165341812403</v>
      </c>
    </row>
    <row r="593" spans="1:22" x14ac:dyDescent="0.4">
      <c r="A593">
        <v>64</v>
      </c>
      <c r="B593" s="4">
        <f>160*A593</f>
        <v>10240</v>
      </c>
      <c r="C593">
        <f t="shared" si="263"/>
        <v>750</v>
      </c>
      <c r="D593">
        <f t="shared" si="264"/>
        <v>37</v>
      </c>
      <c r="E593" s="2">
        <v>0</v>
      </c>
      <c r="F593">
        <f t="shared" si="265"/>
        <v>104</v>
      </c>
      <c r="G593">
        <f t="shared" si="266"/>
        <v>0.79300000000000004</v>
      </c>
      <c r="H593" s="3">
        <f t="shared" si="256"/>
        <v>0.05</v>
      </c>
      <c r="I593" s="2">
        <v>2</v>
      </c>
      <c r="J593" s="2">
        <v>0</v>
      </c>
      <c r="K593" s="2">
        <v>1</v>
      </c>
      <c r="L593" s="16">
        <v>2</v>
      </c>
      <c r="M593" s="5">
        <f t="shared" si="267"/>
        <v>930</v>
      </c>
      <c r="N593" s="6">
        <f t="shared" si="268"/>
        <v>86.595600000000019</v>
      </c>
      <c r="O593">
        <f t="shared" si="269"/>
        <v>1027.5</v>
      </c>
      <c r="P593" s="7">
        <f t="shared" si="257"/>
        <v>11.865498939899947</v>
      </c>
      <c r="Q593">
        <f>ROUNDUP(몬스터!$P$23/F593, 0)</f>
        <v>13</v>
      </c>
      <c r="R593" s="6">
        <f t="shared" si="270"/>
        <v>16.393442622950818</v>
      </c>
      <c r="S593" s="7">
        <f>B593/몬스터!$C$23*R593</f>
        <v>266.45849596669262</v>
      </c>
      <c r="U593">
        <f>ROUNDDOWN(R593*몬스터!$H$23, 0)*몬스터!$G$23*(1+몬스터!$I$23)</f>
        <v>1313.2800000000002</v>
      </c>
      <c r="V593" s="2">
        <f t="shared" si="258"/>
        <v>1.278131386861314</v>
      </c>
    </row>
    <row r="594" spans="1:22" x14ac:dyDescent="0.4">
      <c r="A594">
        <v>65</v>
      </c>
      <c r="B594" s="4">
        <f>160*A594</f>
        <v>10400</v>
      </c>
      <c r="C594">
        <f t="shared" ref="C594:C629" si="277">MROUND((150+A594*11)*0.88,5)</f>
        <v>760</v>
      </c>
      <c r="D594">
        <f t="shared" ref="D594:D629" si="278">ROUNDDOWN((18+A594*0.3), 0)</f>
        <v>37</v>
      </c>
      <c r="E594" s="2">
        <v>0</v>
      </c>
      <c r="F594">
        <f t="shared" ref="F594:F629" si="279">ROUND((28+A594*2)*2/3, 0)</f>
        <v>105</v>
      </c>
      <c r="G594">
        <f t="shared" ref="G594:G629" si="280">0.665+0.002*A594</f>
        <v>0.79500000000000004</v>
      </c>
      <c r="H594" s="3">
        <f t="shared" si="256"/>
        <v>0.05</v>
      </c>
      <c r="I594" s="2">
        <v>2</v>
      </c>
      <c r="J594" s="2">
        <v>0</v>
      </c>
      <c r="K594" s="2">
        <v>1</v>
      </c>
      <c r="L594" s="16">
        <v>2</v>
      </c>
      <c r="M594" s="5">
        <f t="shared" ref="M594:M629" si="281">290+10*A594</f>
        <v>940</v>
      </c>
      <c r="N594" s="6">
        <f t="shared" ref="N594:N629" si="282">F594*G594*(1+H594)</f>
        <v>87.648750000000007</v>
      </c>
      <c r="O594">
        <f t="shared" ref="O594:O629" si="283">C594*(1+D594/100)*(1+E594)</f>
        <v>1041.2</v>
      </c>
      <c r="P594" s="7">
        <f t="shared" si="257"/>
        <v>11.879233873843038</v>
      </c>
      <c r="Q594">
        <f>ROUNDUP(몬스터!$P$23/F594, 0)</f>
        <v>13</v>
      </c>
      <c r="R594" s="6">
        <f t="shared" ref="R594:R625" si="284">Q594/G594</f>
        <v>16.352201257861633</v>
      </c>
      <c r="S594" s="7">
        <f>B594/몬스터!$C$23*R594</f>
        <v>269.94110012977939</v>
      </c>
      <c r="T594" s="7">
        <f t="shared" ref="T594" si="285">SUM(S590:S594)</f>
        <v>1365.5364249699276</v>
      </c>
      <c r="U594">
        <f>ROUNDDOWN(R594*몬스터!$H$23, 0)*몬스터!$G$23*(1+몬스터!$I$23)</f>
        <v>1313.2800000000002</v>
      </c>
      <c r="V594" s="2">
        <f t="shared" si="258"/>
        <v>1.2613138686131389</v>
      </c>
    </row>
    <row r="595" spans="1:22" x14ac:dyDescent="0.4">
      <c r="A595">
        <v>66</v>
      </c>
      <c r="B595" s="4">
        <f>170*A595-680</f>
        <v>10540</v>
      </c>
      <c r="C595">
        <f t="shared" si="277"/>
        <v>770</v>
      </c>
      <c r="D595">
        <f t="shared" si="278"/>
        <v>37</v>
      </c>
      <c r="E595" s="2">
        <v>0</v>
      </c>
      <c r="F595">
        <f t="shared" si="279"/>
        <v>107</v>
      </c>
      <c r="G595">
        <f t="shared" si="280"/>
        <v>0.79700000000000004</v>
      </c>
      <c r="H595" s="3">
        <f t="shared" ref="H595:H629" si="286">0.05</f>
        <v>0.05</v>
      </c>
      <c r="I595" s="2">
        <v>2</v>
      </c>
      <c r="J595" s="2">
        <v>0</v>
      </c>
      <c r="K595" s="2">
        <v>1</v>
      </c>
      <c r="L595" s="16">
        <v>2</v>
      </c>
      <c r="M595" s="5">
        <f t="shared" si="281"/>
        <v>950</v>
      </c>
      <c r="N595" s="6">
        <f t="shared" si="282"/>
        <v>89.542950000000019</v>
      </c>
      <c r="O595">
        <f t="shared" si="283"/>
        <v>1054.9000000000001</v>
      </c>
      <c r="P595" s="7">
        <f t="shared" ref="P595:P629" si="287">O595/N595</f>
        <v>11.780938644527568</v>
      </c>
      <c r="Q595">
        <f>ROUNDUP(몬스터!$P$24/F595, 0)</f>
        <v>14</v>
      </c>
      <c r="R595" s="6">
        <f t="shared" si="284"/>
        <v>17.565872020075282</v>
      </c>
      <c r="S595" s="7">
        <f>B595/몬스터!$C$24*R595</f>
        <v>272.27101631116687</v>
      </c>
      <c r="U595">
        <f>ROUNDDOWN(R595*몬스터!$H$24, 0)*몬스터!$G$24*(1+몬스터!$I$24)</f>
        <v>1654.6949999999999</v>
      </c>
      <c r="V595" s="2">
        <f t="shared" ref="V595:V629" si="288">U595/O595</f>
        <v>1.5685799601857995</v>
      </c>
    </row>
    <row r="596" spans="1:22" x14ac:dyDescent="0.4">
      <c r="A596">
        <v>67</v>
      </c>
      <c r="B596" s="4">
        <f>170*A596</f>
        <v>11390</v>
      </c>
      <c r="C596">
        <f t="shared" si="277"/>
        <v>780</v>
      </c>
      <c r="D596">
        <f t="shared" si="278"/>
        <v>38</v>
      </c>
      <c r="E596" s="2">
        <v>0</v>
      </c>
      <c r="F596">
        <f t="shared" si="279"/>
        <v>108</v>
      </c>
      <c r="G596">
        <f t="shared" si="280"/>
        <v>0.79900000000000004</v>
      </c>
      <c r="H596" s="3">
        <f t="shared" si="286"/>
        <v>0.05</v>
      </c>
      <c r="I596" s="2">
        <v>2</v>
      </c>
      <c r="J596" s="2">
        <v>0</v>
      </c>
      <c r="K596" s="2">
        <v>1</v>
      </c>
      <c r="L596" s="16">
        <v>2</v>
      </c>
      <c r="M596" s="5">
        <f t="shared" si="281"/>
        <v>960</v>
      </c>
      <c r="N596" s="6">
        <f t="shared" si="282"/>
        <v>90.6066</v>
      </c>
      <c r="O596">
        <f t="shared" si="283"/>
        <v>1076.3999999999999</v>
      </c>
      <c r="P596" s="7">
        <f t="shared" si="287"/>
        <v>11.879929276675208</v>
      </c>
      <c r="Q596">
        <f>ROUNDUP(몬스터!$P$24/F596, 0)</f>
        <v>14</v>
      </c>
      <c r="R596" s="6">
        <f t="shared" si="284"/>
        <v>17.521902377972463</v>
      </c>
      <c r="S596" s="7">
        <f>B596/몬스터!$C$24*R596</f>
        <v>293.49186483103875</v>
      </c>
      <c r="U596">
        <f>ROUNDDOWN(R596*몬스터!$H$24, 0)*몬스터!$G$24*(1+몬스터!$I$24)</f>
        <v>1654.6949999999999</v>
      </c>
      <c r="V596" s="2">
        <f t="shared" si="288"/>
        <v>1.5372491638795989</v>
      </c>
    </row>
    <row r="597" spans="1:22" x14ac:dyDescent="0.4">
      <c r="A597">
        <v>68</v>
      </c>
      <c r="B597" s="4">
        <f>170*A597</f>
        <v>11560</v>
      </c>
      <c r="C597">
        <f t="shared" si="277"/>
        <v>790</v>
      </c>
      <c r="D597">
        <f t="shared" si="278"/>
        <v>38</v>
      </c>
      <c r="E597" s="2">
        <v>0</v>
      </c>
      <c r="F597">
        <f t="shared" si="279"/>
        <v>109</v>
      </c>
      <c r="G597">
        <f t="shared" si="280"/>
        <v>0.80100000000000005</v>
      </c>
      <c r="H597" s="3">
        <f t="shared" si="286"/>
        <v>0.05</v>
      </c>
      <c r="I597" s="2">
        <v>2</v>
      </c>
      <c r="J597" s="2">
        <v>0</v>
      </c>
      <c r="K597" s="2">
        <v>1</v>
      </c>
      <c r="L597" s="16">
        <v>2</v>
      </c>
      <c r="M597" s="5">
        <f t="shared" si="281"/>
        <v>970</v>
      </c>
      <c r="N597" s="6">
        <f t="shared" si="282"/>
        <v>91.674450000000022</v>
      </c>
      <c r="O597">
        <f t="shared" si="283"/>
        <v>1090.1999999999998</v>
      </c>
      <c r="P597" s="7">
        <f t="shared" si="287"/>
        <v>11.892081163290312</v>
      </c>
      <c r="Q597">
        <f>ROUNDUP(몬스터!$P$24/F597, 0)</f>
        <v>14</v>
      </c>
      <c r="R597" s="6">
        <f t="shared" si="284"/>
        <v>17.478152309612984</v>
      </c>
      <c r="S597" s="7">
        <f>B597/몬스터!$C$24*R597</f>
        <v>297.12858926342074</v>
      </c>
      <c r="U597">
        <f>ROUNDDOWN(R597*몬스터!$H$24, 0)*몬스터!$G$24*(1+몬스터!$I$24)</f>
        <v>1654.6949999999999</v>
      </c>
      <c r="V597" s="2">
        <f t="shared" si="288"/>
        <v>1.5177903137039077</v>
      </c>
    </row>
    <row r="598" spans="1:22" x14ac:dyDescent="0.4">
      <c r="A598">
        <v>69</v>
      </c>
      <c r="B598" s="4">
        <f>170*A598</f>
        <v>11730</v>
      </c>
      <c r="C598">
        <f t="shared" si="277"/>
        <v>800</v>
      </c>
      <c r="D598">
        <f t="shared" si="278"/>
        <v>38</v>
      </c>
      <c r="E598" s="2">
        <v>0</v>
      </c>
      <c r="F598">
        <f t="shared" si="279"/>
        <v>111</v>
      </c>
      <c r="G598">
        <f t="shared" si="280"/>
        <v>0.80300000000000005</v>
      </c>
      <c r="H598" s="3">
        <f t="shared" si="286"/>
        <v>0.05</v>
      </c>
      <c r="I598" s="2">
        <v>2</v>
      </c>
      <c r="J598" s="2">
        <v>0</v>
      </c>
      <c r="K598" s="2">
        <v>1</v>
      </c>
      <c r="L598" s="16">
        <v>2</v>
      </c>
      <c r="M598" s="5">
        <f t="shared" si="281"/>
        <v>980</v>
      </c>
      <c r="N598" s="6">
        <f t="shared" si="282"/>
        <v>93.58965000000002</v>
      </c>
      <c r="O598">
        <f t="shared" si="283"/>
        <v>1104</v>
      </c>
      <c r="P598" s="7">
        <f t="shared" si="287"/>
        <v>11.79617617973782</v>
      </c>
      <c r="Q598">
        <f>ROUNDUP(몬스터!$P$24/F598, 0)</f>
        <v>14</v>
      </c>
      <c r="R598" s="6">
        <f t="shared" si="284"/>
        <v>17.4346201743462</v>
      </c>
      <c r="S598" s="7">
        <f>B598/몬스터!$C$24*R598</f>
        <v>300.74719800747198</v>
      </c>
      <c r="U598">
        <f>ROUNDDOWN(R598*몬스터!$H$24, 0)*몬스터!$G$24*(1+몬스터!$I$24)</f>
        <v>1654.6949999999999</v>
      </c>
      <c r="V598" s="2">
        <f t="shared" si="288"/>
        <v>1.4988179347826087</v>
      </c>
    </row>
    <row r="599" spans="1:22" x14ac:dyDescent="0.4">
      <c r="A599">
        <v>70</v>
      </c>
      <c r="B599" s="4">
        <f>170*A599</f>
        <v>11900</v>
      </c>
      <c r="C599">
        <f t="shared" si="277"/>
        <v>810</v>
      </c>
      <c r="D599">
        <f t="shared" si="278"/>
        <v>39</v>
      </c>
      <c r="E599" s="2">
        <v>0</v>
      </c>
      <c r="F599">
        <f t="shared" si="279"/>
        <v>112</v>
      </c>
      <c r="G599">
        <f t="shared" si="280"/>
        <v>0.80500000000000005</v>
      </c>
      <c r="H599" s="3">
        <f t="shared" si="286"/>
        <v>0.05</v>
      </c>
      <c r="I599" s="2">
        <v>2</v>
      </c>
      <c r="J599" s="2">
        <v>0</v>
      </c>
      <c r="K599" s="2">
        <v>1</v>
      </c>
      <c r="L599" s="16">
        <v>2</v>
      </c>
      <c r="M599" s="5">
        <f t="shared" si="281"/>
        <v>990</v>
      </c>
      <c r="N599" s="6">
        <f t="shared" si="282"/>
        <v>94.668000000000021</v>
      </c>
      <c r="O599">
        <f t="shared" si="283"/>
        <v>1125.9000000000001</v>
      </c>
      <c r="P599" s="7">
        <f t="shared" si="287"/>
        <v>11.893142350107743</v>
      </c>
      <c r="Q599">
        <f>ROUNDUP(몬스터!$P$24/F599, 0)</f>
        <v>14</v>
      </c>
      <c r="R599" s="6">
        <f t="shared" si="284"/>
        <v>17.391304347826086</v>
      </c>
      <c r="S599" s="7">
        <f>B599/몬스터!$C$24*R599</f>
        <v>304.3478260869565</v>
      </c>
      <c r="T599" s="7">
        <f t="shared" ref="T599" si="289">SUM(S595:S599)</f>
        <v>1467.986494500055</v>
      </c>
      <c r="U599">
        <f>ROUNDDOWN(R599*몬스터!$H$24, 0)*몬스터!$G$24*(1+몬스터!$I$24)</f>
        <v>1654.6949999999999</v>
      </c>
      <c r="V599" s="2">
        <f t="shared" si="288"/>
        <v>1.4696642685851318</v>
      </c>
    </row>
    <row r="600" spans="1:22" x14ac:dyDescent="0.4">
      <c r="A600">
        <v>71</v>
      </c>
      <c r="B600" s="4">
        <f>160*A600</f>
        <v>11360</v>
      </c>
      <c r="C600">
        <f t="shared" si="277"/>
        <v>820</v>
      </c>
      <c r="D600">
        <f t="shared" si="278"/>
        <v>39</v>
      </c>
      <c r="E600" s="2">
        <v>0</v>
      </c>
      <c r="F600">
        <f t="shared" si="279"/>
        <v>113</v>
      </c>
      <c r="G600">
        <f t="shared" si="280"/>
        <v>0.80700000000000005</v>
      </c>
      <c r="H600" s="3">
        <f t="shared" si="286"/>
        <v>0.05</v>
      </c>
      <c r="I600" s="2">
        <v>2</v>
      </c>
      <c r="J600" s="2">
        <v>0</v>
      </c>
      <c r="K600" s="2">
        <v>1</v>
      </c>
      <c r="L600" s="16">
        <v>2</v>
      </c>
      <c r="M600" s="5">
        <f t="shared" si="281"/>
        <v>1000</v>
      </c>
      <c r="N600" s="6">
        <f t="shared" si="282"/>
        <v>95.750550000000004</v>
      </c>
      <c r="O600">
        <f t="shared" si="283"/>
        <v>1139.8000000000002</v>
      </c>
      <c r="P600" s="7">
        <f t="shared" si="287"/>
        <v>11.903848071890971</v>
      </c>
      <c r="Q600">
        <f>ROUNDUP(몬스터!$P$25/F600, 0)</f>
        <v>15</v>
      </c>
      <c r="R600" s="6">
        <f t="shared" si="284"/>
        <v>18.587360594795538</v>
      </c>
      <c r="S600" s="7">
        <f>B600/몬스터!$C$25*R600</f>
        <v>289.24988542037988</v>
      </c>
      <c r="U600">
        <f>ROUNDDOWN(R600*몬스터!$H$25, 0)*몬스터!$G$25*(1+몬스터!$I$25)</f>
        <v>1923.075</v>
      </c>
      <c r="V600" s="2">
        <f t="shared" si="288"/>
        <v>1.6872038954202488</v>
      </c>
    </row>
    <row r="601" spans="1:22" x14ac:dyDescent="0.4">
      <c r="A601">
        <v>72</v>
      </c>
      <c r="B601" s="4">
        <f>160*A601</f>
        <v>11520</v>
      </c>
      <c r="C601">
        <f t="shared" si="277"/>
        <v>830</v>
      </c>
      <c r="D601">
        <f t="shared" si="278"/>
        <v>39</v>
      </c>
      <c r="E601" s="2">
        <v>0</v>
      </c>
      <c r="F601">
        <f t="shared" si="279"/>
        <v>115</v>
      </c>
      <c r="G601">
        <f t="shared" si="280"/>
        <v>0.80900000000000005</v>
      </c>
      <c r="H601" s="3">
        <f t="shared" si="286"/>
        <v>0.05</v>
      </c>
      <c r="I601" s="2">
        <v>2</v>
      </c>
      <c r="J601" s="2">
        <v>0</v>
      </c>
      <c r="K601" s="2">
        <v>1</v>
      </c>
      <c r="L601" s="16">
        <v>2</v>
      </c>
      <c r="M601" s="5">
        <f t="shared" si="281"/>
        <v>1010</v>
      </c>
      <c r="N601" s="6">
        <f t="shared" si="282"/>
        <v>97.686750000000018</v>
      </c>
      <c r="O601">
        <f t="shared" si="283"/>
        <v>1153.7</v>
      </c>
      <c r="P601" s="7">
        <f t="shared" si="287"/>
        <v>11.810199438511363</v>
      </c>
      <c r="Q601">
        <f>ROUNDUP(몬스터!$P$25/F601, 0)</f>
        <v>15</v>
      </c>
      <c r="R601" s="6">
        <f t="shared" si="284"/>
        <v>18.541409147095177</v>
      </c>
      <c r="S601" s="7">
        <f>B601/몬스터!$C$25*R601</f>
        <v>292.59867585552934</v>
      </c>
      <c r="U601">
        <f>ROUNDDOWN(R601*몬스터!$H$25, 0)*몬스터!$G$25*(1+몬스터!$I$25)</f>
        <v>1923.075</v>
      </c>
      <c r="V601" s="2">
        <f t="shared" si="288"/>
        <v>1.6668761376441015</v>
      </c>
    </row>
    <row r="602" spans="1:22" x14ac:dyDescent="0.4">
      <c r="A602">
        <v>73</v>
      </c>
      <c r="B602" s="4">
        <f>160*A602</f>
        <v>11680</v>
      </c>
      <c r="C602">
        <f t="shared" si="277"/>
        <v>840</v>
      </c>
      <c r="D602">
        <f t="shared" si="278"/>
        <v>39</v>
      </c>
      <c r="E602" s="2">
        <v>0</v>
      </c>
      <c r="F602">
        <f t="shared" si="279"/>
        <v>116</v>
      </c>
      <c r="G602">
        <f t="shared" si="280"/>
        <v>0.81100000000000005</v>
      </c>
      <c r="H602" s="3">
        <f t="shared" si="286"/>
        <v>0.05</v>
      </c>
      <c r="I602" s="2">
        <v>2</v>
      </c>
      <c r="J602" s="2">
        <v>0</v>
      </c>
      <c r="K602" s="2">
        <v>1</v>
      </c>
      <c r="L602" s="16">
        <v>2</v>
      </c>
      <c r="M602" s="5">
        <f t="shared" si="281"/>
        <v>1020</v>
      </c>
      <c r="N602" s="6">
        <f t="shared" si="282"/>
        <v>98.779800000000009</v>
      </c>
      <c r="O602">
        <f t="shared" si="283"/>
        <v>1167.6000000000001</v>
      </c>
      <c r="P602" s="7">
        <f t="shared" si="287"/>
        <v>11.820230451975</v>
      </c>
      <c r="Q602">
        <f>ROUNDUP(몬스터!$P$25/F602, 0)</f>
        <v>15</v>
      </c>
      <c r="R602" s="6">
        <f t="shared" si="284"/>
        <v>18.49568434032059</v>
      </c>
      <c r="S602" s="7">
        <f>B602/몬스터!$C$25*R602</f>
        <v>295.93094944512944</v>
      </c>
      <c r="U602">
        <f>ROUNDDOWN(R602*몬스터!$H$25, 0)*몬스터!$G$25*(1+몬스터!$I$25)</f>
        <v>1923.075</v>
      </c>
      <c r="V602" s="2">
        <f t="shared" si="288"/>
        <v>1.6470323741007193</v>
      </c>
    </row>
    <row r="603" spans="1:22" x14ac:dyDescent="0.4">
      <c r="A603">
        <v>74</v>
      </c>
      <c r="B603" s="4">
        <f>160*A603</f>
        <v>11840</v>
      </c>
      <c r="C603">
        <f t="shared" si="277"/>
        <v>850</v>
      </c>
      <c r="D603">
        <f t="shared" si="278"/>
        <v>40</v>
      </c>
      <c r="E603" s="2">
        <v>0</v>
      </c>
      <c r="F603">
        <f t="shared" si="279"/>
        <v>117</v>
      </c>
      <c r="G603">
        <f t="shared" si="280"/>
        <v>0.81300000000000006</v>
      </c>
      <c r="H603" s="3">
        <f t="shared" si="286"/>
        <v>0.05</v>
      </c>
      <c r="I603" s="2">
        <v>2</v>
      </c>
      <c r="J603" s="2">
        <v>0</v>
      </c>
      <c r="K603" s="2">
        <v>1</v>
      </c>
      <c r="L603" s="16">
        <v>2</v>
      </c>
      <c r="M603" s="5">
        <f t="shared" si="281"/>
        <v>1030</v>
      </c>
      <c r="N603" s="6">
        <f t="shared" si="282"/>
        <v>99.877050000000011</v>
      </c>
      <c r="O603">
        <f t="shared" si="283"/>
        <v>1190</v>
      </c>
      <c r="P603" s="7">
        <f t="shared" si="287"/>
        <v>11.914649061020523</v>
      </c>
      <c r="Q603">
        <f>ROUNDUP(몬스터!$P$25/F603, 0)</f>
        <v>15</v>
      </c>
      <c r="R603" s="6">
        <f t="shared" si="284"/>
        <v>18.450184501845015</v>
      </c>
      <c r="S603" s="7">
        <f>B603/몬스터!$C$25*R603</f>
        <v>299.2468280847192</v>
      </c>
      <c r="U603">
        <f>ROUNDDOWN(R603*몬스터!$H$25, 0)*몬스터!$G$25*(1+몬스터!$I$25)</f>
        <v>1923.075</v>
      </c>
      <c r="V603" s="2">
        <f t="shared" si="288"/>
        <v>1.6160294117647058</v>
      </c>
    </row>
    <row r="604" spans="1:22" x14ac:dyDescent="0.4">
      <c r="A604">
        <v>75</v>
      </c>
      <c r="B604" s="4">
        <f>160*A604</f>
        <v>12000</v>
      </c>
      <c r="C604">
        <f t="shared" si="277"/>
        <v>860</v>
      </c>
      <c r="D604">
        <f t="shared" si="278"/>
        <v>40</v>
      </c>
      <c r="E604" s="2">
        <v>0</v>
      </c>
      <c r="F604">
        <f t="shared" si="279"/>
        <v>119</v>
      </c>
      <c r="G604">
        <f t="shared" si="280"/>
        <v>0.81500000000000006</v>
      </c>
      <c r="H604" s="3">
        <f t="shared" si="286"/>
        <v>0.05</v>
      </c>
      <c r="I604" s="2">
        <v>2</v>
      </c>
      <c r="J604" s="2">
        <v>0</v>
      </c>
      <c r="K604" s="2">
        <v>1</v>
      </c>
      <c r="L604" s="16">
        <v>2</v>
      </c>
      <c r="M604" s="5">
        <f t="shared" si="281"/>
        <v>1040</v>
      </c>
      <c r="N604" s="6">
        <f t="shared" si="282"/>
        <v>101.83425000000003</v>
      </c>
      <c r="O604">
        <f t="shared" si="283"/>
        <v>1204</v>
      </c>
      <c r="P604" s="7">
        <f t="shared" si="287"/>
        <v>11.823134161640112</v>
      </c>
      <c r="Q604">
        <f>ROUNDUP(몬스터!$P$25/F604, 0)</f>
        <v>14</v>
      </c>
      <c r="R604" s="6">
        <f t="shared" si="284"/>
        <v>17.177914110429448</v>
      </c>
      <c r="S604" s="7">
        <f>B604/몬스터!$C$25*R604</f>
        <v>282.37667030842931</v>
      </c>
      <c r="T604" s="7">
        <f t="shared" ref="T604" si="290">SUM(S600:S604)</f>
        <v>1459.4030091141872</v>
      </c>
      <c r="U604">
        <f>ROUNDDOWN(R604*몬스터!$H$25, 0)*몬스터!$G$25*(1+몬스터!$I$25)</f>
        <v>1794.8700000000001</v>
      </c>
      <c r="V604" s="2">
        <f t="shared" si="288"/>
        <v>1.4907558139534884</v>
      </c>
    </row>
    <row r="605" spans="1:22" x14ac:dyDescent="0.4">
      <c r="A605">
        <v>76</v>
      </c>
      <c r="B605" s="4">
        <f>170*A605</f>
        <v>12920</v>
      </c>
      <c r="C605">
        <f t="shared" si="277"/>
        <v>870</v>
      </c>
      <c r="D605">
        <f t="shared" si="278"/>
        <v>40</v>
      </c>
      <c r="E605" s="2">
        <v>0</v>
      </c>
      <c r="F605">
        <f t="shared" si="279"/>
        <v>120</v>
      </c>
      <c r="G605">
        <f t="shared" si="280"/>
        <v>0.81700000000000006</v>
      </c>
      <c r="H605" s="3">
        <f t="shared" si="286"/>
        <v>0.05</v>
      </c>
      <c r="I605" s="2">
        <v>2</v>
      </c>
      <c r="J605" s="2">
        <v>0</v>
      </c>
      <c r="K605" s="2">
        <v>1</v>
      </c>
      <c r="L605" s="16">
        <v>2</v>
      </c>
      <c r="M605" s="5">
        <f t="shared" si="281"/>
        <v>1050</v>
      </c>
      <c r="N605" s="6">
        <f t="shared" si="282"/>
        <v>102.94200000000001</v>
      </c>
      <c r="O605">
        <f t="shared" si="283"/>
        <v>1218</v>
      </c>
      <c r="P605" s="7">
        <f t="shared" si="287"/>
        <v>11.83190534475724</v>
      </c>
      <c r="Q605">
        <f>ROUNDUP(몬스터!$P$26/F605, 0)</f>
        <v>16</v>
      </c>
      <c r="R605" s="6">
        <f t="shared" si="284"/>
        <v>19.583843329253366</v>
      </c>
      <c r="S605" s="7">
        <f>B605/몬스터!$C$26*R605</f>
        <v>324.38878950506859</v>
      </c>
      <c r="U605">
        <f>ROUNDDOWN(R605*몬스터!$H$26, 0)*몬스터!$G$26*(1+몬스터!$I$26)</f>
        <v>2194.8000000000002</v>
      </c>
      <c r="V605" s="2">
        <f t="shared" si="288"/>
        <v>1.8019704433497539</v>
      </c>
    </row>
    <row r="606" spans="1:22" x14ac:dyDescent="0.4">
      <c r="A606">
        <v>77</v>
      </c>
      <c r="B606" s="4">
        <f>170*A606</f>
        <v>13090</v>
      </c>
      <c r="C606">
        <f t="shared" si="277"/>
        <v>875</v>
      </c>
      <c r="D606">
        <f t="shared" si="278"/>
        <v>41</v>
      </c>
      <c r="E606" s="2">
        <v>0</v>
      </c>
      <c r="F606">
        <f t="shared" si="279"/>
        <v>121</v>
      </c>
      <c r="G606">
        <f t="shared" si="280"/>
        <v>0.81900000000000006</v>
      </c>
      <c r="H606" s="3">
        <f t="shared" si="286"/>
        <v>0.05</v>
      </c>
      <c r="I606" s="2">
        <v>2</v>
      </c>
      <c r="J606" s="2">
        <v>0</v>
      </c>
      <c r="K606" s="2">
        <v>1</v>
      </c>
      <c r="L606" s="16">
        <v>2</v>
      </c>
      <c r="M606" s="5">
        <f t="shared" si="281"/>
        <v>1060</v>
      </c>
      <c r="N606" s="6">
        <f t="shared" si="282"/>
        <v>104.05395000000001</v>
      </c>
      <c r="O606">
        <f t="shared" si="283"/>
        <v>1233.75</v>
      </c>
      <c r="P606" s="7">
        <f t="shared" si="287"/>
        <v>11.856830038648219</v>
      </c>
      <c r="Q606">
        <f>ROUNDUP(몬스터!$P$26/F606, 0)</f>
        <v>15</v>
      </c>
      <c r="R606" s="6">
        <f t="shared" si="284"/>
        <v>18.315018315018314</v>
      </c>
      <c r="S606" s="7">
        <f>B606/몬스터!$C$26*R606</f>
        <v>307.36357659434577</v>
      </c>
      <c r="U606">
        <f>ROUNDDOWN(R606*몬스터!$H$26, 0)*몬스터!$G$26*(1+몬스터!$I$26)</f>
        <v>2057.625</v>
      </c>
      <c r="V606" s="2">
        <f t="shared" si="288"/>
        <v>1.6677811550151975</v>
      </c>
    </row>
    <row r="607" spans="1:22" x14ac:dyDescent="0.4">
      <c r="A607">
        <v>78</v>
      </c>
      <c r="B607" s="4">
        <f>170*A607</f>
        <v>13260</v>
      </c>
      <c r="C607">
        <f t="shared" si="277"/>
        <v>885</v>
      </c>
      <c r="D607">
        <f t="shared" si="278"/>
        <v>41</v>
      </c>
      <c r="E607" s="2">
        <v>0</v>
      </c>
      <c r="F607">
        <f t="shared" si="279"/>
        <v>123</v>
      </c>
      <c r="G607">
        <f t="shared" si="280"/>
        <v>0.82100000000000006</v>
      </c>
      <c r="H607" s="3">
        <f t="shared" si="286"/>
        <v>0.05</v>
      </c>
      <c r="I607" s="2">
        <v>2</v>
      </c>
      <c r="J607" s="2">
        <v>0</v>
      </c>
      <c r="K607" s="2">
        <v>1</v>
      </c>
      <c r="L607" s="16">
        <v>2</v>
      </c>
      <c r="M607" s="5">
        <f t="shared" si="281"/>
        <v>1070</v>
      </c>
      <c r="N607" s="6">
        <f t="shared" si="282"/>
        <v>106.03215000000002</v>
      </c>
      <c r="O607">
        <f t="shared" si="283"/>
        <v>1247.8499999999999</v>
      </c>
      <c r="P607" s="7">
        <f t="shared" si="287"/>
        <v>11.76860037262283</v>
      </c>
      <c r="Q607">
        <f>ROUNDUP(몬스터!$P$26/F607, 0)</f>
        <v>15</v>
      </c>
      <c r="R607" s="6">
        <f t="shared" si="284"/>
        <v>18.270401948842874</v>
      </c>
      <c r="S607" s="7">
        <f>B607/몬스터!$C$26*R607</f>
        <v>310.59683313032883</v>
      </c>
      <c r="U607">
        <f>ROUNDDOWN(R607*몬스터!$H$26, 0)*몬스터!$G$26*(1+몬스터!$I$26)</f>
        <v>2057.625</v>
      </c>
      <c r="V607" s="2">
        <f t="shared" si="288"/>
        <v>1.6489361702127661</v>
      </c>
    </row>
    <row r="608" spans="1:22" x14ac:dyDescent="0.4">
      <c r="A608">
        <v>79</v>
      </c>
      <c r="B608" s="4">
        <f>170*A608</f>
        <v>13430</v>
      </c>
      <c r="C608">
        <f t="shared" si="277"/>
        <v>895</v>
      </c>
      <c r="D608">
        <f t="shared" si="278"/>
        <v>41</v>
      </c>
      <c r="E608" s="2">
        <v>0</v>
      </c>
      <c r="F608">
        <f t="shared" si="279"/>
        <v>124</v>
      </c>
      <c r="G608">
        <f t="shared" si="280"/>
        <v>0.82300000000000006</v>
      </c>
      <c r="H608" s="3">
        <f t="shared" si="286"/>
        <v>0.05</v>
      </c>
      <c r="I608" s="2">
        <v>2</v>
      </c>
      <c r="J608" s="2">
        <v>0</v>
      </c>
      <c r="K608" s="2">
        <v>1</v>
      </c>
      <c r="L608" s="16">
        <v>2</v>
      </c>
      <c r="M608" s="5">
        <f t="shared" si="281"/>
        <v>1080</v>
      </c>
      <c r="N608" s="6">
        <f t="shared" si="282"/>
        <v>107.15460000000002</v>
      </c>
      <c r="O608">
        <f t="shared" si="283"/>
        <v>1261.9499999999998</v>
      </c>
      <c r="P608" s="7">
        <f t="shared" si="287"/>
        <v>11.776909250746115</v>
      </c>
      <c r="Q608">
        <f>ROUNDUP(몬스터!$P$26/F608, 0)</f>
        <v>15</v>
      </c>
      <c r="R608" s="6">
        <f t="shared" si="284"/>
        <v>18.226002430133654</v>
      </c>
      <c r="S608" s="7">
        <f>B608/몬스터!$C$26*R608</f>
        <v>313.81437517525001</v>
      </c>
      <c r="U608">
        <f>ROUNDDOWN(R608*몬스터!$H$26, 0)*몬스터!$G$26*(1+몬스터!$I$26)</f>
        <v>2057.625</v>
      </c>
      <c r="V608" s="2">
        <f t="shared" si="288"/>
        <v>1.6305123023891599</v>
      </c>
    </row>
    <row r="609" spans="1:22" x14ac:dyDescent="0.4">
      <c r="A609">
        <v>80</v>
      </c>
      <c r="B609" s="4">
        <f>170*A609</f>
        <v>13600</v>
      </c>
      <c r="C609">
        <f t="shared" si="277"/>
        <v>905</v>
      </c>
      <c r="D609">
        <f t="shared" si="278"/>
        <v>42</v>
      </c>
      <c r="E609" s="2">
        <v>0</v>
      </c>
      <c r="F609">
        <f t="shared" si="279"/>
        <v>125</v>
      </c>
      <c r="G609">
        <f t="shared" si="280"/>
        <v>0.82500000000000007</v>
      </c>
      <c r="H609" s="3">
        <f t="shared" si="286"/>
        <v>0.05</v>
      </c>
      <c r="I609" s="2">
        <v>2</v>
      </c>
      <c r="J609" s="2">
        <v>0</v>
      </c>
      <c r="K609" s="2">
        <v>1</v>
      </c>
      <c r="L609" s="16">
        <v>2</v>
      </c>
      <c r="M609" s="5">
        <f t="shared" si="281"/>
        <v>1090</v>
      </c>
      <c r="N609" s="6">
        <f t="shared" si="282"/>
        <v>108.28125000000001</v>
      </c>
      <c r="O609">
        <f t="shared" si="283"/>
        <v>1285.0999999999999</v>
      </c>
      <c r="P609" s="7">
        <f t="shared" si="287"/>
        <v>11.868167388167386</v>
      </c>
      <c r="Q609">
        <f>ROUNDUP(몬스터!$P$26/F609, 0)</f>
        <v>15</v>
      </c>
      <c r="R609" s="6">
        <f t="shared" si="284"/>
        <v>18.18181818181818</v>
      </c>
      <c r="S609" s="7">
        <f>B609/몬스터!$C$26*R609</f>
        <v>317.01631701631698</v>
      </c>
      <c r="T609" s="7">
        <f t="shared" ref="T609" si="291">SUM(S605:S609)</f>
        <v>1573.17989142131</v>
      </c>
      <c r="U609">
        <f>ROUNDDOWN(R609*몬스터!$H$26, 0)*몬스터!$G$26*(1+몬스터!$I$26)</f>
        <v>2057.625</v>
      </c>
      <c r="V609" s="2">
        <f t="shared" si="288"/>
        <v>1.6011399891059062</v>
      </c>
    </row>
    <row r="610" spans="1:22" x14ac:dyDescent="0.4">
      <c r="A610">
        <v>81</v>
      </c>
      <c r="B610" s="4">
        <f>160*A610</f>
        <v>12960</v>
      </c>
      <c r="C610">
        <f t="shared" si="277"/>
        <v>915</v>
      </c>
      <c r="D610">
        <f t="shared" si="278"/>
        <v>42</v>
      </c>
      <c r="E610" s="2">
        <v>0</v>
      </c>
      <c r="F610">
        <f t="shared" si="279"/>
        <v>127</v>
      </c>
      <c r="G610">
        <f t="shared" si="280"/>
        <v>0.82700000000000007</v>
      </c>
      <c r="H610" s="3">
        <f t="shared" si="286"/>
        <v>0.05</v>
      </c>
      <c r="I610" s="2">
        <v>2</v>
      </c>
      <c r="J610" s="2">
        <v>0</v>
      </c>
      <c r="K610" s="2">
        <v>1</v>
      </c>
      <c r="L610" s="16">
        <v>2</v>
      </c>
      <c r="M610" s="5">
        <f t="shared" si="281"/>
        <v>1100</v>
      </c>
      <c r="N610" s="6">
        <f t="shared" si="282"/>
        <v>110.28045000000002</v>
      </c>
      <c r="O610">
        <f t="shared" si="283"/>
        <v>1299.3</v>
      </c>
      <c r="P610" s="7">
        <f t="shared" si="287"/>
        <v>11.781779998177372</v>
      </c>
      <c r="Q610">
        <f>ROUNDUP(몬스터!$P$29/F610, 0)</f>
        <v>16</v>
      </c>
      <c r="R610" s="6">
        <f t="shared" si="284"/>
        <v>19.347037484885124</v>
      </c>
      <c r="S610" s="7">
        <f>B610/몬스터!$C$29*R610</f>
        <v>302.09350096880871</v>
      </c>
      <c r="U610">
        <f>ROUNDDOWN(R610*몬스터!$H$29, 0)*몬스터!$G$29*(1+몬스터!$I$29)</f>
        <v>2358.7199999999998</v>
      </c>
      <c r="V610" s="2">
        <f t="shared" si="288"/>
        <v>1.8153775109674439</v>
      </c>
    </row>
    <row r="611" spans="1:22" x14ac:dyDescent="0.4">
      <c r="A611">
        <v>82</v>
      </c>
      <c r="B611" s="4">
        <f>160*A611</f>
        <v>13120</v>
      </c>
      <c r="C611">
        <f t="shared" si="277"/>
        <v>925</v>
      </c>
      <c r="D611">
        <f t="shared" si="278"/>
        <v>42</v>
      </c>
      <c r="E611" s="2">
        <v>0</v>
      </c>
      <c r="F611">
        <f t="shared" si="279"/>
        <v>128</v>
      </c>
      <c r="G611">
        <f t="shared" si="280"/>
        <v>0.82900000000000007</v>
      </c>
      <c r="H611" s="3">
        <f t="shared" si="286"/>
        <v>0.05</v>
      </c>
      <c r="I611" s="2">
        <v>2</v>
      </c>
      <c r="J611" s="2">
        <v>0</v>
      </c>
      <c r="K611" s="2">
        <v>1</v>
      </c>
      <c r="L611" s="16">
        <v>2</v>
      </c>
      <c r="M611" s="5">
        <f t="shared" si="281"/>
        <v>1110</v>
      </c>
      <c r="N611" s="6">
        <f t="shared" si="282"/>
        <v>111.41760000000001</v>
      </c>
      <c r="O611">
        <f t="shared" si="283"/>
        <v>1313.5</v>
      </c>
      <c r="P611" s="7">
        <f t="shared" si="287"/>
        <v>11.788981274053649</v>
      </c>
      <c r="Q611">
        <f>ROUNDUP(몬스터!$P$29/F611, 0)</f>
        <v>16</v>
      </c>
      <c r="R611" s="6">
        <f t="shared" si="284"/>
        <v>19.300361881785282</v>
      </c>
      <c r="S611" s="7">
        <f>B611/몬스터!$C$29*R611</f>
        <v>305.08523842050948</v>
      </c>
      <c r="U611">
        <f>ROUNDDOWN(R611*몬스터!$H$29, 0)*몬스터!$G$29*(1+몬스터!$I$29)</f>
        <v>2358.7199999999998</v>
      </c>
      <c r="V611" s="2">
        <f t="shared" si="288"/>
        <v>1.7957518081461743</v>
      </c>
    </row>
    <row r="612" spans="1:22" x14ac:dyDescent="0.4">
      <c r="A612">
        <v>83</v>
      </c>
      <c r="B612" s="4">
        <f>160*A612</f>
        <v>13280</v>
      </c>
      <c r="C612">
        <f t="shared" si="277"/>
        <v>935</v>
      </c>
      <c r="D612">
        <f t="shared" si="278"/>
        <v>42</v>
      </c>
      <c r="E612" s="2">
        <v>0</v>
      </c>
      <c r="F612">
        <f t="shared" si="279"/>
        <v>129</v>
      </c>
      <c r="G612">
        <f t="shared" si="280"/>
        <v>0.83100000000000007</v>
      </c>
      <c r="H612" s="3">
        <f t="shared" si="286"/>
        <v>0.05</v>
      </c>
      <c r="I612" s="2">
        <v>2</v>
      </c>
      <c r="J612" s="2">
        <v>0</v>
      </c>
      <c r="K612" s="2">
        <v>1</v>
      </c>
      <c r="L612" s="16">
        <v>2</v>
      </c>
      <c r="M612" s="5">
        <f t="shared" si="281"/>
        <v>1120</v>
      </c>
      <c r="N612" s="6">
        <f t="shared" si="282"/>
        <v>112.55895000000002</v>
      </c>
      <c r="O612">
        <f t="shared" si="283"/>
        <v>1327.7</v>
      </c>
      <c r="P612" s="7">
        <f t="shared" si="287"/>
        <v>11.795596885010031</v>
      </c>
      <c r="Q612">
        <f>ROUNDUP(몬스터!$P$29/F612, 0)</f>
        <v>16</v>
      </c>
      <c r="R612" s="6">
        <f t="shared" si="284"/>
        <v>19.253910950661851</v>
      </c>
      <c r="S612" s="7">
        <f>B612/몬스터!$C$29*R612</f>
        <v>308.06257521058961</v>
      </c>
      <c r="U612">
        <f>ROUNDDOWN(R612*몬스터!$H$29, 0)*몬스터!$G$29*(1+몬스터!$I$29)</f>
        <v>2358.7199999999998</v>
      </c>
      <c r="V612" s="2">
        <f t="shared" si="288"/>
        <v>1.7765459064547713</v>
      </c>
    </row>
    <row r="613" spans="1:22" x14ac:dyDescent="0.4">
      <c r="A613">
        <v>84</v>
      </c>
      <c r="B613" s="4">
        <f>160*A613</f>
        <v>13440</v>
      </c>
      <c r="C613">
        <f t="shared" si="277"/>
        <v>945</v>
      </c>
      <c r="D613">
        <f t="shared" si="278"/>
        <v>43</v>
      </c>
      <c r="E613" s="2">
        <v>0</v>
      </c>
      <c r="F613">
        <f t="shared" si="279"/>
        <v>131</v>
      </c>
      <c r="G613">
        <f t="shared" si="280"/>
        <v>0.83300000000000007</v>
      </c>
      <c r="H613" s="3">
        <f t="shared" si="286"/>
        <v>0.05</v>
      </c>
      <c r="I613" s="2">
        <v>2</v>
      </c>
      <c r="J613" s="2">
        <v>0</v>
      </c>
      <c r="K613" s="2">
        <v>1</v>
      </c>
      <c r="L613" s="16">
        <v>2</v>
      </c>
      <c r="M613" s="5">
        <f t="shared" si="281"/>
        <v>1130</v>
      </c>
      <c r="N613" s="6">
        <f t="shared" si="282"/>
        <v>114.57915000000001</v>
      </c>
      <c r="O613">
        <f t="shared" si="283"/>
        <v>1351.35</v>
      </c>
      <c r="P613" s="7">
        <f t="shared" si="287"/>
        <v>11.794030589334968</v>
      </c>
      <c r="Q613">
        <f>ROUNDUP(몬스터!$P$29/F613, 0)</f>
        <v>16</v>
      </c>
      <c r="R613" s="6">
        <f t="shared" si="284"/>
        <v>19.20768307322929</v>
      </c>
      <c r="S613" s="7">
        <f>B613/몬스터!$C$29*R613</f>
        <v>311.02561506530321</v>
      </c>
      <c r="U613">
        <f>ROUNDDOWN(R613*몬스터!$H$29, 0)*몬스터!$G$29*(1+몬스터!$I$29)</f>
        <v>2358.7199999999998</v>
      </c>
      <c r="V613" s="2">
        <f t="shared" si="288"/>
        <v>1.7454545454545454</v>
      </c>
    </row>
    <row r="614" spans="1:22" x14ac:dyDescent="0.4">
      <c r="A614">
        <v>85</v>
      </c>
      <c r="B614" s="4">
        <f>160*A614</f>
        <v>13600</v>
      </c>
      <c r="C614">
        <f t="shared" si="277"/>
        <v>955</v>
      </c>
      <c r="D614">
        <f t="shared" si="278"/>
        <v>43</v>
      </c>
      <c r="E614" s="2">
        <v>0</v>
      </c>
      <c r="F614">
        <f t="shared" si="279"/>
        <v>132</v>
      </c>
      <c r="G614">
        <f t="shared" si="280"/>
        <v>0.83500000000000008</v>
      </c>
      <c r="H614" s="3">
        <f t="shared" si="286"/>
        <v>0.05</v>
      </c>
      <c r="I614" s="2">
        <v>2</v>
      </c>
      <c r="J614" s="2">
        <v>0</v>
      </c>
      <c r="K614" s="2">
        <v>1</v>
      </c>
      <c r="L614" s="16">
        <v>2</v>
      </c>
      <c r="M614" s="5">
        <f t="shared" si="281"/>
        <v>1140</v>
      </c>
      <c r="N614" s="6">
        <f t="shared" si="282"/>
        <v>115.73100000000002</v>
      </c>
      <c r="O614">
        <f t="shared" si="283"/>
        <v>1365.6499999999999</v>
      </c>
      <c r="P614" s="7">
        <f t="shared" si="287"/>
        <v>11.800209105598324</v>
      </c>
      <c r="Q614">
        <f>ROUNDUP(몬스터!$P$29/F614, 0)</f>
        <v>15</v>
      </c>
      <c r="R614" s="6">
        <f t="shared" si="284"/>
        <v>17.964071856287422</v>
      </c>
      <c r="S614" s="7">
        <f>B614/몬스터!$C$29*R614</f>
        <v>294.35105692229996</v>
      </c>
      <c r="T614" s="7">
        <f t="shared" ref="T614" si="292">SUM(S610:S614)</f>
        <v>1520.617986587511</v>
      </c>
      <c r="U614">
        <f>ROUNDDOWN(R614*몬스터!$H$29, 0)*몬스터!$G$29*(1+몬스터!$I$29)</f>
        <v>2211.2999999999997</v>
      </c>
      <c r="V614" s="2">
        <f t="shared" si="288"/>
        <v>1.6192289386006664</v>
      </c>
    </row>
    <row r="615" spans="1:22" x14ac:dyDescent="0.4">
      <c r="A615">
        <v>86</v>
      </c>
      <c r="B615" s="4">
        <f>170*A615</f>
        <v>14620</v>
      </c>
      <c r="C615">
        <f t="shared" si="277"/>
        <v>965</v>
      </c>
      <c r="D615">
        <f t="shared" si="278"/>
        <v>43</v>
      </c>
      <c r="E615" s="2">
        <v>0</v>
      </c>
      <c r="F615">
        <f t="shared" si="279"/>
        <v>133</v>
      </c>
      <c r="G615">
        <f t="shared" si="280"/>
        <v>0.83700000000000008</v>
      </c>
      <c r="H615" s="3">
        <f t="shared" si="286"/>
        <v>0.05</v>
      </c>
      <c r="I615" s="2">
        <v>2</v>
      </c>
      <c r="J615" s="2">
        <v>0</v>
      </c>
      <c r="K615" s="2">
        <v>1</v>
      </c>
      <c r="L615" s="16">
        <v>2</v>
      </c>
      <c r="M615" s="5">
        <f t="shared" si="281"/>
        <v>1150</v>
      </c>
      <c r="N615" s="6">
        <f t="shared" si="282"/>
        <v>116.88705000000002</v>
      </c>
      <c r="O615">
        <f t="shared" si="283"/>
        <v>1379.95</v>
      </c>
      <c r="P615" s="7">
        <f t="shared" si="287"/>
        <v>11.805841622318297</v>
      </c>
      <c r="Q615">
        <f>ROUNDUP(몬스터!$P$30/F615, 0)</f>
        <v>17</v>
      </c>
      <c r="R615" s="6">
        <f t="shared" si="284"/>
        <v>20.310633213859017</v>
      </c>
      <c r="S615" s="7">
        <f>B615/몬스터!$C$30*R615</f>
        <v>337.43347453024865</v>
      </c>
      <c r="U615">
        <f>ROUNDDOWN(R615*몬스터!$H$30, 0)*몬스터!$G$30*(1+몬스터!$I$30)</f>
        <v>2662.3274999999999</v>
      </c>
      <c r="V615" s="2">
        <f t="shared" si="288"/>
        <v>1.929292727997391</v>
      </c>
    </row>
    <row r="616" spans="1:22" x14ac:dyDescent="0.4">
      <c r="A616">
        <v>87</v>
      </c>
      <c r="B616" s="4">
        <f>170*A616</f>
        <v>14790</v>
      </c>
      <c r="C616">
        <f t="shared" si="277"/>
        <v>975</v>
      </c>
      <c r="D616">
        <f t="shared" si="278"/>
        <v>44</v>
      </c>
      <c r="E616" s="2">
        <v>0</v>
      </c>
      <c r="F616">
        <f t="shared" si="279"/>
        <v>135</v>
      </c>
      <c r="G616">
        <f t="shared" si="280"/>
        <v>0.83900000000000008</v>
      </c>
      <c r="H616" s="3">
        <f t="shared" si="286"/>
        <v>0.05</v>
      </c>
      <c r="I616" s="2">
        <v>2</v>
      </c>
      <c r="J616" s="2">
        <v>0</v>
      </c>
      <c r="K616" s="2">
        <v>1</v>
      </c>
      <c r="L616" s="16">
        <v>2</v>
      </c>
      <c r="M616" s="5">
        <f t="shared" si="281"/>
        <v>1160</v>
      </c>
      <c r="N616" s="6">
        <f t="shared" si="282"/>
        <v>118.92825000000002</v>
      </c>
      <c r="O616">
        <f t="shared" si="283"/>
        <v>1404</v>
      </c>
      <c r="P616" s="7">
        <f t="shared" si="287"/>
        <v>11.805437311992733</v>
      </c>
      <c r="Q616">
        <f>ROUNDUP(몬스터!$P$30/F616, 0)</f>
        <v>16</v>
      </c>
      <c r="R616" s="6">
        <f t="shared" si="284"/>
        <v>19.070321811680571</v>
      </c>
      <c r="S616" s="7">
        <f>B616/몬스터!$C$30*R616</f>
        <v>320.51143135767688</v>
      </c>
      <c r="U616">
        <f>ROUNDDOWN(R616*몬스터!$H$30, 0)*몬스터!$G$30*(1+몬스터!$I$30)</f>
        <v>2505.7199999999998</v>
      </c>
      <c r="V616" s="2">
        <f t="shared" si="288"/>
        <v>1.7847008547008545</v>
      </c>
    </row>
    <row r="617" spans="1:22" x14ac:dyDescent="0.4">
      <c r="A617">
        <v>88</v>
      </c>
      <c r="B617" s="4">
        <f>170*A617</f>
        <v>14960</v>
      </c>
      <c r="C617">
        <f t="shared" si="277"/>
        <v>985</v>
      </c>
      <c r="D617">
        <f t="shared" si="278"/>
        <v>44</v>
      </c>
      <c r="E617" s="2">
        <v>0</v>
      </c>
      <c r="F617">
        <f t="shared" si="279"/>
        <v>136</v>
      </c>
      <c r="G617">
        <f t="shared" si="280"/>
        <v>0.84099999999999997</v>
      </c>
      <c r="H617" s="3">
        <f t="shared" si="286"/>
        <v>0.05</v>
      </c>
      <c r="I617" s="2">
        <v>2</v>
      </c>
      <c r="J617" s="2">
        <v>0</v>
      </c>
      <c r="K617" s="2">
        <v>1</v>
      </c>
      <c r="L617" s="16">
        <v>2</v>
      </c>
      <c r="M617" s="5">
        <f t="shared" si="281"/>
        <v>1170</v>
      </c>
      <c r="N617" s="6">
        <f t="shared" si="282"/>
        <v>120.09479999999999</v>
      </c>
      <c r="O617">
        <f t="shared" si="283"/>
        <v>1418.3999999999999</v>
      </c>
      <c r="P617" s="7">
        <f t="shared" si="287"/>
        <v>11.810669571038879</v>
      </c>
      <c r="Q617">
        <f>ROUNDUP(몬스터!$P$30/F617, 0)</f>
        <v>16</v>
      </c>
      <c r="R617" s="6">
        <f t="shared" si="284"/>
        <v>19.024970273483948</v>
      </c>
      <c r="S617" s="7">
        <f>B617/몬스터!$C$30*R617</f>
        <v>323.42449464922714</v>
      </c>
      <c r="U617">
        <f>ROUNDDOWN(R617*몬스터!$H$30, 0)*몬스터!$G$30*(1+몬스터!$I$30)</f>
        <v>2505.7199999999998</v>
      </c>
      <c r="V617" s="2">
        <f t="shared" si="288"/>
        <v>1.7665820642978003</v>
      </c>
    </row>
    <row r="618" spans="1:22" x14ac:dyDescent="0.4">
      <c r="A618">
        <v>89</v>
      </c>
      <c r="B618" s="4">
        <f>170*A618</f>
        <v>15130</v>
      </c>
      <c r="C618">
        <f t="shared" si="277"/>
        <v>995</v>
      </c>
      <c r="D618">
        <f t="shared" si="278"/>
        <v>44</v>
      </c>
      <c r="E618" s="2">
        <v>0</v>
      </c>
      <c r="F618">
        <f t="shared" si="279"/>
        <v>137</v>
      </c>
      <c r="G618">
        <f t="shared" si="280"/>
        <v>0.84299999999999997</v>
      </c>
      <c r="H618" s="3">
        <f t="shared" si="286"/>
        <v>0.05</v>
      </c>
      <c r="I618" s="2">
        <v>2</v>
      </c>
      <c r="J618" s="2">
        <v>0</v>
      </c>
      <c r="K618" s="2">
        <v>1</v>
      </c>
      <c r="L618" s="16">
        <v>2</v>
      </c>
      <c r="M618" s="5">
        <f t="shared" si="281"/>
        <v>1180</v>
      </c>
      <c r="N618" s="6">
        <f t="shared" si="282"/>
        <v>121.26555</v>
      </c>
      <c r="O618">
        <f t="shared" si="283"/>
        <v>1432.8</v>
      </c>
      <c r="P618" s="7">
        <f t="shared" si="287"/>
        <v>11.81539192293277</v>
      </c>
      <c r="Q618">
        <f>ROUNDUP(몬스터!$P$30/F618, 0)</f>
        <v>16</v>
      </c>
      <c r="R618" s="6">
        <f t="shared" si="284"/>
        <v>18.979833926453143</v>
      </c>
      <c r="S618" s="7">
        <f>B618/몬스터!$C$30*R618</f>
        <v>326.32373557640454</v>
      </c>
      <c r="U618">
        <f>ROUNDDOWN(R618*몬스터!$H$30, 0)*몬스터!$G$30*(1+몬스터!$I$30)</f>
        <v>2505.7199999999998</v>
      </c>
      <c r="V618" s="2">
        <f t="shared" si="288"/>
        <v>1.748827470686767</v>
      </c>
    </row>
    <row r="619" spans="1:22" x14ac:dyDescent="0.4">
      <c r="A619">
        <v>90</v>
      </c>
      <c r="B619" s="4">
        <f>170*A619</f>
        <v>15300</v>
      </c>
      <c r="C619">
        <f t="shared" si="277"/>
        <v>1005</v>
      </c>
      <c r="D619">
        <f t="shared" si="278"/>
        <v>45</v>
      </c>
      <c r="E619" s="2">
        <v>0</v>
      </c>
      <c r="F619">
        <f t="shared" si="279"/>
        <v>139</v>
      </c>
      <c r="G619">
        <f t="shared" si="280"/>
        <v>0.84499999999999997</v>
      </c>
      <c r="H619" s="3">
        <f t="shared" si="286"/>
        <v>0.05</v>
      </c>
      <c r="I619" s="2">
        <v>2</v>
      </c>
      <c r="J619" s="2">
        <v>0</v>
      </c>
      <c r="K619" s="2">
        <v>1</v>
      </c>
      <c r="L619" s="16">
        <v>2</v>
      </c>
      <c r="M619" s="5">
        <f t="shared" si="281"/>
        <v>1190</v>
      </c>
      <c r="N619" s="6">
        <f t="shared" si="282"/>
        <v>123.32775000000001</v>
      </c>
      <c r="O619">
        <f t="shared" si="283"/>
        <v>1457.25</v>
      </c>
      <c r="P619" s="7">
        <f t="shared" si="287"/>
        <v>11.816075457470033</v>
      </c>
      <c r="Q619">
        <f>ROUNDUP(몬스터!$P$30/F619, 0)</f>
        <v>16</v>
      </c>
      <c r="R619" s="6">
        <f t="shared" si="284"/>
        <v>18.934911242603551</v>
      </c>
      <c r="S619" s="7">
        <f>B619/몬스터!$C$30*R619</f>
        <v>329.2092522861754</v>
      </c>
      <c r="T619" s="7">
        <f t="shared" ref="T619" si="293">SUM(S615:S619)</f>
        <v>1636.9023883997324</v>
      </c>
      <c r="U619">
        <f>ROUNDDOWN(R619*몬스터!$H$30, 0)*몬스터!$G$30*(1+몬스터!$I$30)</f>
        <v>2505.7199999999998</v>
      </c>
      <c r="V619" s="2">
        <f t="shared" si="288"/>
        <v>1.7194853319608852</v>
      </c>
    </row>
    <row r="620" spans="1:22" x14ac:dyDescent="0.4">
      <c r="A620">
        <v>91</v>
      </c>
      <c r="B620" s="4">
        <f>160*A620</f>
        <v>14560</v>
      </c>
      <c r="C620">
        <f t="shared" si="277"/>
        <v>1015</v>
      </c>
      <c r="D620">
        <f t="shared" si="278"/>
        <v>45</v>
      </c>
      <c r="E620" s="2">
        <v>0</v>
      </c>
      <c r="F620">
        <f t="shared" si="279"/>
        <v>140</v>
      </c>
      <c r="G620">
        <f t="shared" si="280"/>
        <v>0.84699999999999998</v>
      </c>
      <c r="H620" s="3">
        <f t="shared" si="286"/>
        <v>0.05</v>
      </c>
      <c r="I620" s="2">
        <v>2</v>
      </c>
      <c r="J620" s="2">
        <v>0</v>
      </c>
      <c r="K620" s="2">
        <v>1</v>
      </c>
      <c r="L620" s="16">
        <v>2</v>
      </c>
      <c r="M620" s="5">
        <f t="shared" si="281"/>
        <v>1200</v>
      </c>
      <c r="N620" s="6">
        <f t="shared" si="282"/>
        <v>124.509</v>
      </c>
      <c r="O620">
        <f t="shared" si="283"/>
        <v>1471.75</v>
      </c>
      <c r="P620" s="7">
        <f t="shared" si="287"/>
        <v>11.820430651599482</v>
      </c>
      <c r="Q620">
        <f>ROUNDUP(몬스터!$P$31/F620, 0)</f>
        <v>17</v>
      </c>
      <c r="R620" s="6">
        <f t="shared" si="284"/>
        <v>20.070838252656436</v>
      </c>
      <c r="S620" s="7">
        <f>B620/몬스터!$C$31*R620</f>
        <v>314.22731715986851</v>
      </c>
      <c r="U620">
        <f>ROUNDDOWN(R620*몬스터!$H$31, 0)*몬스터!$G$31*(1+몬스터!$I$31)</f>
        <v>2840.4450000000002</v>
      </c>
      <c r="V620" s="2">
        <f t="shared" si="288"/>
        <v>1.9299779174452183</v>
      </c>
    </row>
    <row r="621" spans="1:22" x14ac:dyDescent="0.4">
      <c r="A621">
        <v>92</v>
      </c>
      <c r="B621" s="4">
        <f>160*A621</f>
        <v>14720</v>
      </c>
      <c r="C621">
        <f t="shared" si="277"/>
        <v>1025</v>
      </c>
      <c r="D621">
        <f t="shared" si="278"/>
        <v>45</v>
      </c>
      <c r="E621" s="2">
        <v>0</v>
      </c>
      <c r="F621">
        <f t="shared" si="279"/>
        <v>141</v>
      </c>
      <c r="G621">
        <f t="shared" si="280"/>
        <v>0.84899999999999998</v>
      </c>
      <c r="H621" s="3">
        <f t="shared" si="286"/>
        <v>0.05</v>
      </c>
      <c r="I621" s="2">
        <v>2</v>
      </c>
      <c r="J621" s="2">
        <v>0</v>
      </c>
      <c r="K621" s="2">
        <v>1</v>
      </c>
      <c r="L621" s="16">
        <v>2</v>
      </c>
      <c r="M621" s="5">
        <f t="shared" si="281"/>
        <v>1210</v>
      </c>
      <c r="N621" s="6">
        <f t="shared" si="282"/>
        <v>125.69445</v>
      </c>
      <c r="O621">
        <f t="shared" si="283"/>
        <v>1486.25</v>
      </c>
      <c r="P621" s="7">
        <f t="shared" si="287"/>
        <v>11.824308869643806</v>
      </c>
      <c r="Q621">
        <f>ROUNDUP(몬스터!$P$31/F621, 0)</f>
        <v>17</v>
      </c>
      <c r="R621" s="6">
        <f t="shared" si="284"/>
        <v>20.023557126030624</v>
      </c>
      <c r="S621" s="7">
        <f>B621/몬스터!$C$31*R621</f>
        <v>316.93200096254924</v>
      </c>
      <c r="U621">
        <f>ROUNDDOWN(R621*몬스터!$H$31, 0)*몬스터!$G$31*(1+몬스터!$I$31)</f>
        <v>2840.4450000000002</v>
      </c>
      <c r="V621" s="2">
        <f t="shared" si="288"/>
        <v>1.9111488645920942</v>
      </c>
    </row>
    <row r="622" spans="1:22" x14ac:dyDescent="0.4">
      <c r="A622">
        <v>93</v>
      </c>
      <c r="B622" s="4">
        <f>160*A622</f>
        <v>14880</v>
      </c>
      <c r="C622">
        <f t="shared" si="277"/>
        <v>1030</v>
      </c>
      <c r="D622">
        <f t="shared" si="278"/>
        <v>45</v>
      </c>
      <c r="E622" s="2">
        <v>0</v>
      </c>
      <c r="F622">
        <f t="shared" si="279"/>
        <v>143</v>
      </c>
      <c r="G622">
        <f t="shared" si="280"/>
        <v>0.85099999999999998</v>
      </c>
      <c r="H622" s="3">
        <f t="shared" si="286"/>
        <v>0.05</v>
      </c>
      <c r="I622" s="2">
        <v>2</v>
      </c>
      <c r="J622" s="2">
        <v>0</v>
      </c>
      <c r="K622" s="2">
        <v>1</v>
      </c>
      <c r="L622" s="16">
        <v>2</v>
      </c>
      <c r="M622" s="5">
        <f t="shared" si="281"/>
        <v>1220</v>
      </c>
      <c r="N622" s="6">
        <f t="shared" si="282"/>
        <v>127.77765000000001</v>
      </c>
      <c r="O622">
        <f t="shared" si="283"/>
        <v>1493.5</v>
      </c>
      <c r="P622" s="7">
        <f t="shared" si="287"/>
        <v>11.688272557837774</v>
      </c>
      <c r="Q622">
        <f>ROUNDUP(몬스터!$P$31/F622, 0)</f>
        <v>17</v>
      </c>
      <c r="R622" s="6">
        <f t="shared" si="284"/>
        <v>19.976498237367803</v>
      </c>
      <c r="S622" s="7">
        <f>B622/몬스터!$C$31*R622</f>
        <v>319.62397179788485</v>
      </c>
      <c r="U622">
        <f>ROUNDDOWN(R622*몬스터!$H$31, 0)*몬스터!$G$31*(1+몬스터!$I$31)</f>
        <v>2840.4450000000002</v>
      </c>
      <c r="V622" s="2">
        <f t="shared" si="288"/>
        <v>1.9018714429193171</v>
      </c>
    </row>
    <row r="623" spans="1:22" x14ac:dyDescent="0.4">
      <c r="A623">
        <v>94</v>
      </c>
      <c r="B623" s="4">
        <f>160*A623</f>
        <v>15040</v>
      </c>
      <c r="C623">
        <f t="shared" si="277"/>
        <v>1040</v>
      </c>
      <c r="D623">
        <f t="shared" si="278"/>
        <v>46</v>
      </c>
      <c r="E623" s="2">
        <v>0</v>
      </c>
      <c r="F623">
        <f t="shared" si="279"/>
        <v>144</v>
      </c>
      <c r="G623">
        <f t="shared" si="280"/>
        <v>0.85299999999999998</v>
      </c>
      <c r="H623" s="3">
        <f t="shared" si="286"/>
        <v>0.05</v>
      </c>
      <c r="I623" s="2">
        <v>2</v>
      </c>
      <c r="J623" s="2">
        <v>0</v>
      </c>
      <c r="K623" s="2">
        <v>1</v>
      </c>
      <c r="L623" s="16">
        <v>2</v>
      </c>
      <c r="M623" s="5">
        <f t="shared" si="281"/>
        <v>1230</v>
      </c>
      <c r="N623" s="6">
        <f t="shared" si="282"/>
        <v>128.9736</v>
      </c>
      <c r="O623">
        <f t="shared" si="283"/>
        <v>1518.3999999999999</v>
      </c>
      <c r="P623" s="7">
        <f t="shared" si="287"/>
        <v>11.772951983971913</v>
      </c>
      <c r="Q623">
        <f>ROUNDUP(몬스터!$P$31/F623, 0)</f>
        <v>17</v>
      </c>
      <c r="R623" s="6">
        <f t="shared" si="284"/>
        <v>19.929660023446658</v>
      </c>
      <c r="S623" s="7">
        <f>B623/몬스터!$C$31*R623</f>
        <v>322.30331908885779</v>
      </c>
      <c r="U623">
        <f>ROUNDDOWN(R623*몬스터!$H$31, 0)*몬스터!$G$31*(1+몬스터!$I$31)</f>
        <v>2840.4450000000002</v>
      </c>
      <c r="V623" s="2">
        <f t="shared" si="288"/>
        <v>1.8706829557428875</v>
      </c>
    </row>
    <row r="624" spans="1:22" x14ac:dyDescent="0.4">
      <c r="A624">
        <v>95</v>
      </c>
      <c r="B624" s="4">
        <f>160*A624</f>
        <v>15200</v>
      </c>
      <c r="C624">
        <f t="shared" si="277"/>
        <v>1050</v>
      </c>
      <c r="D624">
        <f t="shared" si="278"/>
        <v>46</v>
      </c>
      <c r="E624" s="2">
        <v>0</v>
      </c>
      <c r="F624">
        <f t="shared" si="279"/>
        <v>145</v>
      </c>
      <c r="G624">
        <f t="shared" si="280"/>
        <v>0.85499999999999998</v>
      </c>
      <c r="H624" s="3">
        <f t="shared" si="286"/>
        <v>0.05</v>
      </c>
      <c r="I624" s="2">
        <v>2</v>
      </c>
      <c r="J624" s="2">
        <v>0</v>
      </c>
      <c r="K624" s="2">
        <v>1</v>
      </c>
      <c r="L624" s="16">
        <v>2</v>
      </c>
      <c r="M624" s="5">
        <f t="shared" si="281"/>
        <v>1240</v>
      </c>
      <c r="N624" s="6">
        <f t="shared" si="282"/>
        <v>130.17375000000001</v>
      </c>
      <c r="O624">
        <f t="shared" si="283"/>
        <v>1533</v>
      </c>
      <c r="P624" s="7">
        <f t="shared" si="287"/>
        <v>11.776567856422664</v>
      </c>
      <c r="Q624">
        <f>ROUNDUP(몬스터!$P$31/F624, 0)</f>
        <v>17</v>
      </c>
      <c r="R624" s="6">
        <f t="shared" si="284"/>
        <v>19.883040935672515</v>
      </c>
      <c r="S624" s="7">
        <f>B624/몬스터!$C$31*R624</f>
        <v>324.97013142174433</v>
      </c>
      <c r="T624" s="7">
        <f t="shared" ref="T624" si="294">SUM(S620:S624)</f>
        <v>1598.0567404309047</v>
      </c>
      <c r="U624">
        <f>ROUNDDOWN(R624*몬스터!$H$31, 0)*몬스터!$G$31*(1+몬스터!$I$31)</f>
        <v>2840.4450000000002</v>
      </c>
      <c r="V624" s="2">
        <f t="shared" si="288"/>
        <v>1.852866927592955</v>
      </c>
    </row>
    <row r="625" spans="1:22" x14ac:dyDescent="0.4">
      <c r="A625">
        <v>96</v>
      </c>
      <c r="B625" s="4">
        <f>170*A625</f>
        <v>16320</v>
      </c>
      <c r="C625">
        <f t="shared" si="277"/>
        <v>1060</v>
      </c>
      <c r="D625">
        <f t="shared" si="278"/>
        <v>46</v>
      </c>
      <c r="E625" s="2">
        <v>0</v>
      </c>
      <c r="F625">
        <f t="shared" si="279"/>
        <v>147</v>
      </c>
      <c r="G625">
        <f t="shared" si="280"/>
        <v>0.85699999999999998</v>
      </c>
      <c r="H625" s="3">
        <f t="shared" si="286"/>
        <v>0.05</v>
      </c>
      <c r="I625" s="2">
        <v>2</v>
      </c>
      <c r="J625" s="2">
        <v>0</v>
      </c>
      <c r="K625" s="2">
        <v>1</v>
      </c>
      <c r="L625" s="16">
        <v>2</v>
      </c>
      <c r="M625" s="5">
        <f t="shared" si="281"/>
        <v>1250</v>
      </c>
      <c r="N625" s="6">
        <f t="shared" si="282"/>
        <v>132.27795</v>
      </c>
      <c r="O625">
        <f t="shared" si="283"/>
        <v>1547.6</v>
      </c>
      <c r="P625" s="7">
        <f t="shared" si="287"/>
        <v>11.699606774976479</v>
      </c>
      <c r="Q625">
        <f>ROUNDUP(몬스터!$P$32/F625, 0)</f>
        <v>18</v>
      </c>
      <c r="R625" s="6">
        <f t="shared" si="284"/>
        <v>21.003500583430572</v>
      </c>
      <c r="S625" s="7">
        <f>B625/몬스터!$C$32*R625</f>
        <v>349.77258114447648</v>
      </c>
      <c r="U625">
        <f>ROUNDDOWN(R625*몬스터!$H$32, 0)*몬스터!$G$32*(1+몬스터!$I$32)</f>
        <v>3176.8199999999997</v>
      </c>
      <c r="V625" s="2">
        <f t="shared" si="288"/>
        <v>2.0527397260273972</v>
      </c>
    </row>
    <row r="626" spans="1:22" x14ac:dyDescent="0.4">
      <c r="A626">
        <v>97</v>
      </c>
      <c r="B626" s="4">
        <f>170*A626</f>
        <v>16490</v>
      </c>
      <c r="C626">
        <f t="shared" si="277"/>
        <v>1070</v>
      </c>
      <c r="D626">
        <f t="shared" si="278"/>
        <v>47</v>
      </c>
      <c r="E626" s="2">
        <v>0</v>
      </c>
      <c r="F626">
        <f t="shared" si="279"/>
        <v>148</v>
      </c>
      <c r="G626">
        <f t="shared" si="280"/>
        <v>0.85899999999999999</v>
      </c>
      <c r="H626" s="3">
        <f t="shared" si="286"/>
        <v>0.05</v>
      </c>
      <c r="I626" s="2">
        <v>2</v>
      </c>
      <c r="J626" s="2">
        <v>0</v>
      </c>
      <c r="K626" s="2">
        <v>1</v>
      </c>
      <c r="L626" s="16">
        <v>2</v>
      </c>
      <c r="M626" s="5">
        <f t="shared" si="281"/>
        <v>1260</v>
      </c>
      <c r="N626" s="6">
        <f t="shared" si="282"/>
        <v>133.48860000000002</v>
      </c>
      <c r="O626">
        <f t="shared" si="283"/>
        <v>1572.8999999999999</v>
      </c>
      <c r="P626" s="7">
        <f t="shared" si="287"/>
        <v>11.783028663121792</v>
      </c>
      <c r="Q626">
        <f>ROUNDUP(몬스터!$P$32/F626, 0)</f>
        <v>17</v>
      </c>
      <c r="R626" s="6">
        <f t="shared" ref="R626:R629" si="295">Q626/G626</f>
        <v>19.790454016298021</v>
      </c>
      <c r="S626" s="7">
        <f>B626/몬스터!$C$32*R626</f>
        <v>333.00468033546366</v>
      </c>
      <c r="U626">
        <f>ROUNDDOWN(R626*몬스터!$H$32, 0)*몬스터!$G$32*(1+몬스터!$I$32)</f>
        <v>3000.33</v>
      </c>
      <c r="V626" s="2">
        <f t="shared" si="288"/>
        <v>1.9075147816135802</v>
      </c>
    </row>
    <row r="627" spans="1:22" x14ac:dyDescent="0.4">
      <c r="A627">
        <v>98</v>
      </c>
      <c r="B627" s="4">
        <f>170*A627</f>
        <v>16660</v>
      </c>
      <c r="C627">
        <f t="shared" si="277"/>
        <v>1080</v>
      </c>
      <c r="D627">
        <f t="shared" si="278"/>
        <v>47</v>
      </c>
      <c r="E627" s="2">
        <v>0</v>
      </c>
      <c r="F627">
        <f t="shared" si="279"/>
        <v>149</v>
      </c>
      <c r="G627">
        <f t="shared" si="280"/>
        <v>0.86099999999999999</v>
      </c>
      <c r="H627" s="3">
        <f t="shared" si="286"/>
        <v>0.05</v>
      </c>
      <c r="I627" s="2">
        <v>2</v>
      </c>
      <c r="J627" s="2">
        <v>0</v>
      </c>
      <c r="K627" s="2">
        <v>1</v>
      </c>
      <c r="L627" s="16">
        <v>2</v>
      </c>
      <c r="M627" s="5">
        <f t="shared" si="281"/>
        <v>1270</v>
      </c>
      <c r="N627" s="6">
        <f t="shared" si="282"/>
        <v>134.70345</v>
      </c>
      <c r="O627">
        <f t="shared" si="283"/>
        <v>1587.6</v>
      </c>
      <c r="P627" s="7">
        <f t="shared" si="287"/>
        <v>11.785889670977246</v>
      </c>
      <c r="Q627">
        <f>ROUNDUP(몬스터!$P$32/F627, 0)</f>
        <v>17</v>
      </c>
      <c r="R627" s="6">
        <f t="shared" si="295"/>
        <v>19.744483159117305</v>
      </c>
      <c r="S627" s="7">
        <f>B627/몬스터!$C$32*R627</f>
        <v>335.65621370499417</v>
      </c>
      <c r="U627">
        <f>ROUNDDOWN(R627*몬스터!$H$32, 0)*몬스터!$G$32*(1+몬스터!$I$32)</f>
        <v>3000.33</v>
      </c>
      <c r="V627" s="2">
        <f t="shared" si="288"/>
        <v>1.8898526077097506</v>
      </c>
    </row>
    <row r="628" spans="1:22" x14ac:dyDescent="0.4">
      <c r="A628">
        <v>99</v>
      </c>
      <c r="B628" s="4">
        <f>170*A628</f>
        <v>16830</v>
      </c>
      <c r="C628">
        <f t="shared" si="277"/>
        <v>1090</v>
      </c>
      <c r="D628">
        <f t="shared" si="278"/>
        <v>47</v>
      </c>
      <c r="E628" s="2">
        <v>0</v>
      </c>
      <c r="F628">
        <f t="shared" si="279"/>
        <v>151</v>
      </c>
      <c r="G628">
        <f t="shared" si="280"/>
        <v>0.86299999999999999</v>
      </c>
      <c r="H628" s="3">
        <f t="shared" si="286"/>
        <v>0.05</v>
      </c>
      <c r="I628" s="2">
        <v>2</v>
      </c>
      <c r="J628" s="2">
        <v>0</v>
      </c>
      <c r="K628" s="2">
        <v>1</v>
      </c>
      <c r="L628" s="16">
        <v>2</v>
      </c>
      <c r="M628" s="5">
        <f t="shared" si="281"/>
        <v>1280</v>
      </c>
      <c r="N628" s="6">
        <f t="shared" si="282"/>
        <v>136.82864999999998</v>
      </c>
      <c r="O628">
        <f t="shared" si="283"/>
        <v>1602.3</v>
      </c>
      <c r="P628" s="7">
        <f t="shared" si="287"/>
        <v>11.71026681912012</v>
      </c>
      <c r="Q628">
        <f>ROUNDUP(몬스터!$P$32/F628, 0)</f>
        <v>17</v>
      </c>
      <c r="R628" s="6">
        <f t="shared" si="295"/>
        <v>19.698725376593281</v>
      </c>
      <c r="S628" s="7">
        <f>B628/몬스터!$C$32*R628</f>
        <v>338.29545723271929</v>
      </c>
      <c r="U628">
        <f>ROUNDDOWN(R628*몬스터!$H$32, 0)*몬스터!$G$32*(1+몬스터!$I$32)</f>
        <v>3000.33</v>
      </c>
      <c r="V628" s="2">
        <f t="shared" si="288"/>
        <v>1.8725145103913126</v>
      </c>
    </row>
    <row r="629" spans="1:22" x14ac:dyDescent="0.4">
      <c r="A629">
        <v>100</v>
      </c>
      <c r="B629" s="4">
        <f>170*A629</f>
        <v>17000</v>
      </c>
      <c r="C629">
        <f t="shared" si="277"/>
        <v>1100</v>
      </c>
      <c r="D629">
        <f t="shared" si="278"/>
        <v>48</v>
      </c>
      <c r="E629" s="2">
        <v>0</v>
      </c>
      <c r="F629">
        <f t="shared" si="279"/>
        <v>152</v>
      </c>
      <c r="G629">
        <f t="shared" si="280"/>
        <v>0.86499999999999999</v>
      </c>
      <c r="H629" s="3">
        <f t="shared" si="286"/>
        <v>0.05</v>
      </c>
      <c r="I629" s="2">
        <v>2</v>
      </c>
      <c r="J629" s="2">
        <v>0</v>
      </c>
      <c r="K629" s="2">
        <v>1</v>
      </c>
      <c r="L629" s="16">
        <v>2</v>
      </c>
      <c r="M629" s="5">
        <f t="shared" si="281"/>
        <v>1290</v>
      </c>
      <c r="N629" s="6">
        <f t="shared" si="282"/>
        <v>138.054</v>
      </c>
      <c r="O629">
        <f t="shared" si="283"/>
        <v>1628</v>
      </c>
      <c r="P629" s="7">
        <f t="shared" si="287"/>
        <v>11.792486997841424</v>
      </c>
      <c r="Q629">
        <f>ROUNDUP(몬스터!$P$32/F629, 0)</f>
        <v>17</v>
      </c>
      <c r="R629" s="6">
        <f t="shared" si="295"/>
        <v>19.653179190751445</v>
      </c>
      <c r="S629" s="7">
        <f>B629/몬스터!$C$32*R629</f>
        <v>340.92249616609649</v>
      </c>
      <c r="T629" s="7">
        <f t="shared" ref="T629" si="296">SUM(S625:S629)</f>
        <v>1697.6514285837502</v>
      </c>
      <c r="U629">
        <f>ROUNDDOWN(R629*몬스터!$H$32, 0)*몬스터!$G$32*(1+몬스터!$I$32)</f>
        <v>3000.33</v>
      </c>
      <c r="V629" s="2">
        <f t="shared" si="288"/>
        <v>1.8429545454545455</v>
      </c>
    </row>
    <row r="631" spans="1:22" x14ac:dyDescent="0.4">
      <c r="A631" t="s">
        <v>282</v>
      </c>
      <c r="B631" t="s">
        <v>355</v>
      </c>
    </row>
    <row r="633" spans="1:22" ht="19.8" thickBot="1" x14ac:dyDescent="0.45">
      <c r="B633" s="50" t="s">
        <v>289</v>
      </c>
    </row>
    <row r="634" spans="1:22" ht="18" thickBot="1" x14ac:dyDescent="0.45">
      <c r="A634" s="36" t="s">
        <v>18</v>
      </c>
      <c r="B634" s="36" t="s">
        <v>300</v>
      </c>
      <c r="C634" s="28" t="s">
        <v>301</v>
      </c>
      <c r="D634" s="28" t="s">
        <v>302</v>
      </c>
      <c r="E634" s="28" t="s">
        <v>303</v>
      </c>
      <c r="F634" s="37" t="s">
        <v>305</v>
      </c>
      <c r="G634" s="37" t="s">
        <v>306</v>
      </c>
      <c r="H634" s="37" t="s">
        <v>307</v>
      </c>
      <c r="I634" s="37" t="s">
        <v>308</v>
      </c>
      <c r="J634" s="37" t="s">
        <v>309</v>
      </c>
      <c r="K634" s="38" t="s">
        <v>310</v>
      </c>
      <c r="L634" s="38" t="s">
        <v>312</v>
      </c>
      <c r="M634" s="38" t="s">
        <v>311</v>
      </c>
      <c r="N634" s="23" t="s">
        <v>313</v>
      </c>
      <c r="O634" s="23" t="s">
        <v>314</v>
      </c>
      <c r="P634" s="23" t="s">
        <v>315</v>
      </c>
      <c r="Q634" s="39" t="s">
        <v>316</v>
      </c>
      <c r="R634" s="39" t="s">
        <v>317</v>
      </c>
      <c r="S634" s="39" t="s">
        <v>318</v>
      </c>
      <c r="T634" s="39" t="s">
        <v>319</v>
      </c>
      <c r="U634" s="39" t="s">
        <v>320</v>
      </c>
      <c r="V634" s="39" t="s">
        <v>321</v>
      </c>
    </row>
    <row r="635" spans="1:22" ht="18" thickTop="1" x14ac:dyDescent="0.4">
      <c r="A635">
        <v>1</v>
      </c>
      <c r="B635" s="4">
        <f>150*A635</f>
        <v>150</v>
      </c>
      <c r="C635">
        <f t="shared" ref="C635:C666" si="297">MROUND((150+A635*11)*1.05,5)</f>
        <v>170</v>
      </c>
      <c r="D635">
        <f t="shared" ref="D635:D666" si="298">ROUNDDOWN((20+A635*0.3), 0)</f>
        <v>20</v>
      </c>
      <c r="E635" s="2">
        <v>0</v>
      </c>
      <c r="F635">
        <f t="shared" ref="F635:F666" si="299">ROUND((28+A635*2)*2/3, 0)</f>
        <v>20</v>
      </c>
      <c r="G635">
        <f t="shared" ref="G635:G666" si="300">0.665+0.002*A635</f>
        <v>0.66700000000000004</v>
      </c>
      <c r="H635" s="3">
        <f>0.05</f>
        <v>0.05</v>
      </c>
      <c r="I635" s="2">
        <v>2</v>
      </c>
      <c r="J635" s="2">
        <v>0</v>
      </c>
      <c r="K635" s="2">
        <v>1</v>
      </c>
      <c r="L635" s="16">
        <v>1</v>
      </c>
      <c r="M635" s="5">
        <f t="shared" ref="M635:M666" si="301">290+10*A635</f>
        <v>300</v>
      </c>
      <c r="N635" s="6">
        <f t="shared" ref="N635:N666" si="302">F635*G635*(1+H635)</f>
        <v>14.007</v>
      </c>
      <c r="O635">
        <f t="shared" ref="O635:O666" si="303">C635*(1+D635/100)*(1+E635)</f>
        <v>204</v>
      </c>
      <c r="P635" s="7">
        <f>O635/N635</f>
        <v>14.564146498179483</v>
      </c>
      <c r="Q635">
        <f>ROUNDUP(몬스터!$P$5/F635, 0)</f>
        <v>7</v>
      </c>
      <c r="R635" s="6">
        <f t="shared" ref="R635:R666" si="304">Q635/G635</f>
        <v>10.494752623688155</v>
      </c>
      <c r="S635" s="7">
        <f>B635/몬스터!$C$5*R635</f>
        <v>52.473763118440779</v>
      </c>
      <c r="U635">
        <f>ROUNDDOWN(R635*몬스터!$H$5, 0)*몬스터!$G$5*(1+몬스터!$I$5)</f>
        <v>37.800000000000004</v>
      </c>
      <c r="V635" s="2">
        <f>U635/O635</f>
        <v>0.18529411764705883</v>
      </c>
    </row>
    <row r="636" spans="1:22" x14ac:dyDescent="0.4">
      <c r="A636">
        <v>2</v>
      </c>
      <c r="B636" s="4">
        <f>150*A636</f>
        <v>300</v>
      </c>
      <c r="C636">
        <f t="shared" si="297"/>
        <v>180</v>
      </c>
      <c r="D636">
        <f t="shared" si="298"/>
        <v>20</v>
      </c>
      <c r="E636" s="2">
        <v>0</v>
      </c>
      <c r="F636">
        <f t="shared" si="299"/>
        <v>21</v>
      </c>
      <c r="G636">
        <f t="shared" si="300"/>
        <v>0.66900000000000004</v>
      </c>
      <c r="H636" s="3">
        <f t="shared" ref="H636:H699" si="305">0.05</f>
        <v>0.05</v>
      </c>
      <c r="I636" s="2">
        <v>2</v>
      </c>
      <c r="J636" s="2">
        <v>0</v>
      </c>
      <c r="K636" s="2">
        <v>1</v>
      </c>
      <c r="L636" s="16">
        <v>1</v>
      </c>
      <c r="M636" s="5">
        <f t="shared" si="301"/>
        <v>310</v>
      </c>
      <c r="N636" s="6">
        <f t="shared" si="302"/>
        <v>14.751450000000002</v>
      </c>
      <c r="O636">
        <f t="shared" si="303"/>
        <v>216</v>
      </c>
      <c r="P636" s="7">
        <f t="shared" ref="P636:P699" si="306">O636/N636</f>
        <v>14.642628351789144</v>
      </c>
      <c r="Q636">
        <f>ROUNDUP(몬스터!$P$5/F636, 0)</f>
        <v>7</v>
      </c>
      <c r="R636" s="6">
        <f t="shared" si="304"/>
        <v>10.46337817638266</v>
      </c>
      <c r="S636" s="7">
        <f>B636/몬스터!$C$5*R636</f>
        <v>104.6337817638266</v>
      </c>
      <c r="U636">
        <f>ROUNDDOWN(R636*몬스터!$H$5, 0)*몬스터!$G$5*(1+몬스터!$I$5)</f>
        <v>37.800000000000004</v>
      </c>
      <c r="V636" s="2">
        <f t="shared" ref="V636:V699" si="307">U636/O636</f>
        <v>0.17500000000000002</v>
      </c>
    </row>
    <row r="637" spans="1:22" x14ac:dyDescent="0.4">
      <c r="A637">
        <v>3</v>
      </c>
      <c r="B637" s="4">
        <f>150*A637</f>
        <v>450</v>
      </c>
      <c r="C637">
        <f t="shared" si="297"/>
        <v>190</v>
      </c>
      <c r="D637">
        <f t="shared" si="298"/>
        <v>20</v>
      </c>
      <c r="E637" s="2">
        <v>0</v>
      </c>
      <c r="F637">
        <f t="shared" si="299"/>
        <v>23</v>
      </c>
      <c r="G637">
        <f t="shared" si="300"/>
        <v>0.67100000000000004</v>
      </c>
      <c r="H637" s="3">
        <f t="shared" si="305"/>
        <v>0.05</v>
      </c>
      <c r="I637" s="2">
        <v>2</v>
      </c>
      <c r="J637" s="2">
        <v>0</v>
      </c>
      <c r="K637" s="2">
        <v>1</v>
      </c>
      <c r="L637" s="16">
        <v>1</v>
      </c>
      <c r="M637" s="5">
        <f t="shared" si="301"/>
        <v>320</v>
      </c>
      <c r="N637" s="6">
        <f t="shared" si="302"/>
        <v>16.204650000000001</v>
      </c>
      <c r="O637">
        <f t="shared" si="303"/>
        <v>228</v>
      </c>
      <c r="P637" s="7">
        <f t="shared" si="306"/>
        <v>14.0700354527867</v>
      </c>
      <c r="Q637">
        <f>ROUNDUP(몬스터!$P$5/F637, 0)</f>
        <v>6</v>
      </c>
      <c r="R637" s="6">
        <f t="shared" si="304"/>
        <v>8.9418777943368095</v>
      </c>
      <c r="S637" s="7">
        <f>B637/몬스터!$C$5*R637</f>
        <v>134.12816691505213</v>
      </c>
      <c r="U637">
        <f>ROUNDDOWN(R637*몬스터!$H$5, 0)*몬스터!$G$5*(1+몬스터!$I$5)</f>
        <v>31.5</v>
      </c>
      <c r="V637" s="2">
        <f t="shared" si="307"/>
        <v>0.13815789473684212</v>
      </c>
    </row>
    <row r="638" spans="1:22" x14ac:dyDescent="0.4">
      <c r="A638">
        <v>4</v>
      </c>
      <c r="B638" s="4">
        <f>150*A638+50</f>
        <v>650</v>
      </c>
      <c r="C638">
        <f t="shared" si="297"/>
        <v>205</v>
      </c>
      <c r="D638">
        <f t="shared" si="298"/>
        <v>21</v>
      </c>
      <c r="E638" s="2">
        <v>0</v>
      </c>
      <c r="F638">
        <f t="shared" si="299"/>
        <v>24</v>
      </c>
      <c r="G638">
        <f t="shared" si="300"/>
        <v>0.67300000000000004</v>
      </c>
      <c r="H638" s="3">
        <f t="shared" si="305"/>
        <v>0.05</v>
      </c>
      <c r="I638" s="2">
        <v>2</v>
      </c>
      <c r="J638" s="2">
        <v>0</v>
      </c>
      <c r="K638" s="2">
        <v>1</v>
      </c>
      <c r="L638" s="16">
        <v>1</v>
      </c>
      <c r="M638" s="5">
        <f t="shared" si="301"/>
        <v>330</v>
      </c>
      <c r="N638" s="6">
        <f t="shared" si="302"/>
        <v>16.959600000000002</v>
      </c>
      <c r="O638">
        <f t="shared" si="303"/>
        <v>248.04999999999998</v>
      </c>
      <c r="P638" s="7">
        <f t="shared" si="306"/>
        <v>14.625934573928628</v>
      </c>
      <c r="Q638">
        <f>ROUNDUP(몬스터!$P$5/F638, 0)</f>
        <v>6</v>
      </c>
      <c r="R638" s="6">
        <f t="shared" si="304"/>
        <v>8.9153046062407135</v>
      </c>
      <c r="S638" s="7">
        <f>B638/몬스터!$C$5*R638</f>
        <v>193.16493313521548</v>
      </c>
      <c r="U638">
        <f>ROUNDDOWN(R638*몬스터!$H$5, 0)*몬스터!$G$5*(1+몬스터!$I$5)</f>
        <v>31.5</v>
      </c>
      <c r="V638" s="2">
        <f t="shared" si="307"/>
        <v>0.12699052610360814</v>
      </c>
    </row>
    <row r="639" spans="1:22" x14ac:dyDescent="0.4">
      <c r="A639">
        <v>5</v>
      </c>
      <c r="B639" s="4">
        <f>150*A639+75</f>
        <v>825</v>
      </c>
      <c r="C639">
        <f t="shared" si="297"/>
        <v>215</v>
      </c>
      <c r="D639">
        <f t="shared" si="298"/>
        <v>21</v>
      </c>
      <c r="E639" s="2">
        <v>0</v>
      </c>
      <c r="F639">
        <f t="shared" si="299"/>
        <v>25</v>
      </c>
      <c r="G639">
        <f t="shared" si="300"/>
        <v>0.67500000000000004</v>
      </c>
      <c r="H639" s="3">
        <f t="shared" si="305"/>
        <v>0.05</v>
      </c>
      <c r="I639" s="2">
        <v>2</v>
      </c>
      <c r="J639" s="2">
        <v>0</v>
      </c>
      <c r="K639" s="2">
        <v>1</v>
      </c>
      <c r="L639" s="16">
        <v>1</v>
      </c>
      <c r="M639" s="5">
        <f t="shared" si="301"/>
        <v>340</v>
      </c>
      <c r="N639" s="6">
        <f t="shared" si="302"/>
        <v>17.71875</v>
      </c>
      <c r="O639">
        <f t="shared" si="303"/>
        <v>260.14999999999998</v>
      </c>
      <c r="P639" s="7">
        <f t="shared" si="306"/>
        <v>14.682186948853614</v>
      </c>
      <c r="Q639">
        <f>ROUNDUP(몬스터!$P$5/F639, 0)</f>
        <v>6</v>
      </c>
      <c r="R639" s="6">
        <f t="shared" si="304"/>
        <v>8.8888888888888875</v>
      </c>
      <c r="S639" s="7">
        <f>B639/몬스터!$C$5*R639</f>
        <v>244.4444444444444</v>
      </c>
      <c r="T639" s="7">
        <f>SUM(S635:S639)</f>
        <v>728.84508937697933</v>
      </c>
      <c r="U639">
        <f>ROUNDDOWN(R639*몬스터!$H$5, 0)*몬스터!$G$5*(1+몬스터!$I$5)</f>
        <v>31.5</v>
      </c>
      <c r="V639" s="2">
        <f t="shared" si="307"/>
        <v>0.12108399000576592</v>
      </c>
    </row>
    <row r="640" spans="1:22" x14ac:dyDescent="0.4">
      <c r="A640">
        <v>6</v>
      </c>
      <c r="B640" s="4">
        <f>150*A640</f>
        <v>900</v>
      </c>
      <c r="C640">
        <f t="shared" si="297"/>
        <v>225</v>
      </c>
      <c r="D640">
        <f t="shared" si="298"/>
        <v>21</v>
      </c>
      <c r="E640" s="2">
        <v>0</v>
      </c>
      <c r="F640">
        <f t="shared" si="299"/>
        <v>27</v>
      </c>
      <c r="G640">
        <f t="shared" si="300"/>
        <v>0.67700000000000005</v>
      </c>
      <c r="H640" s="3">
        <f t="shared" si="305"/>
        <v>0.05</v>
      </c>
      <c r="I640" s="2">
        <v>2</v>
      </c>
      <c r="J640" s="2">
        <v>0</v>
      </c>
      <c r="K640" s="2">
        <v>1</v>
      </c>
      <c r="L640" s="16">
        <v>1</v>
      </c>
      <c r="M640" s="5">
        <f t="shared" si="301"/>
        <v>350</v>
      </c>
      <c r="N640" s="6">
        <f t="shared" si="302"/>
        <v>19.19295</v>
      </c>
      <c r="O640">
        <f t="shared" si="303"/>
        <v>272.25</v>
      </c>
      <c r="P640" s="7">
        <f t="shared" si="306"/>
        <v>14.184896016506061</v>
      </c>
      <c r="Q640">
        <f>ROUNDUP(몬스터!$P$6/F640, 0)</f>
        <v>9</v>
      </c>
      <c r="R640" s="6">
        <f t="shared" si="304"/>
        <v>13.29394387001477</v>
      </c>
      <c r="S640" s="7">
        <f>B640/몬스터!$C$6*R640</f>
        <v>149.55686853766616</v>
      </c>
      <c r="U640">
        <f>ROUNDDOWN(R640*몬스터!$H$6, 0)*몬스터!$G$6*(1+몬스터!$I$6)</f>
        <v>109.98000000000002</v>
      </c>
      <c r="V640" s="2">
        <f t="shared" si="307"/>
        <v>0.40396694214876039</v>
      </c>
    </row>
    <row r="641" spans="1:22" x14ac:dyDescent="0.4">
      <c r="A641">
        <v>7</v>
      </c>
      <c r="B641" s="4">
        <f>150*A641</f>
        <v>1050</v>
      </c>
      <c r="C641">
        <f t="shared" si="297"/>
        <v>240</v>
      </c>
      <c r="D641">
        <f t="shared" si="298"/>
        <v>22</v>
      </c>
      <c r="E641" s="2">
        <v>0</v>
      </c>
      <c r="F641">
        <f t="shared" si="299"/>
        <v>28</v>
      </c>
      <c r="G641">
        <f t="shared" si="300"/>
        <v>0.67900000000000005</v>
      </c>
      <c r="H641" s="3">
        <f t="shared" si="305"/>
        <v>0.05</v>
      </c>
      <c r="I641" s="2">
        <v>2</v>
      </c>
      <c r="J641" s="2">
        <v>0</v>
      </c>
      <c r="K641" s="2">
        <v>1</v>
      </c>
      <c r="L641" s="16">
        <v>1</v>
      </c>
      <c r="M641" s="5">
        <f t="shared" si="301"/>
        <v>360</v>
      </c>
      <c r="N641" s="6">
        <f t="shared" si="302"/>
        <v>19.962600000000002</v>
      </c>
      <c r="O641">
        <f t="shared" si="303"/>
        <v>292.8</v>
      </c>
      <c r="P641" s="7">
        <f t="shared" si="306"/>
        <v>14.667428090529288</v>
      </c>
      <c r="Q641">
        <f>ROUNDUP(몬스터!$P$6/F641, 0)</f>
        <v>8</v>
      </c>
      <c r="R641" s="6">
        <f t="shared" si="304"/>
        <v>11.782032400589101</v>
      </c>
      <c r="S641" s="7">
        <f>B641/몬스터!$C$6*R641</f>
        <v>154.63917525773195</v>
      </c>
      <c r="U641">
        <f>ROUNDDOWN(R641*몬스터!$H$6, 0)*몬스터!$G$6*(1+몬스터!$I$6)</f>
        <v>96.232500000000016</v>
      </c>
      <c r="V641" s="2">
        <f t="shared" si="307"/>
        <v>0.32866290983606561</v>
      </c>
    </row>
    <row r="642" spans="1:22" x14ac:dyDescent="0.4">
      <c r="A642">
        <v>8</v>
      </c>
      <c r="B642" s="4">
        <f>150*A642+50</f>
        <v>1250</v>
      </c>
      <c r="C642">
        <f t="shared" si="297"/>
        <v>250</v>
      </c>
      <c r="D642">
        <f t="shared" si="298"/>
        <v>22</v>
      </c>
      <c r="E642" s="2">
        <v>0</v>
      </c>
      <c r="F642">
        <f t="shared" si="299"/>
        <v>29</v>
      </c>
      <c r="G642">
        <f t="shared" si="300"/>
        <v>0.68100000000000005</v>
      </c>
      <c r="H642" s="3">
        <f t="shared" si="305"/>
        <v>0.05</v>
      </c>
      <c r="I642" s="2">
        <v>2</v>
      </c>
      <c r="J642" s="2">
        <v>0</v>
      </c>
      <c r="K642" s="2">
        <v>1</v>
      </c>
      <c r="L642" s="16">
        <v>1</v>
      </c>
      <c r="M642" s="5">
        <f t="shared" si="301"/>
        <v>370</v>
      </c>
      <c r="N642" s="6">
        <f t="shared" si="302"/>
        <v>20.736450000000005</v>
      </c>
      <c r="O642">
        <f t="shared" si="303"/>
        <v>305</v>
      </c>
      <c r="P642" s="7">
        <f t="shared" si="306"/>
        <v>14.708399943095367</v>
      </c>
      <c r="Q642">
        <f>ROUNDUP(몬스터!$P$6/F642, 0)</f>
        <v>8</v>
      </c>
      <c r="R642" s="6">
        <f t="shared" si="304"/>
        <v>11.747430249632892</v>
      </c>
      <c r="S642" s="7">
        <f>B642/몬스터!$C$6*R642</f>
        <v>183.55359765051392</v>
      </c>
      <c r="U642">
        <f>ROUNDDOWN(R642*몬스터!$H$6, 0)*몬스터!$G$6*(1+몬스터!$I$6)</f>
        <v>96.232500000000016</v>
      </c>
      <c r="V642" s="2">
        <f t="shared" si="307"/>
        <v>0.315516393442623</v>
      </c>
    </row>
    <row r="643" spans="1:22" x14ac:dyDescent="0.4">
      <c r="A643">
        <v>9</v>
      </c>
      <c r="B643" s="4">
        <f>150*A643+50</f>
        <v>1400</v>
      </c>
      <c r="C643">
        <f t="shared" si="297"/>
        <v>260</v>
      </c>
      <c r="D643">
        <f t="shared" si="298"/>
        <v>22</v>
      </c>
      <c r="E643" s="2">
        <v>0</v>
      </c>
      <c r="F643">
        <f t="shared" si="299"/>
        <v>31</v>
      </c>
      <c r="G643">
        <f t="shared" si="300"/>
        <v>0.68300000000000005</v>
      </c>
      <c r="H643" s="3">
        <f t="shared" si="305"/>
        <v>0.05</v>
      </c>
      <c r="I643" s="2">
        <v>2</v>
      </c>
      <c r="J643" s="2">
        <v>0</v>
      </c>
      <c r="K643" s="2">
        <v>1</v>
      </c>
      <c r="L643" s="16">
        <v>1</v>
      </c>
      <c r="M643" s="5">
        <f t="shared" si="301"/>
        <v>380</v>
      </c>
      <c r="N643" s="6">
        <f t="shared" si="302"/>
        <v>22.231650000000002</v>
      </c>
      <c r="O643">
        <f t="shared" si="303"/>
        <v>317.2</v>
      </c>
      <c r="P643" s="7">
        <f t="shared" si="306"/>
        <v>14.267946823560102</v>
      </c>
      <c r="Q643">
        <f>ROUNDUP(몬스터!$P$6/F643, 0)</f>
        <v>8</v>
      </c>
      <c r="R643" s="6">
        <f t="shared" si="304"/>
        <v>11.713030746705709</v>
      </c>
      <c r="S643" s="7">
        <f>B643/몬스터!$C$6*R643</f>
        <v>204.9780380673499</v>
      </c>
      <c r="U643">
        <f>ROUNDDOWN(R643*몬스터!$H$6, 0)*몬스터!$G$6*(1+몬스터!$I$6)</f>
        <v>96.232500000000016</v>
      </c>
      <c r="V643" s="2">
        <f t="shared" si="307"/>
        <v>0.30338114754098366</v>
      </c>
    </row>
    <row r="644" spans="1:22" x14ac:dyDescent="0.4">
      <c r="A644">
        <v>10</v>
      </c>
      <c r="B644" s="4">
        <f>150*A644+50</f>
        <v>1550</v>
      </c>
      <c r="C644">
        <f t="shared" si="297"/>
        <v>275</v>
      </c>
      <c r="D644">
        <f t="shared" si="298"/>
        <v>23</v>
      </c>
      <c r="E644" s="2">
        <v>0</v>
      </c>
      <c r="F644">
        <f t="shared" si="299"/>
        <v>32</v>
      </c>
      <c r="G644">
        <f t="shared" si="300"/>
        <v>0.68500000000000005</v>
      </c>
      <c r="H644" s="3">
        <f t="shared" si="305"/>
        <v>0.05</v>
      </c>
      <c r="I644" s="2">
        <v>2</v>
      </c>
      <c r="J644" s="2">
        <v>0</v>
      </c>
      <c r="K644" s="2">
        <v>1</v>
      </c>
      <c r="L644" s="16">
        <v>1</v>
      </c>
      <c r="M644" s="5">
        <f t="shared" si="301"/>
        <v>390</v>
      </c>
      <c r="N644" s="6">
        <f t="shared" si="302"/>
        <v>23.016000000000002</v>
      </c>
      <c r="O644">
        <f t="shared" si="303"/>
        <v>338.25</v>
      </c>
      <c r="P644" s="7">
        <f t="shared" si="306"/>
        <v>14.696298227320124</v>
      </c>
      <c r="Q644">
        <f>ROUNDUP(몬스터!$P$6/F644, 0)</f>
        <v>7</v>
      </c>
      <c r="R644" s="6">
        <f t="shared" si="304"/>
        <v>10.21897810218978</v>
      </c>
      <c r="S644" s="7">
        <f>B644/몬스터!$C$6*R644</f>
        <v>197.99270072992698</v>
      </c>
      <c r="T644" s="7">
        <f>SUM(S640:S644)</f>
        <v>890.72038024318886</v>
      </c>
      <c r="U644">
        <f>ROUNDDOWN(R644*몬스터!$H$6, 0)*몬스터!$G$6*(1+몬스터!$I$6)</f>
        <v>82.485000000000014</v>
      </c>
      <c r="V644" s="2">
        <f t="shared" si="307"/>
        <v>0.24385809312638584</v>
      </c>
    </row>
    <row r="645" spans="1:22" x14ac:dyDescent="0.4">
      <c r="A645">
        <v>11</v>
      </c>
      <c r="B645" s="4">
        <f>160*A645</f>
        <v>1760</v>
      </c>
      <c r="C645">
        <f t="shared" si="297"/>
        <v>285</v>
      </c>
      <c r="D645">
        <f t="shared" si="298"/>
        <v>23</v>
      </c>
      <c r="E645" s="2">
        <v>0</v>
      </c>
      <c r="F645">
        <f t="shared" si="299"/>
        <v>33</v>
      </c>
      <c r="G645">
        <f t="shared" si="300"/>
        <v>0.68700000000000006</v>
      </c>
      <c r="H645" s="3">
        <f t="shared" si="305"/>
        <v>0.05</v>
      </c>
      <c r="I645" s="2">
        <v>2</v>
      </c>
      <c r="J645" s="2">
        <v>0</v>
      </c>
      <c r="K645" s="2">
        <v>1</v>
      </c>
      <c r="L645" s="16">
        <v>1</v>
      </c>
      <c r="M645" s="5">
        <f t="shared" si="301"/>
        <v>400</v>
      </c>
      <c r="N645" s="6">
        <f t="shared" si="302"/>
        <v>23.804550000000003</v>
      </c>
      <c r="O645">
        <f t="shared" si="303"/>
        <v>350.55</v>
      </c>
      <c r="P645" s="7">
        <f t="shared" si="306"/>
        <v>14.726176298228699</v>
      </c>
      <c r="Q645">
        <f>ROUNDUP(몬스터!$P$7/F645, 0)</f>
        <v>8</v>
      </c>
      <c r="R645" s="6">
        <f t="shared" si="304"/>
        <v>11.644832605531295</v>
      </c>
      <c r="S645" s="7">
        <f>B645/몬스터!$C$7*R645</f>
        <v>157.6531183518083</v>
      </c>
      <c r="U645">
        <f>ROUNDDOWN(R645*몬스터!$H$7, 0)*몬스터!$G$7*(1+몬스터!$I$7)</f>
        <v>156.55499999999998</v>
      </c>
      <c r="V645" s="2">
        <f t="shared" si="307"/>
        <v>0.44659820282413343</v>
      </c>
    </row>
    <row r="646" spans="1:22" x14ac:dyDescent="0.4">
      <c r="A646">
        <v>12</v>
      </c>
      <c r="B646" s="4">
        <f>160*A646</f>
        <v>1920</v>
      </c>
      <c r="C646">
        <f t="shared" si="297"/>
        <v>295</v>
      </c>
      <c r="D646">
        <f t="shared" si="298"/>
        <v>23</v>
      </c>
      <c r="E646" s="2">
        <v>0</v>
      </c>
      <c r="F646">
        <f t="shared" si="299"/>
        <v>35</v>
      </c>
      <c r="G646">
        <f t="shared" si="300"/>
        <v>0.68900000000000006</v>
      </c>
      <c r="H646" s="3">
        <f t="shared" si="305"/>
        <v>0.05</v>
      </c>
      <c r="I646" s="2">
        <v>2</v>
      </c>
      <c r="J646" s="2">
        <v>0</v>
      </c>
      <c r="K646" s="2">
        <v>1</v>
      </c>
      <c r="L646" s="16">
        <v>1</v>
      </c>
      <c r="M646" s="5">
        <f t="shared" si="301"/>
        <v>410</v>
      </c>
      <c r="N646" s="6">
        <f t="shared" si="302"/>
        <v>25.320750000000004</v>
      </c>
      <c r="O646">
        <f t="shared" si="303"/>
        <v>362.85</v>
      </c>
      <c r="P646" s="7">
        <f t="shared" si="306"/>
        <v>14.330144249281714</v>
      </c>
      <c r="Q646">
        <f>ROUNDUP(몬스터!$P$7/F646, 0)</f>
        <v>8</v>
      </c>
      <c r="R646" s="6">
        <f t="shared" si="304"/>
        <v>11.611030478955007</v>
      </c>
      <c r="S646" s="7">
        <f>B646/몬스터!$C$7*R646</f>
        <v>171.48598861225858</v>
      </c>
      <c r="U646">
        <f>ROUNDDOWN(R646*몬스터!$H$7, 0)*몬스터!$G$7*(1+몬스터!$I$7)</f>
        <v>156.55499999999998</v>
      </c>
      <c r="V646" s="2">
        <f t="shared" si="307"/>
        <v>0.43145928069450179</v>
      </c>
    </row>
    <row r="647" spans="1:22" x14ac:dyDescent="0.4">
      <c r="A647">
        <v>13</v>
      </c>
      <c r="B647" s="4">
        <f>160*A647+40</f>
        <v>2120</v>
      </c>
      <c r="C647">
        <f t="shared" si="297"/>
        <v>310</v>
      </c>
      <c r="D647">
        <f t="shared" si="298"/>
        <v>23</v>
      </c>
      <c r="E647" s="2">
        <v>0</v>
      </c>
      <c r="F647">
        <f t="shared" si="299"/>
        <v>36</v>
      </c>
      <c r="G647">
        <f t="shared" si="300"/>
        <v>0.69100000000000006</v>
      </c>
      <c r="H647" s="3">
        <f t="shared" si="305"/>
        <v>0.05</v>
      </c>
      <c r="I647" s="2">
        <v>2</v>
      </c>
      <c r="J647" s="2">
        <v>0</v>
      </c>
      <c r="K647" s="2">
        <v>1</v>
      </c>
      <c r="L647" s="16">
        <v>1</v>
      </c>
      <c r="M647" s="5">
        <f t="shared" si="301"/>
        <v>420</v>
      </c>
      <c r="N647" s="6">
        <f t="shared" si="302"/>
        <v>26.119800000000001</v>
      </c>
      <c r="O647">
        <f t="shared" si="303"/>
        <v>381.3</v>
      </c>
      <c r="P647" s="7">
        <f t="shared" si="306"/>
        <v>14.598120965704178</v>
      </c>
      <c r="Q647">
        <f>ROUNDUP(몬스터!$P$7/F647, 0)</f>
        <v>8</v>
      </c>
      <c r="R647" s="6">
        <f t="shared" si="304"/>
        <v>11.577424023154848</v>
      </c>
      <c r="S647" s="7">
        <f>B647/몬스터!$C$7*R647</f>
        <v>188.80106868529441</v>
      </c>
      <c r="U647">
        <f>ROUNDDOWN(R647*몬스터!$H$7, 0)*몬스터!$G$7*(1+몬스터!$I$7)</f>
        <v>156.55499999999998</v>
      </c>
      <c r="V647" s="2">
        <f t="shared" si="307"/>
        <v>0.41058221872541301</v>
      </c>
    </row>
    <row r="648" spans="1:22" x14ac:dyDescent="0.4">
      <c r="A648">
        <v>14</v>
      </c>
      <c r="B648" s="4">
        <f>160*A648+120</f>
        <v>2360</v>
      </c>
      <c r="C648">
        <f t="shared" si="297"/>
        <v>320</v>
      </c>
      <c r="D648">
        <f t="shared" si="298"/>
        <v>24</v>
      </c>
      <c r="E648" s="2">
        <v>0</v>
      </c>
      <c r="F648">
        <f t="shared" si="299"/>
        <v>37</v>
      </c>
      <c r="G648">
        <f t="shared" si="300"/>
        <v>0.69300000000000006</v>
      </c>
      <c r="H648" s="3">
        <f t="shared" si="305"/>
        <v>0.05</v>
      </c>
      <c r="I648" s="2">
        <v>2</v>
      </c>
      <c r="J648" s="2">
        <v>0</v>
      </c>
      <c r="K648" s="2">
        <v>1</v>
      </c>
      <c r="L648" s="16">
        <v>1</v>
      </c>
      <c r="M648" s="5">
        <f t="shared" si="301"/>
        <v>430</v>
      </c>
      <c r="N648" s="6">
        <f t="shared" si="302"/>
        <v>26.923050000000003</v>
      </c>
      <c r="O648">
        <f t="shared" si="303"/>
        <v>396.8</v>
      </c>
      <c r="P648" s="7">
        <f t="shared" si="306"/>
        <v>14.738300452586165</v>
      </c>
      <c r="Q648">
        <f>ROUNDUP(몬스터!$P$7/F648, 0)</f>
        <v>7</v>
      </c>
      <c r="R648" s="6">
        <f t="shared" si="304"/>
        <v>10.1010101010101</v>
      </c>
      <c r="S648" s="7">
        <f>B648/몬스터!$C$7*R648</f>
        <v>183.37218337218334</v>
      </c>
      <c r="U648">
        <f>ROUNDDOWN(R648*몬스터!$H$7, 0)*몬스터!$G$7*(1+몬스터!$I$7)</f>
        <v>134.19</v>
      </c>
      <c r="V648" s="2">
        <f t="shared" si="307"/>
        <v>0.33818044354838706</v>
      </c>
    </row>
    <row r="649" spans="1:22" x14ac:dyDescent="0.4">
      <c r="A649">
        <v>15</v>
      </c>
      <c r="B649" s="4">
        <f>160*A649+100</f>
        <v>2500</v>
      </c>
      <c r="C649">
        <f t="shared" si="297"/>
        <v>330</v>
      </c>
      <c r="D649">
        <f t="shared" si="298"/>
        <v>24</v>
      </c>
      <c r="E649" s="2">
        <v>0</v>
      </c>
      <c r="F649">
        <f t="shared" si="299"/>
        <v>39</v>
      </c>
      <c r="G649">
        <f t="shared" si="300"/>
        <v>0.69500000000000006</v>
      </c>
      <c r="H649" s="3">
        <f t="shared" si="305"/>
        <v>0.05</v>
      </c>
      <c r="I649" s="2">
        <v>2</v>
      </c>
      <c r="J649" s="2">
        <v>0</v>
      </c>
      <c r="K649" s="2">
        <v>1</v>
      </c>
      <c r="L649" s="16">
        <v>1</v>
      </c>
      <c r="M649" s="5">
        <f t="shared" si="301"/>
        <v>440</v>
      </c>
      <c r="N649" s="6">
        <f t="shared" si="302"/>
        <v>28.460250000000006</v>
      </c>
      <c r="O649">
        <f t="shared" si="303"/>
        <v>409.2</v>
      </c>
      <c r="P649" s="7">
        <f t="shared" si="306"/>
        <v>14.377948190897827</v>
      </c>
      <c r="Q649">
        <f>ROUNDUP(몬스터!$P$7/F649, 0)</f>
        <v>7</v>
      </c>
      <c r="R649" s="6">
        <f t="shared" si="304"/>
        <v>10.071942446043165</v>
      </c>
      <c r="S649" s="7">
        <f>B649/몬스터!$C$7*R649</f>
        <v>193.69120088544548</v>
      </c>
      <c r="T649" s="7">
        <f t="shared" ref="T649" si="308">SUM(S645:S649)</f>
        <v>895.00355990699006</v>
      </c>
      <c r="U649">
        <f>ROUNDDOWN(R649*몬스터!$H$7, 0)*몬스터!$G$7*(1+몬스터!$I$7)</f>
        <v>134.19</v>
      </c>
      <c r="V649" s="2">
        <f t="shared" si="307"/>
        <v>0.3279325513196481</v>
      </c>
    </row>
    <row r="650" spans="1:22" x14ac:dyDescent="0.4">
      <c r="A650">
        <v>16</v>
      </c>
      <c r="B650" s="4">
        <f>160*A650</f>
        <v>2560</v>
      </c>
      <c r="C650">
        <f t="shared" si="297"/>
        <v>340</v>
      </c>
      <c r="D650">
        <f t="shared" si="298"/>
        <v>24</v>
      </c>
      <c r="E650" s="2">
        <v>0</v>
      </c>
      <c r="F650">
        <f t="shared" si="299"/>
        <v>40</v>
      </c>
      <c r="G650">
        <f t="shared" si="300"/>
        <v>0.69700000000000006</v>
      </c>
      <c r="H650" s="3">
        <f t="shared" si="305"/>
        <v>0.05</v>
      </c>
      <c r="I650" s="2">
        <v>2</v>
      </c>
      <c r="J650" s="2">
        <v>0</v>
      </c>
      <c r="K650" s="2">
        <v>1</v>
      </c>
      <c r="L650" s="16">
        <v>1</v>
      </c>
      <c r="M650" s="5">
        <f t="shared" si="301"/>
        <v>450</v>
      </c>
      <c r="N650" s="6">
        <f t="shared" si="302"/>
        <v>29.274000000000004</v>
      </c>
      <c r="O650">
        <f t="shared" si="303"/>
        <v>421.6</v>
      </c>
      <c r="P650" s="7">
        <f t="shared" si="306"/>
        <v>14.401858304297328</v>
      </c>
      <c r="Q650">
        <f>ROUNDUP(몬스터!$P$8/F650, 0)</f>
        <v>9</v>
      </c>
      <c r="R650" s="6">
        <f t="shared" si="304"/>
        <v>12.91248206599713</v>
      </c>
      <c r="S650" s="7">
        <f>B650/몬스터!$C$8*R650</f>
        <v>183.64418938307028</v>
      </c>
      <c r="U650">
        <f>ROUNDDOWN(R650*몬스터!$H$8, 0)*몬스터!$G$8*(1+몬스터!$I$8)</f>
        <v>240.24</v>
      </c>
      <c r="V650" s="2">
        <f t="shared" si="307"/>
        <v>0.56982922201138519</v>
      </c>
    </row>
    <row r="651" spans="1:22" x14ac:dyDescent="0.4">
      <c r="A651">
        <v>17</v>
      </c>
      <c r="B651" s="4">
        <f>160*A651</f>
        <v>2720</v>
      </c>
      <c r="C651">
        <f t="shared" si="297"/>
        <v>355</v>
      </c>
      <c r="D651">
        <f t="shared" si="298"/>
        <v>25</v>
      </c>
      <c r="E651" s="2">
        <v>0</v>
      </c>
      <c r="F651">
        <f t="shared" si="299"/>
        <v>41</v>
      </c>
      <c r="G651">
        <f t="shared" si="300"/>
        <v>0.69900000000000007</v>
      </c>
      <c r="H651" s="3">
        <f t="shared" si="305"/>
        <v>0.05</v>
      </c>
      <c r="I651" s="2">
        <v>2</v>
      </c>
      <c r="J651" s="2">
        <v>0</v>
      </c>
      <c r="K651" s="2">
        <v>1</v>
      </c>
      <c r="L651" s="16">
        <v>1</v>
      </c>
      <c r="M651" s="5">
        <f t="shared" si="301"/>
        <v>460</v>
      </c>
      <c r="N651" s="6">
        <f t="shared" si="302"/>
        <v>30.091950000000004</v>
      </c>
      <c r="O651">
        <f t="shared" si="303"/>
        <v>443.75</v>
      </c>
      <c r="P651" s="7">
        <f t="shared" si="306"/>
        <v>14.74646873997863</v>
      </c>
      <c r="Q651">
        <f>ROUNDUP(몬스터!$P$8/F651, 0)</f>
        <v>9</v>
      </c>
      <c r="R651" s="6">
        <f t="shared" si="304"/>
        <v>12.875536480686694</v>
      </c>
      <c r="S651" s="7">
        <f>B651/몬스터!$C$8*R651</f>
        <v>194.56366237482115</v>
      </c>
      <c r="U651">
        <f>ROUNDDOWN(R651*몬스터!$H$8, 0)*몬스터!$G$8*(1+몬스터!$I$8)</f>
        <v>240.24</v>
      </c>
      <c r="V651" s="2">
        <f t="shared" si="307"/>
        <v>0.54138591549295778</v>
      </c>
    </row>
    <row r="652" spans="1:22" x14ac:dyDescent="0.4">
      <c r="A652">
        <v>18</v>
      </c>
      <c r="B652" s="4">
        <f>160*A652</f>
        <v>2880</v>
      </c>
      <c r="C652">
        <f t="shared" si="297"/>
        <v>365</v>
      </c>
      <c r="D652">
        <f t="shared" si="298"/>
        <v>25</v>
      </c>
      <c r="E652" s="2">
        <v>0</v>
      </c>
      <c r="F652">
        <f t="shared" si="299"/>
        <v>43</v>
      </c>
      <c r="G652">
        <f t="shared" si="300"/>
        <v>0.70100000000000007</v>
      </c>
      <c r="H652" s="3">
        <f t="shared" si="305"/>
        <v>0.05</v>
      </c>
      <c r="I652" s="2">
        <v>2</v>
      </c>
      <c r="J652" s="2">
        <v>0</v>
      </c>
      <c r="K652" s="2">
        <v>1</v>
      </c>
      <c r="L652" s="16">
        <v>1</v>
      </c>
      <c r="M652" s="5">
        <f t="shared" si="301"/>
        <v>470</v>
      </c>
      <c r="N652" s="6">
        <f t="shared" si="302"/>
        <v>31.650150000000007</v>
      </c>
      <c r="O652">
        <f t="shared" si="303"/>
        <v>456.25</v>
      </c>
      <c r="P652" s="7">
        <f t="shared" si="306"/>
        <v>14.415413513048119</v>
      </c>
      <c r="Q652">
        <f>ROUNDUP(몬스터!$P$8/F652, 0)</f>
        <v>8</v>
      </c>
      <c r="R652" s="6">
        <f t="shared" si="304"/>
        <v>11.412268188302424</v>
      </c>
      <c r="S652" s="7">
        <f>B652/몬스터!$C$8*R652</f>
        <v>182.59629101283878</v>
      </c>
      <c r="U652">
        <f>ROUNDDOWN(R652*몬스터!$H$8, 0)*몬스터!$G$8*(1+몬스터!$I$8)</f>
        <v>210.21</v>
      </c>
      <c r="V652" s="2">
        <f t="shared" si="307"/>
        <v>0.46073424657534251</v>
      </c>
    </row>
    <row r="653" spans="1:22" x14ac:dyDescent="0.4">
      <c r="A653">
        <v>19</v>
      </c>
      <c r="B653" s="4">
        <f>160*A653</f>
        <v>3040</v>
      </c>
      <c r="C653">
        <f t="shared" si="297"/>
        <v>375</v>
      </c>
      <c r="D653">
        <f t="shared" si="298"/>
        <v>25</v>
      </c>
      <c r="E653" s="2">
        <v>0</v>
      </c>
      <c r="F653">
        <f t="shared" si="299"/>
        <v>44</v>
      </c>
      <c r="G653">
        <f t="shared" si="300"/>
        <v>0.70300000000000007</v>
      </c>
      <c r="H653" s="3">
        <f t="shared" si="305"/>
        <v>0.05</v>
      </c>
      <c r="I653" s="2">
        <v>2</v>
      </c>
      <c r="J653" s="2">
        <v>0</v>
      </c>
      <c r="K653" s="2">
        <v>1</v>
      </c>
      <c r="L653" s="16">
        <v>1</v>
      </c>
      <c r="M653" s="5">
        <f t="shared" si="301"/>
        <v>480</v>
      </c>
      <c r="N653" s="6">
        <f t="shared" si="302"/>
        <v>32.4786</v>
      </c>
      <c r="O653">
        <f t="shared" si="303"/>
        <v>468.75</v>
      </c>
      <c r="P653" s="7">
        <f t="shared" si="306"/>
        <v>14.432580222053906</v>
      </c>
      <c r="Q653">
        <f>ROUNDUP(몬스터!$P$8/F653, 0)</f>
        <v>8</v>
      </c>
      <c r="R653" s="6">
        <f t="shared" si="304"/>
        <v>11.379800853485063</v>
      </c>
      <c r="S653" s="7">
        <f>B653/몬스터!$C$8*R653</f>
        <v>192.19219219219218</v>
      </c>
      <c r="U653">
        <f>ROUNDDOWN(R653*몬스터!$H$8, 0)*몬스터!$G$8*(1+몬스터!$I$8)</f>
        <v>210.21</v>
      </c>
      <c r="V653" s="2">
        <f t="shared" si="307"/>
        <v>0.44844800000000001</v>
      </c>
    </row>
    <row r="654" spans="1:22" x14ac:dyDescent="0.4">
      <c r="A654">
        <v>20</v>
      </c>
      <c r="B654" s="4">
        <f>160*A654+80</f>
        <v>3280</v>
      </c>
      <c r="C654">
        <f t="shared" si="297"/>
        <v>390</v>
      </c>
      <c r="D654">
        <f t="shared" si="298"/>
        <v>26</v>
      </c>
      <c r="E654" s="2">
        <v>0</v>
      </c>
      <c r="F654">
        <f t="shared" si="299"/>
        <v>45</v>
      </c>
      <c r="G654">
        <f t="shared" si="300"/>
        <v>0.70500000000000007</v>
      </c>
      <c r="H654" s="3">
        <f t="shared" si="305"/>
        <v>0.05</v>
      </c>
      <c r="I654" s="2">
        <v>2</v>
      </c>
      <c r="J654" s="2">
        <v>0</v>
      </c>
      <c r="K654" s="2">
        <v>1</v>
      </c>
      <c r="L654" s="16">
        <v>1</v>
      </c>
      <c r="M654" s="5">
        <f t="shared" si="301"/>
        <v>490</v>
      </c>
      <c r="N654" s="6">
        <f t="shared" si="302"/>
        <v>33.311250000000001</v>
      </c>
      <c r="O654">
        <f t="shared" si="303"/>
        <v>491.4</v>
      </c>
      <c r="P654" s="7">
        <f t="shared" si="306"/>
        <v>14.751773049645388</v>
      </c>
      <c r="Q654">
        <f>ROUNDUP(몬스터!$P$8/F654, 0)</f>
        <v>8</v>
      </c>
      <c r="R654" s="6">
        <f t="shared" si="304"/>
        <v>11.347517730496453</v>
      </c>
      <c r="S654" s="7">
        <f>B654/몬스터!$C$8*R654</f>
        <v>206.77698975571312</v>
      </c>
      <c r="T654" s="7">
        <f t="shared" ref="T654" si="309">SUM(S650:S654)</f>
        <v>959.77332471863554</v>
      </c>
      <c r="U654">
        <f>ROUNDDOWN(R654*몬스터!$H$8, 0)*몬스터!$G$8*(1+몬스터!$I$8)</f>
        <v>210.21</v>
      </c>
      <c r="V654" s="2">
        <f t="shared" si="307"/>
        <v>0.42777777777777781</v>
      </c>
    </row>
    <row r="655" spans="1:22" x14ac:dyDescent="0.4">
      <c r="A655">
        <v>21</v>
      </c>
      <c r="B655" s="4">
        <f>160*A655</f>
        <v>3360</v>
      </c>
      <c r="C655">
        <f t="shared" si="297"/>
        <v>400</v>
      </c>
      <c r="D655">
        <f t="shared" si="298"/>
        <v>26</v>
      </c>
      <c r="E655" s="2">
        <v>0</v>
      </c>
      <c r="F655">
        <f t="shared" si="299"/>
        <v>47</v>
      </c>
      <c r="G655">
        <f t="shared" si="300"/>
        <v>0.70700000000000007</v>
      </c>
      <c r="H655" s="3">
        <f t="shared" si="305"/>
        <v>0.05</v>
      </c>
      <c r="I655" s="2">
        <v>2</v>
      </c>
      <c r="J655" s="2">
        <v>0</v>
      </c>
      <c r="K655" s="2">
        <v>1</v>
      </c>
      <c r="L655" s="16">
        <v>1</v>
      </c>
      <c r="M655" s="5">
        <f t="shared" si="301"/>
        <v>500</v>
      </c>
      <c r="N655" s="6">
        <f t="shared" si="302"/>
        <v>34.890450000000008</v>
      </c>
      <c r="O655">
        <f t="shared" si="303"/>
        <v>504</v>
      </c>
      <c r="P655" s="7">
        <f t="shared" si="306"/>
        <v>14.445213518312315</v>
      </c>
      <c r="Q655">
        <f>ROUNDUP(몬스터!$P$11/F655, 0)</f>
        <v>10</v>
      </c>
      <c r="R655" s="6">
        <f t="shared" si="304"/>
        <v>14.144271570014142</v>
      </c>
      <c r="S655" s="7">
        <f>B655/몬스터!$C$11*R655</f>
        <v>206.62935858803269</v>
      </c>
      <c r="U655">
        <f>ROUNDDOWN(R655*몬스터!$H$11, 0)*몬스터!$G$11*(1+몬스터!$I$11)</f>
        <v>349.92</v>
      </c>
      <c r="V655" s="2">
        <f t="shared" si="307"/>
        <v>0.69428571428571428</v>
      </c>
    </row>
    <row r="656" spans="1:22" x14ac:dyDescent="0.4">
      <c r="A656">
        <v>22</v>
      </c>
      <c r="B656" s="4">
        <f>160*A656</f>
        <v>3520</v>
      </c>
      <c r="C656">
        <f t="shared" si="297"/>
        <v>410</v>
      </c>
      <c r="D656">
        <f t="shared" si="298"/>
        <v>26</v>
      </c>
      <c r="E656" s="2">
        <v>0</v>
      </c>
      <c r="F656">
        <f t="shared" si="299"/>
        <v>48</v>
      </c>
      <c r="G656">
        <f t="shared" si="300"/>
        <v>0.70900000000000007</v>
      </c>
      <c r="H656" s="3">
        <f t="shared" si="305"/>
        <v>0.05</v>
      </c>
      <c r="I656" s="2">
        <v>2</v>
      </c>
      <c r="J656" s="2">
        <v>0</v>
      </c>
      <c r="K656" s="2">
        <v>1</v>
      </c>
      <c r="L656" s="16">
        <v>1</v>
      </c>
      <c r="M656" s="5">
        <f t="shared" si="301"/>
        <v>510</v>
      </c>
      <c r="N656" s="6">
        <f t="shared" si="302"/>
        <v>35.733600000000003</v>
      </c>
      <c r="O656">
        <f t="shared" si="303"/>
        <v>516.6</v>
      </c>
      <c r="P656" s="7">
        <f t="shared" si="306"/>
        <v>14.456981664315938</v>
      </c>
      <c r="Q656">
        <f>ROUNDUP(몬스터!$P$11/F656, 0)</f>
        <v>9</v>
      </c>
      <c r="R656" s="6">
        <f t="shared" si="304"/>
        <v>12.693935119887163</v>
      </c>
      <c r="S656" s="7">
        <f>B656/몬스터!$C$11*R656</f>
        <v>194.27239835653398</v>
      </c>
      <c r="U656">
        <f>ROUNDDOWN(R656*몬스터!$H$11, 0)*몬스터!$G$11*(1+몬스터!$I$11)</f>
        <v>311.04000000000002</v>
      </c>
      <c r="V656" s="2">
        <f t="shared" si="307"/>
        <v>0.6020905923344948</v>
      </c>
    </row>
    <row r="657" spans="1:22" x14ac:dyDescent="0.4">
      <c r="A657">
        <v>23</v>
      </c>
      <c r="B657" s="4">
        <f>160*A657</f>
        <v>3680</v>
      </c>
      <c r="C657">
        <f t="shared" si="297"/>
        <v>425</v>
      </c>
      <c r="D657">
        <f t="shared" si="298"/>
        <v>26</v>
      </c>
      <c r="E657" s="2">
        <v>0</v>
      </c>
      <c r="F657">
        <f t="shared" si="299"/>
        <v>49</v>
      </c>
      <c r="G657">
        <f t="shared" si="300"/>
        <v>0.71100000000000008</v>
      </c>
      <c r="H657" s="3">
        <f t="shared" si="305"/>
        <v>0.05</v>
      </c>
      <c r="I657" s="2">
        <v>2</v>
      </c>
      <c r="J657" s="2">
        <v>0</v>
      </c>
      <c r="K657" s="2">
        <v>1</v>
      </c>
      <c r="L657" s="16">
        <v>1</v>
      </c>
      <c r="M657" s="5">
        <f t="shared" si="301"/>
        <v>520</v>
      </c>
      <c r="N657" s="6">
        <f t="shared" si="302"/>
        <v>36.580950000000009</v>
      </c>
      <c r="O657">
        <f t="shared" si="303"/>
        <v>535.5</v>
      </c>
      <c r="P657" s="7">
        <f t="shared" si="306"/>
        <v>14.638766899164725</v>
      </c>
      <c r="Q657">
        <f>ROUNDUP(몬스터!$P$11/F657, 0)</f>
        <v>9</v>
      </c>
      <c r="R657" s="6">
        <f t="shared" si="304"/>
        <v>12.658227848101264</v>
      </c>
      <c r="S657" s="7">
        <f>B657/몬스터!$C$11*R657</f>
        <v>202.53164556962022</v>
      </c>
      <c r="U657">
        <f>ROUNDDOWN(R657*몬스터!$H$11, 0)*몬스터!$G$11*(1+몬스터!$I$11)</f>
        <v>311.04000000000002</v>
      </c>
      <c r="V657" s="2">
        <f t="shared" si="307"/>
        <v>0.58084033613445385</v>
      </c>
    </row>
    <row r="658" spans="1:22" x14ac:dyDescent="0.4">
      <c r="A658">
        <v>24</v>
      </c>
      <c r="B658" s="4">
        <f>160*A658</f>
        <v>3840</v>
      </c>
      <c r="C658">
        <f t="shared" si="297"/>
        <v>435</v>
      </c>
      <c r="D658">
        <f t="shared" si="298"/>
        <v>27</v>
      </c>
      <c r="E658" s="2">
        <v>0</v>
      </c>
      <c r="F658">
        <f t="shared" si="299"/>
        <v>51</v>
      </c>
      <c r="G658">
        <f t="shared" si="300"/>
        <v>0.71300000000000008</v>
      </c>
      <c r="H658" s="3">
        <f t="shared" si="305"/>
        <v>0.05</v>
      </c>
      <c r="I658" s="2">
        <v>2</v>
      </c>
      <c r="J658" s="2">
        <v>0</v>
      </c>
      <c r="K658" s="2">
        <v>1</v>
      </c>
      <c r="L658" s="16">
        <v>1</v>
      </c>
      <c r="M658" s="5">
        <f t="shared" si="301"/>
        <v>530</v>
      </c>
      <c r="N658" s="6">
        <f t="shared" si="302"/>
        <v>38.181150000000009</v>
      </c>
      <c r="O658">
        <f t="shared" si="303"/>
        <v>552.45000000000005</v>
      </c>
      <c r="P658" s="7">
        <f t="shared" si="306"/>
        <v>14.469181782109755</v>
      </c>
      <c r="Q658">
        <f>ROUNDUP(몬스터!$P$11/F658, 0)</f>
        <v>9</v>
      </c>
      <c r="R658" s="6">
        <f t="shared" si="304"/>
        <v>12.622720897615707</v>
      </c>
      <c r="S658" s="7">
        <f>B658/몬스터!$C$11*R658</f>
        <v>210.74455759497528</v>
      </c>
      <c r="U658">
        <f>ROUNDDOWN(R658*몬스터!$H$11, 0)*몬스터!$G$11*(1+몬스터!$I$11)</f>
        <v>311.04000000000002</v>
      </c>
      <c r="V658" s="2">
        <f t="shared" si="307"/>
        <v>0.56301927776269345</v>
      </c>
    </row>
    <row r="659" spans="1:22" x14ac:dyDescent="0.4">
      <c r="A659">
        <v>25</v>
      </c>
      <c r="B659" s="4">
        <f>160*A659</f>
        <v>4000</v>
      </c>
      <c r="C659">
        <f t="shared" si="297"/>
        <v>445</v>
      </c>
      <c r="D659">
        <f t="shared" si="298"/>
        <v>27</v>
      </c>
      <c r="E659" s="2">
        <v>0</v>
      </c>
      <c r="F659">
        <f t="shared" si="299"/>
        <v>52</v>
      </c>
      <c r="G659">
        <f t="shared" si="300"/>
        <v>0.71500000000000008</v>
      </c>
      <c r="H659" s="3">
        <f t="shared" si="305"/>
        <v>0.05</v>
      </c>
      <c r="I659" s="2">
        <v>2</v>
      </c>
      <c r="J659" s="2">
        <v>0</v>
      </c>
      <c r="K659" s="2">
        <v>1</v>
      </c>
      <c r="L659" s="16">
        <v>1</v>
      </c>
      <c r="M659" s="5">
        <f t="shared" si="301"/>
        <v>540</v>
      </c>
      <c r="N659" s="6">
        <f t="shared" si="302"/>
        <v>39.039000000000009</v>
      </c>
      <c r="O659">
        <f t="shared" si="303"/>
        <v>565.15</v>
      </c>
      <c r="P659" s="7">
        <f t="shared" si="306"/>
        <v>14.476549091933704</v>
      </c>
      <c r="Q659">
        <f>ROUNDUP(몬스터!$P$11/F659, 0)</f>
        <v>9</v>
      </c>
      <c r="R659" s="6">
        <f t="shared" si="304"/>
        <v>12.587412587412587</v>
      </c>
      <c r="S659" s="7">
        <f>B659/몬스터!$C$11*R659</f>
        <v>218.91152325934931</v>
      </c>
      <c r="T659" s="7">
        <f t="shared" ref="T659" si="310">SUM(S655:S659)</f>
        <v>1033.0894833685115</v>
      </c>
      <c r="U659">
        <f>ROUNDDOWN(R659*몬스터!$H$11, 0)*몬스터!$G$11*(1+몬스터!$I$11)</f>
        <v>311.04000000000002</v>
      </c>
      <c r="V659" s="2">
        <f t="shared" si="307"/>
        <v>0.55036715916128465</v>
      </c>
    </row>
    <row r="660" spans="1:22" x14ac:dyDescent="0.4">
      <c r="A660">
        <v>26</v>
      </c>
      <c r="B660" s="4">
        <f>170*A660</f>
        <v>4420</v>
      </c>
      <c r="C660">
        <f t="shared" si="297"/>
        <v>460</v>
      </c>
      <c r="D660">
        <f t="shared" si="298"/>
        <v>27</v>
      </c>
      <c r="E660" s="2">
        <v>0</v>
      </c>
      <c r="F660">
        <f t="shared" si="299"/>
        <v>53</v>
      </c>
      <c r="G660">
        <f t="shared" si="300"/>
        <v>0.71700000000000008</v>
      </c>
      <c r="H660" s="3">
        <f t="shared" si="305"/>
        <v>0.05</v>
      </c>
      <c r="I660" s="2">
        <v>2</v>
      </c>
      <c r="J660" s="2">
        <v>0</v>
      </c>
      <c r="K660" s="2">
        <v>1</v>
      </c>
      <c r="L660" s="16">
        <v>1</v>
      </c>
      <c r="M660" s="5">
        <f t="shared" si="301"/>
        <v>550</v>
      </c>
      <c r="N660" s="6">
        <f t="shared" si="302"/>
        <v>39.901050000000005</v>
      </c>
      <c r="O660">
        <f t="shared" si="303"/>
        <v>584.20000000000005</v>
      </c>
      <c r="P660" s="7">
        <f t="shared" si="306"/>
        <v>14.641218714795725</v>
      </c>
      <c r="Q660">
        <f>ROUNDUP(몬스터!$P$12/F660, 0)</f>
        <v>10</v>
      </c>
      <c r="R660" s="6">
        <f t="shared" si="304"/>
        <v>13.947001394700138</v>
      </c>
      <c r="S660" s="7">
        <f>B660/몬스터!$C$12*R660</f>
        <v>220.16337915919505</v>
      </c>
      <c r="U660">
        <f>ROUNDDOWN(R660*몬스터!$H$12, 0)*몬스터!$G$12*(1+몬스터!$I$12)</f>
        <v>420.86249999999995</v>
      </c>
      <c r="V660" s="2">
        <f t="shared" si="307"/>
        <v>0.72040825059910973</v>
      </c>
    </row>
    <row r="661" spans="1:22" x14ac:dyDescent="0.4">
      <c r="A661">
        <v>27</v>
      </c>
      <c r="B661" s="4">
        <f>170*A661</f>
        <v>4590</v>
      </c>
      <c r="C661">
        <f t="shared" si="297"/>
        <v>470</v>
      </c>
      <c r="D661">
        <f t="shared" si="298"/>
        <v>28</v>
      </c>
      <c r="E661" s="2">
        <v>0</v>
      </c>
      <c r="F661">
        <f t="shared" si="299"/>
        <v>55</v>
      </c>
      <c r="G661">
        <f t="shared" si="300"/>
        <v>0.71900000000000008</v>
      </c>
      <c r="H661" s="3">
        <f t="shared" si="305"/>
        <v>0.05</v>
      </c>
      <c r="I661" s="2">
        <v>2</v>
      </c>
      <c r="J661" s="2">
        <v>0</v>
      </c>
      <c r="K661" s="2">
        <v>1</v>
      </c>
      <c r="L661" s="16">
        <v>1</v>
      </c>
      <c r="M661" s="5">
        <f t="shared" si="301"/>
        <v>560</v>
      </c>
      <c r="N661" s="6">
        <f t="shared" si="302"/>
        <v>41.522250000000007</v>
      </c>
      <c r="O661">
        <f t="shared" si="303"/>
        <v>601.6</v>
      </c>
      <c r="P661" s="7">
        <f t="shared" si="306"/>
        <v>14.488617548422832</v>
      </c>
      <c r="Q661">
        <f>ROUNDUP(몬스터!$P$12/F661, 0)</f>
        <v>10</v>
      </c>
      <c r="R661" s="6">
        <f t="shared" si="304"/>
        <v>13.908205841446453</v>
      </c>
      <c r="S661" s="7">
        <f>B661/몬스터!$C$12*R661</f>
        <v>227.99523147228291</v>
      </c>
      <c r="U661">
        <f>ROUNDDOWN(R661*몬스터!$H$12, 0)*몬스터!$G$12*(1+몬스터!$I$12)</f>
        <v>420.86249999999995</v>
      </c>
      <c r="V661" s="2">
        <f t="shared" si="307"/>
        <v>0.69957197473404242</v>
      </c>
    </row>
    <row r="662" spans="1:22" x14ac:dyDescent="0.4">
      <c r="A662">
        <v>28</v>
      </c>
      <c r="B662" s="4">
        <f>170*A662</f>
        <v>4760</v>
      </c>
      <c r="C662">
        <f t="shared" si="297"/>
        <v>480</v>
      </c>
      <c r="D662">
        <f t="shared" si="298"/>
        <v>28</v>
      </c>
      <c r="E662" s="2">
        <v>0</v>
      </c>
      <c r="F662">
        <f t="shared" si="299"/>
        <v>56</v>
      </c>
      <c r="G662">
        <f t="shared" si="300"/>
        <v>0.72100000000000009</v>
      </c>
      <c r="H662" s="3">
        <f t="shared" si="305"/>
        <v>0.05</v>
      </c>
      <c r="I662" s="2">
        <v>2</v>
      </c>
      <c r="J662" s="2">
        <v>0</v>
      </c>
      <c r="K662" s="2">
        <v>1</v>
      </c>
      <c r="L662" s="16">
        <v>1</v>
      </c>
      <c r="M662" s="5">
        <f t="shared" si="301"/>
        <v>570</v>
      </c>
      <c r="N662" s="6">
        <f t="shared" si="302"/>
        <v>42.394800000000004</v>
      </c>
      <c r="O662">
        <f t="shared" si="303"/>
        <v>614.4</v>
      </c>
      <c r="P662" s="7">
        <f t="shared" si="306"/>
        <v>14.492343400605733</v>
      </c>
      <c r="Q662">
        <f>ROUNDUP(몬스터!$P$12/F662, 0)</f>
        <v>10</v>
      </c>
      <c r="R662" s="6">
        <f t="shared" si="304"/>
        <v>13.869625520110956</v>
      </c>
      <c r="S662" s="7">
        <f>B662/몬스터!$C$12*R662</f>
        <v>235.78363384188626</v>
      </c>
      <c r="U662">
        <f>ROUNDDOWN(R662*몬스터!$H$12, 0)*몬스터!$G$12*(1+몬스터!$I$12)</f>
        <v>420.86249999999995</v>
      </c>
      <c r="V662" s="2">
        <f t="shared" si="307"/>
        <v>0.68499755859375</v>
      </c>
    </row>
    <row r="663" spans="1:22" x14ac:dyDescent="0.4">
      <c r="A663">
        <v>29</v>
      </c>
      <c r="B663" s="4">
        <f>170*A663</f>
        <v>4930</v>
      </c>
      <c r="C663">
        <f t="shared" si="297"/>
        <v>490</v>
      </c>
      <c r="D663">
        <f t="shared" si="298"/>
        <v>28</v>
      </c>
      <c r="E663" s="2">
        <v>0</v>
      </c>
      <c r="F663">
        <f t="shared" si="299"/>
        <v>57</v>
      </c>
      <c r="G663">
        <f t="shared" si="300"/>
        <v>0.72300000000000009</v>
      </c>
      <c r="H663" s="3">
        <f t="shared" si="305"/>
        <v>0.05</v>
      </c>
      <c r="I663" s="2">
        <v>2</v>
      </c>
      <c r="J663" s="2">
        <v>0</v>
      </c>
      <c r="K663" s="2">
        <v>1</v>
      </c>
      <c r="L663" s="16">
        <v>1</v>
      </c>
      <c r="M663" s="5">
        <f t="shared" si="301"/>
        <v>580</v>
      </c>
      <c r="N663" s="6">
        <f t="shared" si="302"/>
        <v>43.271550000000005</v>
      </c>
      <c r="O663">
        <f t="shared" si="303"/>
        <v>627.20000000000005</v>
      </c>
      <c r="P663" s="7">
        <f t="shared" si="306"/>
        <v>14.494511983046596</v>
      </c>
      <c r="Q663">
        <f>ROUNDUP(몬스터!$P$12/F663, 0)</f>
        <v>10</v>
      </c>
      <c r="R663" s="6">
        <f t="shared" si="304"/>
        <v>13.831258644536652</v>
      </c>
      <c r="S663" s="7">
        <f>B663/몬스터!$C$12*R663</f>
        <v>243.5289468484489</v>
      </c>
      <c r="U663">
        <f>ROUNDDOWN(R663*몬스터!$H$12, 0)*몬스터!$G$12*(1+몬스터!$I$12)</f>
        <v>420.86249999999995</v>
      </c>
      <c r="V663" s="2">
        <f t="shared" si="307"/>
        <v>0.67101801658163251</v>
      </c>
    </row>
    <row r="664" spans="1:22" x14ac:dyDescent="0.4">
      <c r="A664">
        <v>30</v>
      </c>
      <c r="B664" s="4">
        <f>170*A664</f>
        <v>5100</v>
      </c>
      <c r="C664">
        <f t="shared" si="297"/>
        <v>505</v>
      </c>
      <c r="D664">
        <f t="shared" si="298"/>
        <v>29</v>
      </c>
      <c r="E664" s="2">
        <v>0</v>
      </c>
      <c r="F664">
        <f t="shared" si="299"/>
        <v>59</v>
      </c>
      <c r="G664">
        <f t="shared" si="300"/>
        <v>0.72500000000000009</v>
      </c>
      <c r="H664" s="3">
        <f t="shared" si="305"/>
        <v>0.05</v>
      </c>
      <c r="I664" s="2">
        <v>2</v>
      </c>
      <c r="J664" s="2">
        <v>0</v>
      </c>
      <c r="K664" s="2">
        <v>1</v>
      </c>
      <c r="L664" s="16">
        <v>1</v>
      </c>
      <c r="M664" s="5">
        <f t="shared" si="301"/>
        <v>590</v>
      </c>
      <c r="N664" s="6">
        <f t="shared" si="302"/>
        <v>44.913750000000007</v>
      </c>
      <c r="O664">
        <f t="shared" si="303"/>
        <v>651.45000000000005</v>
      </c>
      <c r="P664" s="7">
        <f t="shared" si="306"/>
        <v>14.504466894881855</v>
      </c>
      <c r="Q664">
        <f>ROUNDUP(몬스터!$P$12/F664, 0)</f>
        <v>9</v>
      </c>
      <c r="R664" s="6">
        <f t="shared" si="304"/>
        <v>12.413793103448274</v>
      </c>
      <c r="S664" s="7">
        <f>B664/몬스터!$C$12*R664</f>
        <v>226.10837438423644</v>
      </c>
      <c r="T664" s="7">
        <f t="shared" ref="T664" si="311">SUM(S660:S664)</f>
        <v>1153.5795657060496</v>
      </c>
      <c r="U664">
        <f>ROUNDDOWN(R664*몬스터!$H$12, 0)*몬스터!$G$12*(1+몬스터!$I$12)</f>
        <v>374.09999999999997</v>
      </c>
      <c r="V664" s="2">
        <f t="shared" si="307"/>
        <v>0.57425742574257421</v>
      </c>
    </row>
    <row r="665" spans="1:22" x14ac:dyDescent="0.4">
      <c r="A665">
        <v>31</v>
      </c>
      <c r="B665" s="4">
        <f>160*A665</f>
        <v>4960</v>
      </c>
      <c r="C665">
        <f t="shared" si="297"/>
        <v>515</v>
      </c>
      <c r="D665">
        <f t="shared" si="298"/>
        <v>29</v>
      </c>
      <c r="E665" s="2">
        <v>0</v>
      </c>
      <c r="F665">
        <f t="shared" si="299"/>
        <v>60</v>
      </c>
      <c r="G665">
        <f t="shared" si="300"/>
        <v>0.72700000000000009</v>
      </c>
      <c r="H665" s="3">
        <f t="shared" si="305"/>
        <v>0.05</v>
      </c>
      <c r="I665" s="2">
        <v>2</v>
      </c>
      <c r="J665" s="2">
        <v>0</v>
      </c>
      <c r="K665" s="2">
        <v>1</v>
      </c>
      <c r="L665" s="16">
        <v>1</v>
      </c>
      <c r="M665" s="5">
        <f t="shared" si="301"/>
        <v>600</v>
      </c>
      <c r="N665" s="6">
        <f t="shared" si="302"/>
        <v>45.801000000000009</v>
      </c>
      <c r="O665">
        <f t="shared" si="303"/>
        <v>664.35</v>
      </c>
      <c r="P665" s="7">
        <f t="shared" si="306"/>
        <v>14.505141809130803</v>
      </c>
      <c r="Q665">
        <f>ROUNDUP(몬스터!$P$13/F665, 0)</f>
        <v>11</v>
      </c>
      <c r="R665" s="6">
        <f t="shared" si="304"/>
        <v>15.13067400275103</v>
      </c>
      <c r="S665" s="7">
        <f>B665/몬스터!$C$13*R665</f>
        <v>227.41861531407611</v>
      </c>
      <c r="U665">
        <f>ROUNDDOWN(R665*몬스터!$H$13, 0)*몬스터!$G$13*(1+몬스터!$I$13)</f>
        <v>558.44999999999993</v>
      </c>
      <c r="V665" s="2">
        <f t="shared" si="307"/>
        <v>0.8405960713479339</v>
      </c>
    </row>
    <row r="666" spans="1:22" x14ac:dyDescent="0.4">
      <c r="A666">
        <v>32</v>
      </c>
      <c r="B666" s="4">
        <f>160*A666</f>
        <v>5120</v>
      </c>
      <c r="C666">
        <f t="shared" si="297"/>
        <v>525</v>
      </c>
      <c r="D666">
        <f t="shared" si="298"/>
        <v>29</v>
      </c>
      <c r="E666" s="2">
        <v>0</v>
      </c>
      <c r="F666">
        <f t="shared" si="299"/>
        <v>61</v>
      </c>
      <c r="G666">
        <f t="shared" si="300"/>
        <v>0.72900000000000009</v>
      </c>
      <c r="H666" s="3">
        <f t="shared" si="305"/>
        <v>0.05</v>
      </c>
      <c r="I666" s="2">
        <v>2</v>
      </c>
      <c r="J666" s="2">
        <v>0</v>
      </c>
      <c r="K666" s="2">
        <v>1</v>
      </c>
      <c r="L666" s="16">
        <v>1</v>
      </c>
      <c r="M666" s="5">
        <f t="shared" si="301"/>
        <v>610</v>
      </c>
      <c r="N666" s="6">
        <f t="shared" si="302"/>
        <v>46.692450000000008</v>
      </c>
      <c r="O666">
        <f t="shared" si="303"/>
        <v>677.25</v>
      </c>
      <c r="P666" s="7">
        <f t="shared" si="306"/>
        <v>14.504486271335084</v>
      </c>
      <c r="Q666">
        <f>ROUNDUP(몬스터!$P$13/F666, 0)</f>
        <v>11</v>
      </c>
      <c r="R666" s="6">
        <f t="shared" si="304"/>
        <v>15.089163237311384</v>
      </c>
      <c r="S666" s="7">
        <f>B666/몬스터!$C$13*R666</f>
        <v>234.11065386374025</v>
      </c>
      <c r="U666">
        <f>ROUNDDOWN(R666*몬스터!$H$13, 0)*몬스터!$G$13*(1+몬스터!$I$13)</f>
        <v>558.44999999999993</v>
      </c>
      <c r="V666" s="2">
        <f t="shared" si="307"/>
        <v>0.82458471760797336</v>
      </c>
    </row>
    <row r="667" spans="1:22" x14ac:dyDescent="0.4">
      <c r="A667">
        <v>33</v>
      </c>
      <c r="B667" s="4">
        <f>160*A667</f>
        <v>5280</v>
      </c>
      <c r="C667">
        <f t="shared" ref="C667:C698" si="312">MROUND((150+A667*11)*1.05,5)</f>
        <v>540</v>
      </c>
      <c r="D667">
        <f t="shared" ref="D667:D698" si="313">ROUNDDOWN((20+A667*0.3), 0)</f>
        <v>29</v>
      </c>
      <c r="E667" s="2">
        <v>0</v>
      </c>
      <c r="F667">
        <f t="shared" ref="F667:F698" si="314">ROUND((28+A667*2)*2/3, 0)</f>
        <v>63</v>
      </c>
      <c r="G667">
        <f t="shared" ref="G667:G698" si="315">0.665+0.002*A667</f>
        <v>0.73100000000000009</v>
      </c>
      <c r="H667" s="3">
        <f t="shared" si="305"/>
        <v>0.05</v>
      </c>
      <c r="I667" s="2">
        <v>2</v>
      </c>
      <c r="J667" s="2">
        <v>0</v>
      </c>
      <c r="K667" s="2">
        <v>1</v>
      </c>
      <c r="L667" s="16">
        <v>1</v>
      </c>
      <c r="M667" s="5">
        <f t="shared" ref="M667:M698" si="316">290+10*A667</f>
        <v>620</v>
      </c>
      <c r="N667" s="6">
        <f t="shared" ref="N667:N698" si="317">F667*G667*(1+H667)</f>
        <v>48.355650000000004</v>
      </c>
      <c r="O667">
        <f t="shared" ref="O667:O698" si="318">C667*(1+D667/100)*(1+E667)</f>
        <v>696.6</v>
      </c>
      <c r="P667" s="7">
        <f t="shared" si="306"/>
        <v>14.405762304921968</v>
      </c>
      <c r="Q667">
        <f>ROUNDUP(몬스터!$P$13/F667, 0)</f>
        <v>10</v>
      </c>
      <c r="R667" s="6">
        <f t="shared" ref="R667:R698" si="319">Q667/G667</f>
        <v>13.679890560875512</v>
      </c>
      <c r="S667" s="7">
        <f>B667/몬스터!$C$13*R667</f>
        <v>218.87824897400819</v>
      </c>
      <c r="U667">
        <f>ROUNDDOWN(R667*몬스터!$H$13, 0)*몬스터!$G$13*(1+몬스터!$I$13)</f>
        <v>502.60499999999996</v>
      </c>
      <c r="V667" s="2">
        <f t="shared" si="307"/>
        <v>0.72151162790697665</v>
      </c>
    </row>
    <row r="668" spans="1:22" x14ac:dyDescent="0.4">
      <c r="A668">
        <v>34</v>
      </c>
      <c r="B668" s="4">
        <f>160*A668</f>
        <v>5440</v>
      </c>
      <c r="C668">
        <f t="shared" si="312"/>
        <v>550</v>
      </c>
      <c r="D668">
        <f t="shared" si="313"/>
        <v>30</v>
      </c>
      <c r="E668" s="2">
        <v>0</v>
      </c>
      <c r="F668">
        <f t="shared" si="314"/>
        <v>64</v>
      </c>
      <c r="G668">
        <f t="shared" si="315"/>
        <v>0.7330000000000001</v>
      </c>
      <c r="H668" s="3">
        <f t="shared" si="305"/>
        <v>0.05</v>
      </c>
      <c r="I668" s="2">
        <v>2</v>
      </c>
      <c r="J668" s="2">
        <v>0</v>
      </c>
      <c r="K668" s="2">
        <v>1</v>
      </c>
      <c r="L668" s="16">
        <v>1</v>
      </c>
      <c r="M668" s="5">
        <f t="shared" si="316"/>
        <v>630</v>
      </c>
      <c r="N668" s="6">
        <f t="shared" si="317"/>
        <v>49.257600000000011</v>
      </c>
      <c r="O668">
        <f t="shared" si="318"/>
        <v>715</v>
      </c>
      <c r="P668" s="7">
        <f t="shared" si="306"/>
        <v>14.515526538036767</v>
      </c>
      <c r="Q668">
        <f>ROUNDUP(몬스터!$P$13/F668, 0)</f>
        <v>10</v>
      </c>
      <c r="R668" s="6">
        <f t="shared" si="319"/>
        <v>13.642564802182809</v>
      </c>
      <c r="S668" s="7">
        <f>B668/몬스터!$C$13*R668</f>
        <v>224.89561370871056</v>
      </c>
      <c r="U668">
        <f>ROUNDDOWN(R668*몬스터!$H$13, 0)*몬스터!$G$13*(1+몬스터!$I$13)</f>
        <v>502.60499999999996</v>
      </c>
      <c r="V668" s="2">
        <f t="shared" si="307"/>
        <v>0.70294405594405585</v>
      </c>
    </row>
    <row r="669" spans="1:22" x14ac:dyDescent="0.4">
      <c r="A669">
        <v>35</v>
      </c>
      <c r="B669" s="4">
        <f>160*A669</f>
        <v>5600</v>
      </c>
      <c r="C669">
        <f t="shared" si="312"/>
        <v>560</v>
      </c>
      <c r="D669">
        <f t="shared" si="313"/>
        <v>30</v>
      </c>
      <c r="E669" s="2">
        <v>0</v>
      </c>
      <c r="F669">
        <f t="shared" si="314"/>
        <v>65</v>
      </c>
      <c r="G669">
        <f t="shared" si="315"/>
        <v>0.7350000000000001</v>
      </c>
      <c r="H669" s="3">
        <f t="shared" si="305"/>
        <v>0.05</v>
      </c>
      <c r="I669" s="2">
        <v>2</v>
      </c>
      <c r="J669" s="2">
        <v>0</v>
      </c>
      <c r="K669" s="2">
        <v>1</v>
      </c>
      <c r="L669" s="16">
        <v>1</v>
      </c>
      <c r="M669" s="5">
        <f t="shared" si="316"/>
        <v>640</v>
      </c>
      <c r="N669" s="6">
        <f t="shared" si="317"/>
        <v>50.163750000000007</v>
      </c>
      <c r="O669">
        <f t="shared" si="318"/>
        <v>728</v>
      </c>
      <c r="P669" s="7">
        <f t="shared" si="306"/>
        <v>14.512471655328795</v>
      </c>
      <c r="Q669">
        <f>ROUNDUP(몬스터!$P$13/F669, 0)</f>
        <v>10</v>
      </c>
      <c r="R669" s="6">
        <f t="shared" si="319"/>
        <v>13.605442176870746</v>
      </c>
      <c r="S669" s="7">
        <f>B669/몬스터!$C$13*R669</f>
        <v>230.88023088023081</v>
      </c>
      <c r="T669" s="7">
        <f t="shared" ref="T669" si="320">SUM(S665:S669)</f>
        <v>1136.1833627407659</v>
      </c>
      <c r="U669">
        <f>ROUNDDOWN(R669*몬스터!$H$13, 0)*몬스터!$G$13*(1+몬스터!$I$13)</f>
        <v>502.60499999999996</v>
      </c>
      <c r="V669" s="2">
        <f t="shared" si="307"/>
        <v>0.6903914835164835</v>
      </c>
    </row>
    <row r="670" spans="1:22" x14ac:dyDescent="0.4">
      <c r="A670">
        <v>36</v>
      </c>
      <c r="B670" s="4">
        <f>170*A670</f>
        <v>6120</v>
      </c>
      <c r="C670">
        <f t="shared" si="312"/>
        <v>575</v>
      </c>
      <c r="D670">
        <f t="shared" si="313"/>
        <v>30</v>
      </c>
      <c r="E670" s="2">
        <v>0</v>
      </c>
      <c r="F670">
        <f t="shared" si="314"/>
        <v>67</v>
      </c>
      <c r="G670">
        <f t="shared" si="315"/>
        <v>0.7370000000000001</v>
      </c>
      <c r="H670" s="3">
        <f t="shared" si="305"/>
        <v>0.05</v>
      </c>
      <c r="I670" s="2">
        <v>2</v>
      </c>
      <c r="J670" s="2">
        <v>0</v>
      </c>
      <c r="K670" s="2">
        <v>1</v>
      </c>
      <c r="L670" s="16">
        <v>1</v>
      </c>
      <c r="M670" s="5">
        <f t="shared" si="316"/>
        <v>650</v>
      </c>
      <c r="N670" s="6">
        <f t="shared" si="317"/>
        <v>51.847950000000004</v>
      </c>
      <c r="O670">
        <f t="shared" si="318"/>
        <v>747.5</v>
      </c>
      <c r="P670" s="7">
        <f t="shared" si="306"/>
        <v>14.417156319584477</v>
      </c>
      <c r="Q670">
        <f>ROUNDUP(몬스터!$P$14/F670, 0)</f>
        <v>10</v>
      </c>
      <c r="R670" s="6">
        <f t="shared" si="319"/>
        <v>13.568521031207597</v>
      </c>
      <c r="S670" s="7">
        <f>B670/몬스터!$C$14*R670</f>
        <v>218.52460187102761</v>
      </c>
      <c r="U670">
        <f>ROUNDDOWN(R670*몬스터!$H$14, 0)*몬스터!$G$14*(1+몬스터!$I$14)</f>
        <v>575.505</v>
      </c>
      <c r="V670" s="2">
        <f t="shared" si="307"/>
        <v>0.76990635451505018</v>
      </c>
    </row>
    <row r="671" spans="1:22" x14ac:dyDescent="0.4">
      <c r="A671">
        <v>37</v>
      </c>
      <c r="B671" s="4">
        <f>170*A671</f>
        <v>6290</v>
      </c>
      <c r="C671">
        <f t="shared" si="312"/>
        <v>585</v>
      </c>
      <c r="D671">
        <f t="shared" si="313"/>
        <v>31</v>
      </c>
      <c r="E671" s="2">
        <v>0</v>
      </c>
      <c r="F671">
        <f t="shared" si="314"/>
        <v>68</v>
      </c>
      <c r="G671">
        <f t="shared" si="315"/>
        <v>0.73899999999999999</v>
      </c>
      <c r="H671" s="3">
        <f t="shared" si="305"/>
        <v>0.05</v>
      </c>
      <c r="I671" s="2">
        <v>2</v>
      </c>
      <c r="J671" s="2">
        <v>0</v>
      </c>
      <c r="K671" s="2">
        <v>1</v>
      </c>
      <c r="L671" s="16">
        <v>1</v>
      </c>
      <c r="M671" s="5">
        <f t="shared" si="316"/>
        <v>660</v>
      </c>
      <c r="N671" s="6">
        <f t="shared" si="317"/>
        <v>52.764600000000002</v>
      </c>
      <c r="O671">
        <f t="shared" si="318"/>
        <v>766.35</v>
      </c>
      <c r="P671" s="7">
        <f t="shared" si="306"/>
        <v>14.523942188512754</v>
      </c>
      <c r="Q671">
        <f>ROUNDUP(몬스터!$P$14/F671, 0)</f>
        <v>10</v>
      </c>
      <c r="R671" s="6">
        <f t="shared" si="319"/>
        <v>13.531799729364005</v>
      </c>
      <c r="S671" s="7">
        <f>B671/몬스터!$C$14*R671</f>
        <v>223.9868955202621</v>
      </c>
      <c r="U671">
        <f>ROUNDDOWN(R671*몬스터!$H$14, 0)*몬스터!$G$14*(1+몬스터!$I$14)</f>
        <v>575.505</v>
      </c>
      <c r="V671" s="2">
        <f t="shared" si="307"/>
        <v>0.75096887844979443</v>
      </c>
    </row>
    <row r="672" spans="1:22" x14ac:dyDescent="0.4">
      <c r="A672">
        <v>38</v>
      </c>
      <c r="B672" s="4">
        <f>170*A672</f>
        <v>6460</v>
      </c>
      <c r="C672">
        <f t="shared" si="312"/>
        <v>595</v>
      </c>
      <c r="D672">
        <f t="shared" si="313"/>
        <v>31</v>
      </c>
      <c r="E672" s="2">
        <v>0</v>
      </c>
      <c r="F672">
        <f t="shared" si="314"/>
        <v>69</v>
      </c>
      <c r="G672">
        <f t="shared" si="315"/>
        <v>0.74099999999999999</v>
      </c>
      <c r="H672" s="3">
        <f t="shared" si="305"/>
        <v>0.05</v>
      </c>
      <c r="I672" s="2">
        <v>2</v>
      </c>
      <c r="J672" s="2">
        <v>0</v>
      </c>
      <c r="K672" s="2">
        <v>1</v>
      </c>
      <c r="L672" s="16">
        <v>1</v>
      </c>
      <c r="M672" s="5">
        <f t="shared" si="316"/>
        <v>670</v>
      </c>
      <c r="N672" s="6">
        <f t="shared" si="317"/>
        <v>53.685450000000003</v>
      </c>
      <c r="O672">
        <f t="shared" si="318"/>
        <v>779.45</v>
      </c>
      <c r="P672" s="7">
        <f t="shared" si="306"/>
        <v>14.518831452469897</v>
      </c>
      <c r="Q672">
        <f>ROUNDUP(몬스터!$P$14/F672, 0)</f>
        <v>10</v>
      </c>
      <c r="R672" s="6">
        <f t="shared" si="319"/>
        <v>13.495276653171389</v>
      </c>
      <c r="S672" s="7">
        <f>B672/몬스터!$C$14*R672</f>
        <v>229.41970310391363</v>
      </c>
      <c r="U672">
        <f>ROUNDDOWN(R672*몬스터!$H$14, 0)*몬스터!$G$14*(1+몬스터!$I$14)</f>
        <v>575.505</v>
      </c>
      <c r="V672" s="2">
        <f t="shared" si="307"/>
        <v>0.73834755276156261</v>
      </c>
    </row>
    <row r="673" spans="1:22" x14ac:dyDescent="0.4">
      <c r="A673">
        <v>39</v>
      </c>
      <c r="B673" s="4">
        <f>170*A673</f>
        <v>6630</v>
      </c>
      <c r="C673">
        <f t="shared" si="312"/>
        <v>610</v>
      </c>
      <c r="D673">
        <f t="shared" si="313"/>
        <v>31</v>
      </c>
      <c r="E673" s="2">
        <v>0</v>
      </c>
      <c r="F673">
        <f t="shared" si="314"/>
        <v>71</v>
      </c>
      <c r="G673">
        <f t="shared" si="315"/>
        <v>0.74299999999999999</v>
      </c>
      <c r="H673" s="3">
        <f t="shared" si="305"/>
        <v>0.05</v>
      </c>
      <c r="I673" s="2">
        <v>2</v>
      </c>
      <c r="J673" s="2">
        <v>0</v>
      </c>
      <c r="K673" s="2">
        <v>1</v>
      </c>
      <c r="L673" s="16">
        <v>1</v>
      </c>
      <c r="M673" s="5">
        <f t="shared" si="316"/>
        <v>680</v>
      </c>
      <c r="N673" s="6">
        <f t="shared" si="317"/>
        <v>55.390650000000001</v>
      </c>
      <c r="O673">
        <f t="shared" si="318"/>
        <v>799.1</v>
      </c>
      <c r="P673" s="7">
        <f t="shared" si="306"/>
        <v>14.426622543696455</v>
      </c>
      <c r="Q673">
        <f>ROUNDUP(몬스터!$P$14/F673, 0)</f>
        <v>10</v>
      </c>
      <c r="R673" s="6">
        <f t="shared" si="319"/>
        <v>13.458950201884253</v>
      </c>
      <c r="S673" s="7">
        <f>B673/몬스터!$C$14*R673</f>
        <v>234.82326273287524</v>
      </c>
      <c r="U673">
        <f>ROUNDDOWN(R673*몬스터!$H$14, 0)*몬스터!$G$14*(1+몬스터!$I$14)</f>
        <v>575.505</v>
      </c>
      <c r="V673" s="2">
        <f t="shared" si="307"/>
        <v>0.72019146539857337</v>
      </c>
    </row>
    <row r="674" spans="1:22" x14ac:dyDescent="0.4">
      <c r="A674">
        <v>40</v>
      </c>
      <c r="B674" s="4">
        <f>170*A674</f>
        <v>6800</v>
      </c>
      <c r="C674">
        <f t="shared" si="312"/>
        <v>620</v>
      </c>
      <c r="D674">
        <f t="shared" si="313"/>
        <v>32</v>
      </c>
      <c r="E674" s="2">
        <v>0</v>
      </c>
      <c r="F674">
        <f t="shared" si="314"/>
        <v>72</v>
      </c>
      <c r="G674">
        <f t="shared" si="315"/>
        <v>0.745</v>
      </c>
      <c r="H674" s="3">
        <f t="shared" si="305"/>
        <v>0.05</v>
      </c>
      <c r="I674" s="2">
        <v>2</v>
      </c>
      <c r="J674" s="2">
        <v>0</v>
      </c>
      <c r="K674" s="2">
        <v>1</v>
      </c>
      <c r="L674" s="16">
        <v>1</v>
      </c>
      <c r="M674" s="5">
        <f t="shared" si="316"/>
        <v>690</v>
      </c>
      <c r="N674" s="6">
        <f t="shared" si="317"/>
        <v>56.322000000000003</v>
      </c>
      <c r="O674">
        <f t="shared" si="318"/>
        <v>818.40000000000009</v>
      </c>
      <c r="P674" s="7">
        <f t="shared" si="306"/>
        <v>14.530733993821244</v>
      </c>
      <c r="Q674">
        <f>ROUNDUP(몬스터!$P$14/F674, 0)</f>
        <v>10</v>
      </c>
      <c r="R674" s="6">
        <f t="shared" si="319"/>
        <v>13.422818791946309</v>
      </c>
      <c r="S674" s="7">
        <f>B674/몬스터!$C$14*R674</f>
        <v>240.19780996114449</v>
      </c>
      <c r="T674" s="7">
        <f t="shared" ref="T674" si="321">SUM(S670:S674)</f>
        <v>1146.9522731892232</v>
      </c>
      <c r="U674">
        <f>ROUNDDOWN(R674*몬스터!$H$14, 0)*몬스터!$G$14*(1+몬스터!$I$14)</f>
        <v>575.505</v>
      </c>
      <c r="V674" s="2">
        <f t="shared" si="307"/>
        <v>0.70320747800586503</v>
      </c>
    </row>
    <row r="675" spans="1:22" x14ac:dyDescent="0.4">
      <c r="A675">
        <v>41</v>
      </c>
      <c r="B675" s="4">
        <f>160*A675</f>
        <v>6560</v>
      </c>
      <c r="C675">
        <f t="shared" si="312"/>
        <v>630</v>
      </c>
      <c r="D675">
        <f t="shared" si="313"/>
        <v>32</v>
      </c>
      <c r="E675" s="2">
        <v>0</v>
      </c>
      <c r="F675">
        <f t="shared" si="314"/>
        <v>73</v>
      </c>
      <c r="G675">
        <f t="shared" si="315"/>
        <v>0.747</v>
      </c>
      <c r="H675" s="3">
        <f t="shared" si="305"/>
        <v>0.05</v>
      </c>
      <c r="I675" s="2">
        <v>2</v>
      </c>
      <c r="J675" s="2">
        <v>0</v>
      </c>
      <c r="K675" s="2">
        <v>1</v>
      </c>
      <c r="L675" s="16">
        <v>1</v>
      </c>
      <c r="M675" s="5">
        <f t="shared" si="316"/>
        <v>700</v>
      </c>
      <c r="N675" s="6">
        <f t="shared" si="317"/>
        <v>57.257550000000002</v>
      </c>
      <c r="O675">
        <f t="shared" si="318"/>
        <v>831.6</v>
      </c>
      <c r="P675" s="7">
        <f t="shared" si="306"/>
        <v>14.523848819937283</v>
      </c>
      <c r="Q675">
        <f>ROUNDUP(몬스터!$P$17/F675, 0)</f>
        <v>12</v>
      </c>
      <c r="R675" s="6">
        <f t="shared" si="319"/>
        <v>16.064257028112451</v>
      </c>
      <c r="S675" s="7">
        <f>B675/몬스터!$C$17*R675</f>
        <v>245.07331652190157</v>
      </c>
      <c r="U675">
        <f>ROUNDDOWN(R675*몬스터!$H$17, 0)*몬스터!$G$17*(1+몬스터!$I$17)</f>
        <v>805.86000000000013</v>
      </c>
      <c r="V675" s="2">
        <f t="shared" si="307"/>
        <v>0.96904761904761916</v>
      </c>
    </row>
    <row r="676" spans="1:22" x14ac:dyDescent="0.4">
      <c r="A676">
        <v>42</v>
      </c>
      <c r="B676" s="4">
        <f>160*A676</f>
        <v>6720</v>
      </c>
      <c r="C676">
        <f t="shared" si="312"/>
        <v>645</v>
      </c>
      <c r="D676">
        <f t="shared" si="313"/>
        <v>32</v>
      </c>
      <c r="E676" s="2">
        <v>0</v>
      </c>
      <c r="F676">
        <f t="shared" si="314"/>
        <v>75</v>
      </c>
      <c r="G676">
        <f t="shared" si="315"/>
        <v>0.749</v>
      </c>
      <c r="H676" s="3">
        <f t="shared" si="305"/>
        <v>0.05</v>
      </c>
      <c r="I676" s="2">
        <v>2</v>
      </c>
      <c r="J676" s="2">
        <v>0</v>
      </c>
      <c r="K676" s="2">
        <v>1</v>
      </c>
      <c r="L676" s="16">
        <v>1</v>
      </c>
      <c r="M676" s="5">
        <f t="shared" si="316"/>
        <v>710</v>
      </c>
      <c r="N676" s="6">
        <f t="shared" si="317"/>
        <v>58.983750000000001</v>
      </c>
      <c r="O676">
        <f t="shared" si="318"/>
        <v>851.40000000000009</v>
      </c>
      <c r="P676" s="7">
        <f t="shared" si="306"/>
        <v>14.434484074003434</v>
      </c>
      <c r="Q676">
        <f>ROUNDUP(몬스터!$P$17/F676, 0)</f>
        <v>12</v>
      </c>
      <c r="R676" s="6">
        <f t="shared" si="319"/>
        <v>16.021361815754339</v>
      </c>
      <c r="S676" s="7">
        <f>B676/몬스터!$C$17*R676</f>
        <v>250.38035209737012</v>
      </c>
      <c r="U676">
        <f>ROUNDDOWN(R676*몬스터!$H$17, 0)*몬스터!$G$17*(1+몬스터!$I$17)</f>
        <v>805.86000000000013</v>
      </c>
      <c r="V676" s="2">
        <f t="shared" si="307"/>
        <v>0.94651162790697674</v>
      </c>
    </row>
    <row r="677" spans="1:22" x14ac:dyDescent="0.4">
      <c r="A677">
        <v>43</v>
      </c>
      <c r="B677" s="4">
        <f>160*A677</f>
        <v>6880</v>
      </c>
      <c r="C677">
        <f t="shared" si="312"/>
        <v>655</v>
      </c>
      <c r="D677">
        <f t="shared" si="313"/>
        <v>32</v>
      </c>
      <c r="E677" s="2">
        <v>0</v>
      </c>
      <c r="F677">
        <f t="shared" si="314"/>
        <v>76</v>
      </c>
      <c r="G677">
        <f t="shared" si="315"/>
        <v>0.751</v>
      </c>
      <c r="H677" s="3">
        <f t="shared" si="305"/>
        <v>0.05</v>
      </c>
      <c r="I677" s="2">
        <v>2</v>
      </c>
      <c r="J677" s="2">
        <v>0</v>
      </c>
      <c r="K677" s="2">
        <v>1</v>
      </c>
      <c r="L677" s="16">
        <v>1</v>
      </c>
      <c r="M677" s="5">
        <f t="shared" si="316"/>
        <v>720</v>
      </c>
      <c r="N677" s="6">
        <f t="shared" si="317"/>
        <v>59.9298</v>
      </c>
      <c r="O677">
        <f t="shared" si="318"/>
        <v>864.6</v>
      </c>
      <c r="P677" s="7">
        <f t="shared" si="306"/>
        <v>14.426879448955278</v>
      </c>
      <c r="Q677">
        <f>ROUNDUP(몬스터!$P$17/F677, 0)</f>
        <v>11</v>
      </c>
      <c r="R677" s="6">
        <f t="shared" si="319"/>
        <v>14.647137150466046</v>
      </c>
      <c r="S677" s="7">
        <f>B677/몬스터!$C$17*R677</f>
        <v>234.35419440745673</v>
      </c>
      <c r="U677">
        <f>ROUNDDOWN(R677*몬스터!$H$17, 0)*몬스터!$G$17*(1+몬스터!$I$17)</f>
        <v>732.6</v>
      </c>
      <c r="V677" s="2">
        <f t="shared" si="307"/>
        <v>0.84732824427480913</v>
      </c>
    </row>
    <row r="678" spans="1:22" x14ac:dyDescent="0.4">
      <c r="A678">
        <v>44</v>
      </c>
      <c r="B678" s="4">
        <f>160*A678</f>
        <v>7040</v>
      </c>
      <c r="C678">
        <f t="shared" si="312"/>
        <v>665</v>
      </c>
      <c r="D678">
        <f t="shared" si="313"/>
        <v>33</v>
      </c>
      <c r="E678" s="2">
        <v>0</v>
      </c>
      <c r="F678">
        <f t="shared" si="314"/>
        <v>77</v>
      </c>
      <c r="G678">
        <f t="shared" si="315"/>
        <v>0.753</v>
      </c>
      <c r="H678" s="3">
        <f t="shared" si="305"/>
        <v>0.05</v>
      </c>
      <c r="I678" s="2">
        <v>2</v>
      </c>
      <c r="J678" s="2">
        <v>0</v>
      </c>
      <c r="K678" s="2">
        <v>1</v>
      </c>
      <c r="L678" s="16">
        <v>1</v>
      </c>
      <c r="M678" s="5">
        <f t="shared" si="316"/>
        <v>730</v>
      </c>
      <c r="N678" s="6">
        <f t="shared" si="317"/>
        <v>60.880050000000004</v>
      </c>
      <c r="O678">
        <f t="shared" si="318"/>
        <v>884.45</v>
      </c>
      <c r="P678" s="7">
        <f t="shared" si="306"/>
        <v>14.527747595476679</v>
      </c>
      <c r="Q678">
        <f>ROUNDUP(몬스터!$P$17/F678, 0)</f>
        <v>11</v>
      </c>
      <c r="R678" s="6">
        <f t="shared" si="319"/>
        <v>14.608233731739707</v>
      </c>
      <c r="S678" s="7">
        <f>B678/몬스터!$C$17*R678</f>
        <v>239.16736156150591</v>
      </c>
      <c r="U678">
        <f>ROUNDDOWN(R678*몬스터!$H$17, 0)*몬스터!$G$17*(1+몬스터!$I$17)</f>
        <v>732.6</v>
      </c>
      <c r="V678" s="2">
        <f t="shared" si="307"/>
        <v>0.82831137995364346</v>
      </c>
    </row>
    <row r="679" spans="1:22" x14ac:dyDescent="0.4">
      <c r="A679">
        <v>45</v>
      </c>
      <c r="B679" s="4">
        <f>160*A679</f>
        <v>7200</v>
      </c>
      <c r="C679">
        <f t="shared" si="312"/>
        <v>675</v>
      </c>
      <c r="D679">
        <f t="shared" si="313"/>
        <v>33</v>
      </c>
      <c r="E679" s="2">
        <v>0</v>
      </c>
      <c r="F679">
        <f t="shared" si="314"/>
        <v>79</v>
      </c>
      <c r="G679">
        <f t="shared" si="315"/>
        <v>0.755</v>
      </c>
      <c r="H679" s="3">
        <f t="shared" si="305"/>
        <v>0.05</v>
      </c>
      <c r="I679" s="2">
        <v>2</v>
      </c>
      <c r="J679" s="2">
        <v>0</v>
      </c>
      <c r="K679" s="2">
        <v>1</v>
      </c>
      <c r="L679" s="16">
        <v>1</v>
      </c>
      <c r="M679" s="5">
        <f t="shared" si="316"/>
        <v>740</v>
      </c>
      <c r="N679" s="6">
        <f t="shared" si="317"/>
        <v>62.627250000000004</v>
      </c>
      <c r="O679">
        <f t="shared" si="318"/>
        <v>897.75</v>
      </c>
      <c r="P679" s="7">
        <f t="shared" si="306"/>
        <v>14.334814318048453</v>
      </c>
      <c r="Q679">
        <f>ROUNDUP(몬스터!$P$17/F679, 0)</f>
        <v>11</v>
      </c>
      <c r="R679" s="6">
        <f t="shared" si="319"/>
        <v>14.569536423841059</v>
      </c>
      <c r="S679" s="7">
        <f>B679/몬스터!$C$17*R679</f>
        <v>243.9550284922224</v>
      </c>
      <c r="T679" s="7">
        <f t="shared" ref="T679" si="322">SUM(S675:S679)</f>
        <v>1212.9302530804569</v>
      </c>
      <c r="U679">
        <f>ROUNDDOWN(R679*몬스터!$H$17, 0)*몬스터!$G$17*(1+몬스터!$I$17)</f>
        <v>732.6</v>
      </c>
      <c r="V679" s="2">
        <f t="shared" si="307"/>
        <v>0.81604010025062657</v>
      </c>
    </row>
    <row r="680" spans="1:22" x14ac:dyDescent="0.4">
      <c r="A680">
        <v>46</v>
      </c>
      <c r="B680" s="4">
        <f>170*A680-620</f>
        <v>7200</v>
      </c>
      <c r="C680">
        <f t="shared" si="312"/>
        <v>690</v>
      </c>
      <c r="D680">
        <f t="shared" si="313"/>
        <v>33</v>
      </c>
      <c r="E680" s="2">
        <v>0</v>
      </c>
      <c r="F680">
        <f t="shared" si="314"/>
        <v>80</v>
      </c>
      <c r="G680">
        <f t="shared" si="315"/>
        <v>0.75700000000000001</v>
      </c>
      <c r="H680" s="3">
        <f t="shared" si="305"/>
        <v>0.05</v>
      </c>
      <c r="I680" s="2">
        <v>2</v>
      </c>
      <c r="J680" s="2">
        <v>0</v>
      </c>
      <c r="K680" s="2">
        <v>1</v>
      </c>
      <c r="L680" s="16">
        <v>1</v>
      </c>
      <c r="M680" s="5">
        <f t="shared" si="316"/>
        <v>750</v>
      </c>
      <c r="N680" s="6">
        <f t="shared" si="317"/>
        <v>63.588000000000008</v>
      </c>
      <c r="O680">
        <f t="shared" si="318"/>
        <v>917.7</v>
      </c>
      <c r="P680" s="7">
        <f t="shared" si="306"/>
        <v>14.431968295904886</v>
      </c>
      <c r="Q680">
        <f>ROUNDUP(몬스터!$P$18/F680, 0)</f>
        <v>12</v>
      </c>
      <c r="R680" s="6">
        <f t="shared" si="319"/>
        <v>15.852047556142669</v>
      </c>
      <c r="S680" s="7">
        <f>B680/몬스터!$C$18*R680</f>
        <v>237.78071334214002</v>
      </c>
      <c r="U680">
        <f>ROUNDDOWN(R680*몬스터!$H$18, 0)*몬스터!$G$18*(1+몬스터!$I$18)</f>
        <v>897.35249999999996</v>
      </c>
      <c r="V680" s="2">
        <f t="shared" si="307"/>
        <v>0.97782772147760699</v>
      </c>
    </row>
    <row r="681" spans="1:22" x14ac:dyDescent="0.4">
      <c r="A681">
        <v>47</v>
      </c>
      <c r="B681" s="4">
        <f>170*A681</f>
        <v>7990</v>
      </c>
      <c r="C681">
        <f t="shared" si="312"/>
        <v>700</v>
      </c>
      <c r="D681">
        <f t="shared" si="313"/>
        <v>34</v>
      </c>
      <c r="E681" s="2">
        <v>0</v>
      </c>
      <c r="F681">
        <f t="shared" si="314"/>
        <v>81</v>
      </c>
      <c r="G681">
        <f t="shared" si="315"/>
        <v>0.75900000000000001</v>
      </c>
      <c r="H681" s="3">
        <f t="shared" si="305"/>
        <v>0.05</v>
      </c>
      <c r="I681" s="2">
        <v>2</v>
      </c>
      <c r="J681" s="2">
        <v>0</v>
      </c>
      <c r="K681" s="2">
        <v>1</v>
      </c>
      <c r="L681" s="16">
        <v>1</v>
      </c>
      <c r="M681" s="5">
        <f t="shared" si="316"/>
        <v>760</v>
      </c>
      <c r="N681" s="6">
        <f t="shared" si="317"/>
        <v>64.552949999999996</v>
      </c>
      <c r="O681">
        <f t="shared" si="318"/>
        <v>938</v>
      </c>
      <c r="P681" s="7">
        <f t="shared" si="306"/>
        <v>14.53070696226896</v>
      </c>
      <c r="Q681">
        <f>ROUNDUP(몬스터!$P$18/F681, 0)</f>
        <v>12</v>
      </c>
      <c r="R681" s="6">
        <f t="shared" si="319"/>
        <v>15.810276679841897</v>
      </c>
      <c r="S681" s="7">
        <f>B681/몬스터!$C$18*R681</f>
        <v>263.17523056653488</v>
      </c>
      <c r="U681">
        <f>ROUNDDOWN(R681*몬스터!$H$18, 0)*몬스터!$G$18*(1+몬스터!$I$18)</f>
        <v>897.35249999999996</v>
      </c>
      <c r="V681" s="2">
        <f t="shared" si="307"/>
        <v>0.95666577825159915</v>
      </c>
    </row>
    <row r="682" spans="1:22" x14ac:dyDescent="0.4">
      <c r="A682">
        <v>48</v>
      </c>
      <c r="B682" s="4">
        <f>170*A682</f>
        <v>8160</v>
      </c>
      <c r="C682">
        <f t="shared" si="312"/>
        <v>710</v>
      </c>
      <c r="D682">
        <f t="shared" si="313"/>
        <v>34</v>
      </c>
      <c r="E682" s="2">
        <v>0</v>
      </c>
      <c r="F682">
        <f t="shared" si="314"/>
        <v>83</v>
      </c>
      <c r="G682">
        <f t="shared" si="315"/>
        <v>0.76100000000000001</v>
      </c>
      <c r="H682" s="3">
        <f t="shared" si="305"/>
        <v>0.05</v>
      </c>
      <c r="I682" s="2">
        <v>2</v>
      </c>
      <c r="J682" s="2">
        <v>0</v>
      </c>
      <c r="K682" s="2">
        <v>1</v>
      </c>
      <c r="L682" s="16">
        <v>1</v>
      </c>
      <c r="M682" s="5">
        <f t="shared" si="316"/>
        <v>770</v>
      </c>
      <c r="N682" s="6">
        <f t="shared" si="317"/>
        <v>66.321150000000003</v>
      </c>
      <c r="O682">
        <f t="shared" si="318"/>
        <v>951.40000000000009</v>
      </c>
      <c r="P682" s="7">
        <f t="shared" si="306"/>
        <v>14.34534835418264</v>
      </c>
      <c r="Q682">
        <f>ROUNDUP(몬스터!$P$18/F682, 0)</f>
        <v>12</v>
      </c>
      <c r="R682" s="6">
        <f t="shared" si="319"/>
        <v>15.768725361366622</v>
      </c>
      <c r="S682" s="7">
        <f>B682/몬스터!$C$18*R682</f>
        <v>268.06833114323257</v>
      </c>
      <c r="U682">
        <f>ROUNDDOWN(R682*몬스터!$H$18, 0)*몬스터!$G$18*(1+몬스터!$I$18)</f>
        <v>897.35249999999996</v>
      </c>
      <c r="V682" s="2">
        <f t="shared" si="307"/>
        <v>0.94319161236073146</v>
      </c>
    </row>
    <row r="683" spans="1:22" x14ac:dyDescent="0.4">
      <c r="A683">
        <v>49</v>
      </c>
      <c r="B683" s="4">
        <f>170*A683</f>
        <v>8330</v>
      </c>
      <c r="C683">
        <f t="shared" si="312"/>
        <v>725</v>
      </c>
      <c r="D683">
        <f t="shared" si="313"/>
        <v>34</v>
      </c>
      <c r="E683" s="2">
        <v>0</v>
      </c>
      <c r="F683">
        <f t="shared" si="314"/>
        <v>84</v>
      </c>
      <c r="G683">
        <f t="shared" si="315"/>
        <v>0.76300000000000001</v>
      </c>
      <c r="H683" s="3">
        <f t="shared" si="305"/>
        <v>0.05</v>
      </c>
      <c r="I683" s="2">
        <v>2</v>
      </c>
      <c r="J683" s="2">
        <v>0</v>
      </c>
      <c r="K683" s="2">
        <v>1</v>
      </c>
      <c r="L683" s="16">
        <v>1</v>
      </c>
      <c r="M683" s="5">
        <f t="shared" si="316"/>
        <v>780</v>
      </c>
      <c r="N683" s="6">
        <f t="shared" si="317"/>
        <v>67.296599999999998</v>
      </c>
      <c r="O683">
        <f t="shared" si="318"/>
        <v>971.50000000000011</v>
      </c>
      <c r="P683" s="7">
        <f t="shared" si="306"/>
        <v>14.436093353899011</v>
      </c>
      <c r="Q683">
        <f>ROUNDUP(몬스터!$P$18/F683, 0)</f>
        <v>12</v>
      </c>
      <c r="R683" s="6">
        <f t="shared" si="319"/>
        <v>15.727391874180865</v>
      </c>
      <c r="S683" s="7">
        <f>B683/몬스터!$C$18*R683</f>
        <v>272.93577981651379</v>
      </c>
      <c r="U683">
        <f>ROUNDDOWN(R683*몬스터!$H$18, 0)*몬스터!$G$18*(1+몬스터!$I$18)</f>
        <v>897.35249999999996</v>
      </c>
      <c r="V683" s="2">
        <f t="shared" si="307"/>
        <v>0.92367730313947494</v>
      </c>
    </row>
    <row r="684" spans="1:22" x14ac:dyDescent="0.4">
      <c r="A684">
        <v>50</v>
      </c>
      <c r="B684" s="4">
        <f>170*A684</f>
        <v>8500</v>
      </c>
      <c r="C684">
        <f t="shared" si="312"/>
        <v>735</v>
      </c>
      <c r="D684">
        <f t="shared" si="313"/>
        <v>35</v>
      </c>
      <c r="E684" s="2">
        <v>0</v>
      </c>
      <c r="F684">
        <f t="shared" si="314"/>
        <v>85</v>
      </c>
      <c r="G684">
        <f t="shared" si="315"/>
        <v>0.76500000000000001</v>
      </c>
      <c r="H684" s="3">
        <f t="shared" si="305"/>
        <v>0.05</v>
      </c>
      <c r="I684" s="2">
        <v>2</v>
      </c>
      <c r="J684" s="2">
        <v>0</v>
      </c>
      <c r="K684" s="2">
        <v>1</v>
      </c>
      <c r="L684" s="16">
        <v>1</v>
      </c>
      <c r="M684" s="5">
        <f t="shared" si="316"/>
        <v>790</v>
      </c>
      <c r="N684" s="6">
        <f t="shared" si="317"/>
        <v>68.276250000000005</v>
      </c>
      <c r="O684">
        <f t="shared" si="318"/>
        <v>992.25000000000011</v>
      </c>
      <c r="P684" s="7">
        <f t="shared" si="306"/>
        <v>14.53287197231834</v>
      </c>
      <c r="Q684">
        <f>ROUNDUP(몬스터!$P$18/F684, 0)</f>
        <v>12</v>
      </c>
      <c r="R684" s="6">
        <f t="shared" si="319"/>
        <v>15.686274509803921</v>
      </c>
      <c r="S684" s="7">
        <f>B684/몬스터!$C$18*R684</f>
        <v>277.77777777777777</v>
      </c>
      <c r="T684" s="7">
        <f t="shared" ref="T684" si="323">SUM(S680:S684)</f>
        <v>1319.737832646199</v>
      </c>
      <c r="U684">
        <f>ROUNDDOWN(R684*몬스터!$H$18, 0)*몬스터!$G$18*(1+몬스터!$I$18)</f>
        <v>897.35249999999996</v>
      </c>
      <c r="V684" s="2">
        <f t="shared" si="307"/>
        <v>0.90436130007558568</v>
      </c>
    </row>
    <row r="685" spans="1:22" x14ac:dyDescent="0.4">
      <c r="A685">
        <v>51</v>
      </c>
      <c r="B685" s="4">
        <f>160*A685</f>
        <v>8160</v>
      </c>
      <c r="C685">
        <f t="shared" si="312"/>
        <v>745</v>
      </c>
      <c r="D685">
        <f t="shared" si="313"/>
        <v>35</v>
      </c>
      <c r="E685" s="2">
        <v>0</v>
      </c>
      <c r="F685">
        <f t="shared" si="314"/>
        <v>87</v>
      </c>
      <c r="G685">
        <f t="shared" si="315"/>
        <v>0.76700000000000002</v>
      </c>
      <c r="H685" s="3">
        <f t="shared" si="305"/>
        <v>0.05</v>
      </c>
      <c r="I685" s="2">
        <v>2</v>
      </c>
      <c r="J685" s="2">
        <v>0</v>
      </c>
      <c r="K685" s="2">
        <v>1</v>
      </c>
      <c r="L685" s="16">
        <v>1</v>
      </c>
      <c r="M685" s="5">
        <f t="shared" si="316"/>
        <v>800</v>
      </c>
      <c r="N685" s="6">
        <f t="shared" si="317"/>
        <v>70.065449999999998</v>
      </c>
      <c r="O685">
        <f t="shared" si="318"/>
        <v>1005.7500000000001</v>
      </c>
      <c r="P685" s="7">
        <f t="shared" si="306"/>
        <v>14.354435745435163</v>
      </c>
      <c r="Q685">
        <f>ROUNDUP(몬스터!$P$19/F685, 0)</f>
        <v>13</v>
      </c>
      <c r="R685" s="6">
        <f t="shared" si="319"/>
        <v>16.949152542372882</v>
      </c>
      <c r="S685" s="7">
        <f>B685/몬스터!$C$19*R685</f>
        <v>260.95299008634476</v>
      </c>
      <c r="U685">
        <f>ROUNDDOWN(R685*몬스터!$H$19, 0)*몬스터!$G$19*(1+몬스터!$I$19)</f>
        <v>1093.5</v>
      </c>
      <c r="V685" s="2">
        <f t="shared" si="307"/>
        <v>1.087248322147651</v>
      </c>
    </row>
    <row r="686" spans="1:22" x14ac:dyDescent="0.4">
      <c r="A686">
        <v>52</v>
      </c>
      <c r="B686" s="4">
        <f>160*A686</f>
        <v>8320</v>
      </c>
      <c r="C686">
        <f t="shared" si="312"/>
        <v>760</v>
      </c>
      <c r="D686">
        <f t="shared" si="313"/>
        <v>35</v>
      </c>
      <c r="E686" s="2">
        <v>0</v>
      </c>
      <c r="F686">
        <f t="shared" si="314"/>
        <v>88</v>
      </c>
      <c r="G686">
        <f t="shared" si="315"/>
        <v>0.76900000000000002</v>
      </c>
      <c r="H686" s="3">
        <f t="shared" si="305"/>
        <v>0.05</v>
      </c>
      <c r="I686" s="2">
        <v>2</v>
      </c>
      <c r="J686" s="2">
        <v>0</v>
      </c>
      <c r="K686" s="2">
        <v>1</v>
      </c>
      <c r="L686" s="16">
        <v>1</v>
      </c>
      <c r="M686" s="5">
        <f t="shared" si="316"/>
        <v>810</v>
      </c>
      <c r="N686" s="6">
        <f t="shared" si="317"/>
        <v>71.055599999999998</v>
      </c>
      <c r="O686">
        <f t="shared" si="318"/>
        <v>1026</v>
      </c>
      <c r="P686" s="7">
        <f t="shared" si="306"/>
        <v>14.439396754091163</v>
      </c>
      <c r="Q686">
        <f>ROUNDUP(몬스터!$P$19/F686, 0)</f>
        <v>13</v>
      </c>
      <c r="R686" s="6">
        <f t="shared" si="319"/>
        <v>16.905071521456435</v>
      </c>
      <c r="S686" s="7">
        <f>B686/몬스터!$C$19*R686</f>
        <v>265.37772652550478</v>
      </c>
      <c r="U686">
        <f>ROUNDDOWN(R686*몬스터!$H$19, 0)*몬스터!$G$19*(1+몬스터!$I$19)</f>
        <v>1093.5</v>
      </c>
      <c r="V686" s="2">
        <f t="shared" si="307"/>
        <v>1.0657894736842106</v>
      </c>
    </row>
    <row r="687" spans="1:22" x14ac:dyDescent="0.4">
      <c r="A687">
        <v>53</v>
      </c>
      <c r="B687" s="4">
        <f>160*A687</f>
        <v>8480</v>
      </c>
      <c r="C687">
        <f t="shared" si="312"/>
        <v>770</v>
      </c>
      <c r="D687">
        <f t="shared" si="313"/>
        <v>35</v>
      </c>
      <c r="E687" s="2">
        <v>0</v>
      </c>
      <c r="F687">
        <f t="shared" si="314"/>
        <v>89</v>
      </c>
      <c r="G687">
        <f t="shared" si="315"/>
        <v>0.77100000000000002</v>
      </c>
      <c r="H687" s="3">
        <f t="shared" si="305"/>
        <v>0.05</v>
      </c>
      <c r="I687" s="2">
        <v>2</v>
      </c>
      <c r="J687" s="2">
        <v>0</v>
      </c>
      <c r="K687" s="2">
        <v>1</v>
      </c>
      <c r="L687" s="16">
        <v>1</v>
      </c>
      <c r="M687" s="5">
        <f t="shared" si="316"/>
        <v>820</v>
      </c>
      <c r="N687" s="6">
        <f t="shared" si="317"/>
        <v>72.04995000000001</v>
      </c>
      <c r="O687">
        <f t="shared" si="318"/>
        <v>1039.5</v>
      </c>
      <c r="P687" s="7">
        <f t="shared" si="306"/>
        <v>14.427490928168581</v>
      </c>
      <c r="Q687">
        <f>ROUNDUP(몬스터!$P$19/F687, 0)</f>
        <v>13</v>
      </c>
      <c r="R687" s="6">
        <f t="shared" si="319"/>
        <v>16.861219195849547</v>
      </c>
      <c r="S687" s="7">
        <f>B687/몬스터!$C$19*R687</f>
        <v>269.77950713359274</v>
      </c>
      <c r="U687">
        <f>ROUNDDOWN(R687*몬스터!$H$19, 0)*몬스터!$G$19*(1+몬스터!$I$19)</f>
        <v>1093.5</v>
      </c>
      <c r="V687" s="2">
        <f t="shared" si="307"/>
        <v>1.051948051948052</v>
      </c>
    </row>
    <row r="688" spans="1:22" x14ac:dyDescent="0.4">
      <c r="A688">
        <v>54</v>
      </c>
      <c r="B688" s="4">
        <f>160*A688</f>
        <v>8640</v>
      </c>
      <c r="C688">
        <f t="shared" si="312"/>
        <v>780</v>
      </c>
      <c r="D688">
        <f t="shared" si="313"/>
        <v>36</v>
      </c>
      <c r="E688" s="2">
        <v>0</v>
      </c>
      <c r="F688">
        <f t="shared" si="314"/>
        <v>91</v>
      </c>
      <c r="G688">
        <f t="shared" si="315"/>
        <v>0.77300000000000002</v>
      </c>
      <c r="H688" s="3">
        <f t="shared" si="305"/>
        <v>0.05</v>
      </c>
      <c r="I688" s="2">
        <v>2</v>
      </c>
      <c r="J688" s="2">
        <v>0</v>
      </c>
      <c r="K688" s="2">
        <v>1</v>
      </c>
      <c r="L688" s="16">
        <v>1</v>
      </c>
      <c r="M688" s="5">
        <f t="shared" si="316"/>
        <v>830</v>
      </c>
      <c r="N688" s="6">
        <f t="shared" si="317"/>
        <v>73.860150000000004</v>
      </c>
      <c r="O688">
        <f t="shared" si="318"/>
        <v>1060.8</v>
      </c>
      <c r="P688" s="7">
        <f t="shared" si="306"/>
        <v>14.362277899516856</v>
      </c>
      <c r="Q688">
        <f>ROUNDUP(몬스터!$P$19/F688, 0)</f>
        <v>12</v>
      </c>
      <c r="R688" s="6">
        <f t="shared" si="319"/>
        <v>15.523932729624837</v>
      </c>
      <c r="S688" s="7">
        <f>B688/몬스터!$C$19*R688</f>
        <v>253.06939393199735</v>
      </c>
      <c r="U688">
        <f>ROUNDDOWN(R688*몬스터!$H$19, 0)*몬스터!$G$19*(1+몬스터!$I$19)</f>
        <v>1002.375</v>
      </c>
      <c r="V688" s="2">
        <f t="shared" si="307"/>
        <v>0.94492364253393668</v>
      </c>
    </row>
    <row r="689" spans="1:22" x14ac:dyDescent="0.4">
      <c r="A689">
        <v>55</v>
      </c>
      <c r="B689" s="4">
        <f>160*A689</f>
        <v>8800</v>
      </c>
      <c r="C689">
        <f t="shared" si="312"/>
        <v>795</v>
      </c>
      <c r="D689">
        <f t="shared" si="313"/>
        <v>36</v>
      </c>
      <c r="E689" s="2">
        <v>0</v>
      </c>
      <c r="F689">
        <f t="shared" si="314"/>
        <v>92</v>
      </c>
      <c r="G689">
        <f t="shared" si="315"/>
        <v>0.77500000000000002</v>
      </c>
      <c r="H689" s="3">
        <f t="shared" si="305"/>
        <v>0.05</v>
      </c>
      <c r="I689" s="2">
        <v>2</v>
      </c>
      <c r="J689" s="2">
        <v>0</v>
      </c>
      <c r="K689" s="2">
        <v>1</v>
      </c>
      <c r="L689" s="16">
        <v>1</v>
      </c>
      <c r="M689" s="5">
        <f t="shared" si="316"/>
        <v>840</v>
      </c>
      <c r="N689" s="6">
        <f t="shared" si="317"/>
        <v>74.864999999999995</v>
      </c>
      <c r="O689">
        <f t="shared" si="318"/>
        <v>1081.1999999999998</v>
      </c>
      <c r="P689" s="7">
        <f t="shared" si="306"/>
        <v>14.441995592065718</v>
      </c>
      <c r="Q689">
        <f>ROUNDUP(몬스터!$P$19/F689, 0)</f>
        <v>12</v>
      </c>
      <c r="R689" s="6">
        <f t="shared" si="319"/>
        <v>15.483870967741934</v>
      </c>
      <c r="S689" s="7">
        <f>B689/몬스터!$C$19*R689</f>
        <v>257.09068776628118</v>
      </c>
      <c r="T689" s="7">
        <f t="shared" ref="T689" si="324">SUM(S685:S689)</f>
        <v>1306.2703054437209</v>
      </c>
      <c r="U689">
        <f>ROUNDDOWN(R689*몬스터!$H$19, 0)*몬스터!$G$19*(1+몬스터!$I$19)</f>
        <v>1002.375</v>
      </c>
      <c r="V689" s="2">
        <f t="shared" si="307"/>
        <v>0.92709489456159833</v>
      </c>
    </row>
    <row r="690" spans="1:22" x14ac:dyDescent="0.4">
      <c r="A690">
        <v>56</v>
      </c>
      <c r="B690" s="4">
        <f>170*A690</f>
        <v>9520</v>
      </c>
      <c r="C690">
        <f t="shared" si="312"/>
        <v>805</v>
      </c>
      <c r="D690">
        <f t="shared" si="313"/>
        <v>36</v>
      </c>
      <c r="E690" s="2">
        <v>0</v>
      </c>
      <c r="F690">
        <f t="shared" si="314"/>
        <v>93</v>
      </c>
      <c r="G690">
        <f t="shared" si="315"/>
        <v>0.77700000000000002</v>
      </c>
      <c r="H690" s="3">
        <f t="shared" si="305"/>
        <v>0.05</v>
      </c>
      <c r="I690" s="2">
        <v>2</v>
      </c>
      <c r="J690" s="2">
        <v>0</v>
      </c>
      <c r="K690" s="2">
        <v>1</v>
      </c>
      <c r="L690" s="16">
        <v>1</v>
      </c>
      <c r="M690" s="5">
        <f t="shared" si="316"/>
        <v>850</v>
      </c>
      <c r="N690" s="6">
        <f t="shared" si="317"/>
        <v>75.874049999999997</v>
      </c>
      <c r="O690">
        <f t="shared" si="318"/>
        <v>1094.8</v>
      </c>
      <c r="P690" s="7">
        <f t="shared" si="306"/>
        <v>14.4291757194983</v>
      </c>
      <c r="Q690">
        <f>ROUNDUP(몬스터!$P$20/F690, 0)</f>
        <v>13</v>
      </c>
      <c r="R690" s="6">
        <f t="shared" si="319"/>
        <v>16.73101673101673</v>
      </c>
      <c r="S690" s="7">
        <f>B690/몬스터!$C$20*R690</f>
        <v>274.61944703324014</v>
      </c>
      <c r="U690">
        <f>ROUNDDOWN(R690*몬스터!$H$20, 0)*몬스터!$G$20*(1+몬스터!$I$20)</f>
        <v>1195.92</v>
      </c>
      <c r="V690" s="2">
        <f t="shared" si="307"/>
        <v>1.0923639020825722</v>
      </c>
    </row>
    <row r="691" spans="1:22" x14ac:dyDescent="0.4">
      <c r="A691">
        <v>57</v>
      </c>
      <c r="B691" s="4">
        <f>170*A691</f>
        <v>9690</v>
      </c>
      <c r="C691">
        <f t="shared" si="312"/>
        <v>815</v>
      </c>
      <c r="D691">
        <f t="shared" si="313"/>
        <v>37</v>
      </c>
      <c r="E691" s="2">
        <v>0</v>
      </c>
      <c r="F691">
        <f t="shared" si="314"/>
        <v>95</v>
      </c>
      <c r="G691">
        <f t="shared" si="315"/>
        <v>0.77900000000000003</v>
      </c>
      <c r="H691" s="3">
        <f t="shared" si="305"/>
        <v>0.05</v>
      </c>
      <c r="I691" s="2">
        <v>2</v>
      </c>
      <c r="J691" s="2">
        <v>0</v>
      </c>
      <c r="K691" s="2">
        <v>1</v>
      </c>
      <c r="L691" s="16">
        <v>1</v>
      </c>
      <c r="M691" s="5">
        <f t="shared" si="316"/>
        <v>860</v>
      </c>
      <c r="N691" s="6">
        <f t="shared" si="317"/>
        <v>77.705249999999992</v>
      </c>
      <c r="O691">
        <f t="shared" si="318"/>
        <v>1116.5500000000002</v>
      </c>
      <c r="P691" s="7">
        <f t="shared" si="306"/>
        <v>14.369041988797415</v>
      </c>
      <c r="Q691">
        <f>ROUNDUP(몬스터!$P$20/F691, 0)</f>
        <v>13</v>
      </c>
      <c r="R691" s="6">
        <f t="shared" si="319"/>
        <v>16.688061617458278</v>
      </c>
      <c r="S691" s="7">
        <f>B691/몬스터!$C$20*R691</f>
        <v>278.80571909167367</v>
      </c>
      <c r="U691">
        <f>ROUNDDOWN(R691*몬스터!$H$20, 0)*몬스터!$G$20*(1+몬스터!$I$20)</f>
        <v>1195.92</v>
      </c>
      <c r="V691" s="2">
        <f t="shared" si="307"/>
        <v>1.0710850387353901</v>
      </c>
    </row>
    <row r="692" spans="1:22" x14ac:dyDescent="0.4">
      <c r="A692">
        <v>58</v>
      </c>
      <c r="B692" s="4">
        <f>170*A692</f>
        <v>9860</v>
      </c>
      <c r="C692">
        <f t="shared" si="312"/>
        <v>825</v>
      </c>
      <c r="D692">
        <f t="shared" si="313"/>
        <v>37</v>
      </c>
      <c r="E692" s="2">
        <v>0</v>
      </c>
      <c r="F692">
        <f t="shared" si="314"/>
        <v>96</v>
      </c>
      <c r="G692">
        <f t="shared" si="315"/>
        <v>0.78100000000000003</v>
      </c>
      <c r="H692" s="3">
        <f t="shared" si="305"/>
        <v>0.05</v>
      </c>
      <c r="I692" s="2">
        <v>2</v>
      </c>
      <c r="J692" s="2">
        <v>0</v>
      </c>
      <c r="K692" s="2">
        <v>1</v>
      </c>
      <c r="L692" s="16">
        <v>1</v>
      </c>
      <c r="M692" s="5">
        <f t="shared" si="316"/>
        <v>870</v>
      </c>
      <c r="N692" s="6">
        <f t="shared" si="317"/>
        <v>78.724800000000002</v>
      </c>
      <c r="O692">
        <f t="shared" si="318"/>
        <v>1130.25</v>
      </c>
      <c r="P692" s="7">
        <f t="shared" si="306"/>
        <v>14.356975184439973</v>
      </c>
      <c r="Q692">
        <f>ROUNDUP(몬스터!$P$20/F692, 0)</f>
        <v>13</v>
      </c>
      <c r="R692" s="6">
        <f t="shared" si="319"/>
        <v>16.645326504481435</v>
      </c>
      <c r="S692" s="7">
        <f>B692/몬스터!$C$20*R692</f>
        <v>282.97055057618439</v>
      </c>
      <c r="U692">
        <f>ROUNDDOWN(R692*몬스터!$H$20, 0)*몬스터!$G$20*(1+몬스터!$I$20)</f>
        <v>1195.92</v>
      </c>
      <c r="V692" s="2">
        <f t="shared" si="307"/>
        <v>1.0581021897810219</v>
      </c>
    </row>
    <row r="693" spans="1:22" x14ac:dyDescent="0.4">
      <c r="A693">
        <v>59</v>
      </c>
      <c r="B693" s="4">
        <f>170*A693</f>
        <v>10030</v>
      </c>
      <c r="C693">
        <f t="shared" si="312"/>
        <v>840</v>
      </c>
      <c r="D693">
        <f t="shared" si="313"/>
        <v>37</v>
      </c>
      <c r="E693" s="2">
        <v>0</v>
      </c>
      <c r="F693">
        <f t="shared" si="314"/>
        <v>97</v>
      </c>
      <c r="G693">
        <f t="shared" si="315"/>
        <v>0.78300000000000003</v>
      </c>
      <c r="H693" s="3">
        <f t="shared" si="305"/>
        <v>0.05</v>
      </c>
      <c r="I693" s="2">
        <v>2</v>
      </c>
      <c r="J693" s="2">
        <v>0</v>
      </c>
      <c r="K693" s="2">
        <v>1</v>
      </c>
      <c r="L693" s="16">
        <v>1</v>
      </c>
      <c r="M693" s="5">
        <f t="shared" si="316"/>
        <v>880</v>
      </c>
      <c r="N693" s="6">
        <f t="shared" si="317"/>
        <v>79.748550000000009</v>
      </c>
      <c r="O693">
        <f t="shared" si="318"/>
        <v>1150.8000000000002</v>
      </c>
      <c r="P693" s="7">
        <f t="shared" si="306"/>
        <v>14.430356414003766</v>
      </c>
      <c r="Q693">
        <f>ROUNDUP(몬스터!$P$20/F693, 0)</f>
        <v>13</v>
      </c>
      <c r="R693" s="6">
        <f t="shared" si="319"/>
        <v>16.602809706257982</v>
      </c>
      <c r="S693" s="7">
        <f>B693/몬스터!$C$20*R693</f>
        <v>287.11410578235785</v>
      </c>
      <c r="U693">
        <f>ROUNDDOWN(R693*몬스터!$H$20, 0)*몬스터!$G$20*(1+몬스터!$I$20)</f>
        <v>1195.92</v>
      </c>
      <c r="V693" s="2">
        <f t="shared" si="307"/>
        <v>1.0392075078206464</v>
      </c>
    </row>
    <row r="694" spans="1:22" x14ac:dyDescent="0.4">
      <c r="A694">
        <v>60</v>
      </c>
      <c r="B694" s="4">
        <f>170*A694</f>
        <v>10200</v>
      </c>
      <c r="C694">
        <f t="shared" si="312"/>
        <v>850</v>
      </c>
      <c r="D694">
        <f t="shared" si="313"/>
        <v>38</v>
      </c>
      <c r="E694" s="2">
        <v>0</v>
      </c>
      <c r="F694">
        <f t="shared" si="314"/>
        <v>99</v>
      </c>
      <c r="G694">
        <f t="shared" si="315"/>
        <v>0.78500000000000003</v>
      </c>
      <c r="H694" s="3">
        <f t="shared" si="305"/>
        <v>0.05</v>
      </c>
      <c r="I694" s="2">
        <v>2</v>
      </c>
      <c r="J694" s="2">
        <v>0</v>
      </c>
      <c r="K694" s="2">
        <v>1</v>
      </c>
      <c r="L694" s="16">
        <v>1</v>
      </c>
      <c r="M694" s="5">
        <f t="shared" si="316"/>
        <v>890</v>
      </c>
      <c r="N694" s="6">
        <f t="shared" si="317"/>
        <v>81.600750000000005</v>
      </c>
      <c r="O694">
        <f t="shared" si="318"/>
        <v>1173</v>
      </c>
      <c r="P694" s="7">
        <f t="shared" si="306"/>
        <v>14.374867878052591</v>
      </c>
      <c r="Q694">
        <f>ROUNDUP(몬스터!$P$20/F694, 0)</f>
        <v>13</v>
      </c>
      <c r="R694" s="6">
        <f t="shared" si="319"/>
        <v>16.560509554140125</v>
      </c>
      <c r="S694" s="7">
        <f>B694/몬스터!$C$20*R694</f>
        <v>291.23654733142979</v>
      </c>
      <c r="T694" s="7">
        <f t="shared" ref="T694" si="325">SUM(S690:S694)</f>
        <v>1414.7463698148861</v>
      </c>
      <c r="U694">
        <f>ROUNDDOWN(R694*몬스터!$H$20, 0)*몬스터!$G$20*(1+몬스터!$I$20)</f>
        <v>1195.92</v>
      </c>
      <c r="V694" s="2">
        <f t="shared" si="307"/>
        <v>1.0195396419437341</v>
      </c>
    </row>
    <row r="695" spans="1:22" x14ac:dyDescent="0.4">
      <c r="A695">
        <v>61</v>
      </c>
      <c r="B695" s="4">
        <f>160*A695-320</f>
        <v>9440</v>
      </c>
      <c r="C695">
        <f t="shared" si="312"/>
        <v>860</v>
      </c>
      <c r="D695">
        <f t="shared" si="313"/>
        <v>38</v>
      </c>
      <c r="E695" s="2">
        <v>0</v>
      </c>
      <c r="F695">
        <f t="shared" si="314"/>
        <v>100</v>
      </c>
      <c r="G695">
        <f t="shared" si="315"/>
        <v>0.78700000000000003</v>
      </c>
      <c r="H695" s="3">
        <f t="shared" si="305"/>
        <v>0.05</v>
      </c>
      <c r="I695" s="2">
        <v>2</v>
      </c>
      <c r="J695" s="2">
        <v>0</v>
      </c>
      <c r="K695" s="2">
        <v>1</v>
      </c>
      <c r="L695" s="16">
        <v>1</v>
      </c>
      <c r="M695" s="5">
        <f t="shared" si="316"/>
        <v>900</v>
      </c>
      <c r="N695" s="6">
        <f t="shared" si="317"/>
        <v>82.635000000000005</v>
      </c>
      <c r="O695">
        <f t="shared" si="318"/>
        <v>1186.8</v>
      </c>
      <c r="P695" s="7">
        <f t="shared" si="306"/>
        <v>14.361953167544018</v>
      </c>
      <c r="Q695">
        <f>ROUNDUP(몬스터!$P$23/F695, 0)</f>
        <v>14</v>
      </c>
      <c r="R695" s="6">
        <f t="shared" si="319"/>
        <v>17.789072426937736</v>
      </c>
      <c r="S695" s="7">
        <f>B695/몬스터!$C$23*R695</f>
        <v>266.55372017506704</v>
      </c>
      <c r="U695">
        <f>ROUNDDOWN(R695*몬스터!$H$23, 0)*몬스터!$G$23*(1+몬스터!$I$23)</f>
        <v>1532.16</v>
      </c>
      <c r="V695" s="2">
        <f t="shared" si="307"/>
        <v>1.291001011122346</v>
      </c>
    </row>
    <row r="696" spans="1:22" x14ac:dyDescent="0.4">
      <c r="A696">
        <v>62</v>
      </c>
      <c r="B696" s="4">
        <f>160*A696</f>
        <v>9920</v>
      </c>
      <c r="C696">
        <f t="shared" si="312"/>
        <v>875</v>
      </c>
      <c r="D696">
        <f t="shared" si="313"/>
        <v>38</v>
      </c>
      <c r="E696" s="2">
        <v>0</v>
      </c>
      <c r="F696">
        <f t="shared" si="314"/>
        <v>101</v>
      </c>
      <c r="G696">
        <f t="shared" si="315"/>
        <v>0.78900000000000003</v>
      </c>
      <c r="H696" s="3">
        <f t="shared" si="305"/>
        <v>0.05</v>
      </c>
      <c r="I696" s="2">
        <v>2</v>
      </c>
      <c r="J696" s="2">
        <v>0</v>
      </c>
      <c r="K696" s="2">
        <v>1</v>
      </c>
      <c r="L696" s="16">
        <v>1</v>
      </c>
      <c r="M696" s="5">
        <f t="shared" si="316"/>
        <v>910</v>
      </c>
      <c r="N696" s="6">
        <f t="shared" si="317"/>
        <v>83.673450000000017</v>
      </c>
      <c r="O696">
        <f t="shared" si="318"/>
        <v>1207.5</v>
      </c>
      <c r="P696" s="7">
        <f t="shared" si="306"/>
        <v>14.43110090476728</v>
      </c>
      <c r="Q696">
        <f>ROUNDUP(몬스터!$P$23/F696, 0)</f>
        <v>14</v>
      </c>
      <c r="R696" s="6">
        <f t="shared" si="319"/>
        <v>17.743979721166031</v>
      </c>
      <c r="S696" s="7">
        <f>B696/몬스터!$C$23*R696</f>
        <v>279.39726799042387</v>
      </c>
      <c r="U696">
        <f>ROUNDDOWN(R696*몬스터!$H$23, 0)*몬스터!$G$23*(1+몬스터!$I$23)</f>
        <v>1532.16</v>
      </c>
      <c r="V696" s="2">
        <f t="shared" si="307"/>
        <v>1.2688695652173914</v>
      </c>
    </row>
    <row r="697" spans="1:22" x14ac:dyDescent="0.4">
      <c r="A697">
        <v>63</v>
      </c>
      <c r="B697" s="4">
        <f>160*A697</f>
        <v>10080</v>
      </c>
      <c r="C697">
        <f t="shared" si="312"/>
        <v>885</v>
      </c>
      <c r="D697">
        <f t="shared" si="313"/>
        <v>38</v>
      </c>
      <c r="E697" s="2">
        <v>0</v>
      </c>
      <c r="F697">
        <f t="shared" si="314"/>
        <v>103</v>
      </c>
      <c r="G697">
        <f t="shared" si="315"/>
        <v>0.79100000000000004</v>
      </c>
      <c r="H697" s="3">
        <f t="shared" si="305"/>
        <v>0.05</v>
      </c>
      <c r="I697" s="2">
        <v>2</v>
      </c>
      <c r="J697" s="2">
        <v>0</v>
      </c>
      <c r="K697" s="2">
        <v>1</v>
      </c>
      <c r="L697" s="16">
        <v>1</v>
      </c>
      <c r="M697" s="5">
        <f t="shared" si="316"/>
        <v>920</v>
      </c>
      <c r="N697" s="6">
        <f t="shared" si="317"/>
        <v>85.54665</v>
      </c>
      <c r="O697">
        <f t="shared" si="318"/>
        <v>1221.3</v>
      </c>
      <c r="P697" s="7">
        <f t="shared" si="306"/>
        <v>14.27642111058703</v>
      </c>
      <c r="Q697">
        <f>ROUNDUP(몬스터!$P$23/F697, 0)</f>
        <v>14</v>
      </c>
      <c r="R697" s="6">
        <f t="shared" si="319"/>
        <v>17.699115044247787</v>
      </c>
      <c r="S697" s="7">
        <f>B697/몬스터!$C$23*R697</f>
        <v>283.18584070796459</v>
      </c>
      <c r="U697">
        <f>ROUNDDOWN(R697*몬스터!$H$23, 0)*몬스터!$G$23*(1+몬스터!$I$23)</f>
        <v>1532.16</v>
      </c>
      <c r="V697" s="2">
        <f t="shared" si="307"/>
        <v>1.2545320560058955</v>
      </c>
    </row>
    <row r="698" spans="1:22" x14ac:dyDescent="0.4">
      <c r="A698">
        <v>64</v>
      </c>
      <c r="B698" s="4">
        <f>160*A698</f>
        <v>10240</v>
      </c>
      <c r="C698">
        <f t="shared" si="312"/>
        <v>895</v>
      </c>
      <c r="D698">
        <f t="shared" si="313"/>
        <v>39</v>
      </c>
      <c r="E698" s="2">
        <v>0</v>
      </c>
      <c r="F698">
        <f t="shared" si="314"/>
        <v>104</v>
      </c>
      <c r="G698">
        <f t="shared" si="315"/>
        <v>0.79300000000000004</v>
      </c>
      <c r="H698" s="3">
        <f t="shared" si="305"/>
        <v>0.05</v>
      </c>
      <c r="I698" s="2">
        <v>2</v>
      </c>
      <c r="J698" s="2">
        <v>0</v>
      </c>
      <c r="K698" s="2">
        <v>1</v>
      </c>
      <c r="L698" s="16">
        <v>1</v>
      </c>
      <c r="M698" s="5">
        <f t="shared" si="316"/>
        <v>930</v>
      </c>
      <c r="N698" s="6">
        <f t="shared" si="317"/>
        <v>86.595600000000019</v>
      </c>
      <c r="O698">
        <f t="shared" si="318"/>
        <v>1244.0500000000002</v>
      </c>
      <c r="P698" s="7">
        <f t="shared" si="306"/>
        <v>14.366203363681295</v>
      </c>
      <c r="Q698">
        <f>ROUNDUP(몬스터!$P$23/F698, 0)</f>
        <v>13</v>
      </c>
      <c r="R698" s="6">
        <f t="shared" si="319"/>
        <v>16.393442622950818</v>
      </c>
      <c r="S698" s="7">
        <f>B698/몬스터!$C$23*R698</f>
        <v>266.45849596669262</v>
      </c>
      <c r="U698">
        <f>ROUNDDOWN(R698*몬스터!$H$23, 0)*몬스터!$G$23*(1+몬스터!$I$23)</f>
        <v>1313.2800000000002</v>
      </c>
      <c r="V698" s="2">
        <f t="shared" si="307"/>
        <v>1.0556488887102609</v>
      </c>
    </row>
    <row r="699" spans="1:22" x14ac:dyDescent="0.4">
      <c r="A699">
        <v>65</v>
      </c>
      <c r="B699" s="4">
        <f>160*A699</f>
        <v>10400</v>
      </c>
      <c r="C699">
        <f t="shared" ref="C699:C734" si="326">MROUND((150+A699*11)*1.05,5)</f>
        <v>910</v>
      </c>
      <c r="D699">
        <f t="shared" ref="D699:D734" si="327">ROUNDDOWN((20+A699*0.3), 0)</f>
        <v>39</v>
      </c>
      <c r="E699" s="2">
        <v>0</v>
      </c>
      <c r="F699">
        <f t="shared" ref="F699:F734" si="328">ROUND((28+A699*2)*2/3, 0)</f>
        <v>105</v>
      </c>
      <c r="G699">
        <f t="shared" ref="G699:G734" si="329">0.665+0.002*A699</f>
        <v>0.79500000000000004</v>
      </c>
      <c r="H699" s="3">
        <f t="shared" si="305"/>
        <v>0.05</v>
      </c>
      <c r="I699" s="2">
        <v>2</v>
      </c>
      <c r="J699" s="2">
        <v>0</v>
      </c>
      <c r="K699" s="2">
        <v>1</v>
      </c>
      <c r="L699" s="16">
        <v>1</v>
      </c>
      <c r="M699" s="5">
        <f t="shared" ref="M699:M734" si="330">290+10*A699</f>
        <v>940</v>
      </c>
      <c r="N699" s="6">
        <f t="shared" ref="N699:N734" si="331">F699*G699*(1+H699)</f>
        <v>87.648750000000007</v>
      </c>
      <c r="O699">
        <f t="shared" ref="O699:O734" si="332">C699*(1+D699/100)*(1+E699)</f>
        <v>1264.9000000000001</v>
      </c>
      <c r="P699" s="7">
        <f t="shared" si="306"/>
        <v>14.431466506938206</v>
      </c>
      <c r="Q699">
        <f>ROUNDUP(몬스터!$P$23/F699, 0)</f>
        <v>13</v>
      </c>
      <c r="R699" s="6">
        <f t="shared" ref="R699:R730" si="333">Q699/G699</f>
        <v>16.352201257861633</v>
      </c>
      <c r="S699" s="7">
        <f>B699/몬스터!$C$23*R699</f>
        <v>269.94110012977939</v>
      </c>
      <c r="T699" s="7">
        <f t="shared" ref="T699" si="334">SUM(S695:S699)</f>
        <v>1365.5364249699276</v>
      </c>
      <c r="U699">
        <f>ROUNDDOWN(R699*몬스터!$H$23, 0)*몬스터!$G$23*(1+몬스터!$I$23)</f>
        <v>1313.2800000000002</v>
      </c>
      <c r="V699" s="2">
        <f t="shared" si="307"/>
        <v>1.0382480828523994</v>
      </c>
    </row>
    <row r="700" spans="1:22" x14ac:dyDescent="0.4">
      <c r="A700">
        <v>66</v>
      </c>
      <c r="B700" s="4">
        <f>170*A700-680</f>
        <v>10540</v>
      </c>
      <c r="C700">
        <f t="shared" si="326"/>
        <v>920</v>
      </c>
      <c r="D700">
        <f t="shared" si="327"/>
        <v>39</v>
      </c>
      <c r="E700" s="2">
        <v>0</v>
      </c>
      <c r="F700">
        <f t="shared" si="328"/>
        <v>107</v>
      </c>
      <c r="G700">
        <f t="shared" si="329"/>
        <v>0.79700000000000004</v>
      </c>
      <c r="H700" s="3">
        <f t="shared" ref="H700:H734" si="335">0.05</f>
        <v>0.05</v>
      </c>
      <c r="I700" s="2">
        <v>2</v>
      </c>
      <c r="J700" s="2">
        <v>0</v>
      </c>
      <c r="K700" s="2">
        <v>1</v>
      </c>
      <c r="L700" s="16">
        <v>1</v>
      </c>
      <c r="M700" s="5">
        <f t="shared" si="330"/>
        <v>950</v>
      </c>
      <c r="N700" s="6">
        <f t="shared" si="331"/>
        <v>89.542950000000019</v>
      </c>
      <c r="O700">
        <f t="shared" si="332"/>
        <v>1278.8000000000002</v>
      </c>
      <c r="P700" s="7">
        <f t="shared" ref="P700:P734" si="336">O700/N700</f>
        <v>14.281414673070296</v>
      </c>
      <c r="Q700">
        <f>ROUNDUP(몬스터!$P$24/F700, 0)</f>
        <v>14</v>
      </c>
      <c r="R700" s="6">
        <f t="shared" si="333"/>
        <v>17.565872020075282</v>
      </c>
      <c r="S700" s="7">
        <f>B700/몬스터!$C$24*R700</f>
        <v>272.27101631116687</v>
      </c>
      <c r="U700">
        <f>ROUNDDOWN(R700*몬스터!$H$24, 0)*몬스터!$G$24*(1+몬스터!$I$24)</f>
        <v>1654.6949999999999</v>
      </c>
      <c r="V700" s="2">
        <f t="shared" ref="V700:V734" si="337">U700/O700</f>
        <v>1.2939435408195181</v>
      </c>
    </row>
    <row r="701" spans="1:22" x14ac:dyDescent="0.4">
      <c r="A701">
        <v>67</v>
      </c>
      <c r="B701" s="4">
        <f>170*A701</f>
        <v>11390</v>
      </c>
      <c r="C701">
        <f t="shared" si="326"/>
        <v>930</v>
      </c>
      <c r="D701">
        <f t="shared" si="327"/>
        <v>40</v>
      </c>
      <c r="E701" s="2">
        <v>0</v>
      </c>
      <c r="F701">
        <f t="shared" si="328"/>
        <v>108</v>
      </c>
      <c r="G701">
        <f t="shared" si="329"/>
        <v>0.79900000000000004</v>
      </c>
      <c r="H701" s="3">
        <f t="shared" si="335"/>
        <v>0.05</v>
      </c>
      <c r="I701" s="2">
        <v>2</v>
      </c>
      <c r="J701" s="2">
        <v>0</v>
      </c>
      <c r="K701" s="2">
        <v>1</v>
      </c>
      <c r="L701" s="16">
        <v>1</v>
      </c>
      <c r="M701" s="5">
        <f t="shared" si="330"/>
        <v>960</v>
      </c>
      <c r="N701" s="6">
        <f t="shared" si="331"/>
        <v>90.6066</v>
      </c>
      <c r="O701">
        <f t="shared" si="332"/>
        <v>1302</v>
      </c>
      <c r="P701" s="7">
        <f t="shared" si="336"/>
        <v>14.369814119501228</v>
      </c>
      <c r="Q701">
        <f>ROUNDUP(몬스터!$P$24/F701, 0)</f>
        <v>14</v>
      </c>
      <c r="R701" s="6">
        <f t="shared" si="333"/>
        <v>17.521902377972463</v>
      </c>
      <c r="S701" s="7">
        <f>B701/몬스터!$C$24*R701</f>
        <v>293.49186483103875</v>
      </c>
      <c r="U701">
        <f>ROUNDDOWN(R701*몬스터!$H$24, 0)*몬스터!$G$24*(1+몬스터!$I$24)</f>
        <v>1654.6949999999999</v>
      </c>
      <c r="V701" s="2">
        <f t="shared" si="337"/>
        <v>1.2708870967741934</v>
      </c>
    </row>
    <row r="702" spans="1:22" x14ac:dyDescent="0.4">
      <c r="A702">
        <v>68</v>
      </c>
      <c r="B702" s="4">
        <f>170*A702</f>
        <v>11560</v>
      </c>
      <c r="C702">
        <f t="shared" si="326"/>
        <v>945</v>
      </c>
      <c r="D702">
        <f t="shared" si="327"/>
        <v>40</v>
      </c>
      <c r="E702" s="2">
        <v>0</v>
      </c>
      <c r="F702">
        <f t="shared" si="328"/>
        <v>109</v>
      </c>
      <c r="G702">
        <f t="shared" si="329"/>
        <v>0.80100000000000005</v>
      </c>
      <c r="H702" s="3">
        <f t="shared" si="335"/>
        <v>0.05</v>
      </c>
      <c r="I702" s="2">
        <v>2</v>
      </c>
      <c r="J702" s="2">
        <v>0</v>
      </c>
      <c r="K702" s="2">
        <v>1</v>
      </c>
      <c r="L702" s="16">
        <v>1</v>
      </c>
      <c r="M702" s="5">
        <f t="shared" si="330"/>
        <v>970</v>
      </c>
      <c r="N702" s="6">
        <f t="shared" si="331"/>
        <v>91.674450000000022</v>
      </c>
      <c r="O702">
        <f t="shared" si="332"/>
        <v>1323</v>
      </c>
      <c r="P702" s="7">
        <f t="shared" si="336"/>
        <v>14.431501907019891</v>
      </c>
      <c r="Q702">
        <f>ROUNDUP(몬스터!$P$24/F702, 0)</f>
        <v>14</v>
      </c>
      <c r="R702" s="6">
        <f t="shared" si="333"/>
        <v>17.478152309612984</v>
      </c>
      <c r="S702" s="7">
        <f>B702/몬스터!$C$24*R702</f>
        <v>297.12858926342074</v>
      </c>
      <c r="U702">
        <f>ROUNDDOWN(R702*몬스터!$H$24, 0)*몬스터!$G$24*(1+몬스터!$I$24)</f>
        <v>1654.6949999999999</v>
      </c>
      <c r="V702" s="2">
        <f t="shared" si="337"/>
        <v>1.2507142857142857</v>
      </c>
    </row>
    <row r="703" spans="1:22" x14ac:dyDescent="0.4">
      <c r="A703">
        <v>69</v>
      </c>
      <c r="B703" s="4">
        <f>170*A703</f>
        <v>11730</v>
      </c>
      <c r="C703">
        <f t="shared" si="326"/>
        <v>955</v>
      </c>
      <c r="D703">
        <f t="shared" si="327"/>
        <v>40</v>
      </c>
      <c r="E703" s="2">
        <v>0</v>
      </c>
      <c r="F703">
        <f t="shared" si="328"/>
        <v>111</v>
      </c>
      <c r="G703">
        <f t="shared" si="329"/>
        <v>0.80300000000000005</v>
      </c>
      <c r="H703" s="3">
        <f t="shared" si="335"/>
        <v>0.05</v>
      </c>
      <c r="I703" s="2">
        <v>2</v>
      </c>
      <c r="J703" s="2">
        <v>0</v>
      </c>
      <c r="K703" s="2">
        <v>1</v>
      </c>
      <c r="L703" s="16">
        <v>1</v>
      </c>
      <c r="M703" s="5">
        <f t="shared" si="330"/>
        <v>980</v>
      </c>
      <c r="N703" s="6">
        <f t="shared" si="331"/>
        <v>93.58965000000002</v>
      </c>
      <c r="O703">
        <f t="shared" si="332"/>
        <v>1337</v>
      </c>
      <c r="P703" s="7">
        <f t="shared" si="336"/>
        <v>14.285767710425242</v>
      </c>
      <c r="Q703">
        <f>ROUNDUP(몬스터!$P$24/F703, 0)</f>
        <v>14</v>
      </c>
      <c r="R703" s="6">
        <f t="shared" si="333"/>
        <v>17.4346201743462</v>
      </c>
      <c r="S703" s="7">
        <f>B703/몬스터!$C$24*R703</f>
        <v>300.74719800747198</v>
      </c>
      <c r="U703">
        <f>ROUNDDOWN(R703*몬스터!$H$24, 0)*몬스터!$G$24*(1+몬스터!$I$24)</f>
        <v>1654.6949999999999</v>
      </c>
      <c r="V703" s="2">
        <f t="shared" si="337"/>
        <v>1.2376178010471204</v>
      </c>
    </row>
    <row r="704" spans="1:22" x14ac:dyDescent="0.4">
      <c r="A704">
        <v>70</v>
      </c>
      <c r="B704" s="4">
        <f>170*A704</f>
        <v>11900</v>
      </c>
      <c r="C704">
        <f t="shared" si="326"/>
        <v>965</v>
      </c>
      <c r="D704">
        <f t="shared" si="327"/>
        <v>41</v>
      </c>
      <c r="E704" s="2">
        <v>0</v>
      </c>
      <c r="F704">
        <f t="shared" si="328"/>
        <v>112</v>
      </c>
      <c r="G704">
        <f t="shared" si="329"/>
        <v>0.80500000000000005</v>
      </c>
      <c r="H704" s="3">
        <f t="shared" si="335"/>
        <v>0.05</v>
      </c>
      <c r="I704" s="2">
        <v>2</v>
      </c>
      <c r="J704" s="2">
        <v>0</v>
      </c>
      <c r="K704" s="2">
        <v>1</v>
      </c>
      <c r="L704" s="16">
        <v>1</v>
      </c>
      <c r="M704" s="5">
        <f t="shared" si="330"/>
        <v>990</v>
      </c>
      <c r="N704" s="6">
        <f t="shared" si="331"/>
        <v>94.668000000000021</v>
      </c>
      <c r="O704">
        <f t="shared" si="332"/>
        <v>1360.6499999999999</v>
      </c>
      <c r="P704" s="7">
        <f t="shared" si="336"/>
        <v>14.372860945620479</v>
      </c>
      <c r="Q704">
        <f>ROUNDUP(몬스터!$P$24/F704, 0)</f>
        <v>14</v>
      </c>
      <c r="R704" s="6">
        <f t="shared" si="333"/>
        <v>17.391304347826086</v>
      </c>
      <c r="S704" s="7">
        <f>B704/몬스터!$C$24*R704</f>
        <v>304.3478260869565</v>
      </c>
      <c r="T704" s="7">
        <f t="shared" ref="T704" si="338">SUM(S700:S704)</f>
        <v>1467.986494500055</v>
      </c>
      <c r="U704">
        <f>ROUNDDOWN(R704*몬스터!$H$24, 0)*몬스터!$G$24*(1+몬스터!$I$24)</f>
        <v>1654.6949999999999</v>
      </c>
      <c r="V704" s="2">
        <f t="shared" si="337"/>
        <v>1.2161062727372947</v>
      </c>
    </row>
    <row r="705" spans="1:22" x14ac:dyDescent="0.4">
      <c r="A705">
        <v>71</v>
      </c>
      <c r="B705" s="4">
        <f>160*A705</f>
        <v>11360</v>
      </c>
      <c r="C705">
        <f t="shared" si="326"/>
        <v>980</v>
      </c>
      <c r="D705">
        <f t="shared" si="327"/>
        <v>41</v>
      </c>
      <c r="E705" s="2">
        <v>0</v>
      </c>
      <c r="F705">
        <f t="shared" si="328"/>
        <v>113</v>
      </c>
      <c r="G705">
        <f t="shared" si="329"/>
        <v>0.80700000000000005</v>
      </c>
      <c r="H705" s="3">
        <f t="shared" si="335"/>
        <v>0.05</v>
      </c>
      <c r="I705" s="2">
        <v>2</v>
      </c>
      <c r="J705" s="2">
        <v>0</v>
      </c>
      <c r="K705" s="2">
        <v>1</v>
      </c>
      <c r="L705" s="16">
        <v>1</v>
      </c>
      <c r="M705" s="5">
        <f t="shared" si="330"/>
        <v>1000</v>
      </c>
      <c r="N705" s="6">
        <f t="shared" si="331"/>
        <v>95.750550000000004</v>
      </c>
      <c r="O705">
        <f t="shared" si="332"/>
        <v>1381.8</v>
      </c>
      <c r="P705" s="7">
        <f t="shared" si="336"/>
        <v>14.431248697788158</v>
      </c>
      <c r="Q705">
        <f>ROUNDUP(몬스터!$P$25/F705, 0)</f>
        <v>15</v>
      </c>
      <c r="R705" s="6">
        <f t="shared" si="333"/>
        <v>18.587360594795538</v>
      </c>
      <c r="S705" s="7">
        <f>B705/몬스터!$C$25*R705</f>
        <v>289.24988542037988</v>
      </c>
      <c r="U705">
        <f>ROUNDDOWN(R705*몬스터!$H$25, 0)*몬스터!$G$25*(1+몬스터!$I$25)</f>
        <v>1923.075</v>
      </c>
      <c r="V705" s="2">
        <f t="shared" si="337"/>
        <v>1.3917173252279635</v>
      </c>
    </row>
    <row r="706" spans="1:22" x14ac:dyDescent="0.4">
      <c r="A706">
        <v>72</v>
      </c>
      <c r="B706" s="4">
        <f>160*A706</f>
        <v>11520</v>
      </c>
      <c r="C706">
        <f t="shared" si="326"/>
        <v>990</v>
      </c>
      <c r="D706">
        <f t="shared" si="327"/>
        <v>41</v>
      </c>
      <c r="E706" s="2">
        <v>0</v>
      </c>
      <c r="F706">
        <f t="shared" si="328"/>
        <v>115</v>
      </c>
      <c r="G706">
        <f t="shared" si="329"/>
        <v>0.80900000000000005</v>
      </c>
      <c r="H706" s="3">
        <f t="shared" si="335"/>
        <v>0.05</v>
      </c>
      <c r="I706" s="2">
        <v>2</v>
      </c>
      <c r="J706" s="2">
        <v>0</v>
      </c>
      <c r="K706" s="2">
        <v>1</v>
      </c>
      <c r="L706" s="16">
        <v>1</v>
      </c>
      <c r="M706" s="5">
        <f t="shared" si="330"/>
        <v>1010</v>
      </c>
      <c r="N706" s="6">
        <f t="shared" si="331"/>
        <v>97.686750000000018</v>
      </c>
      <c r="O706">
        <f t="shared" si="332"/>
        <v>1395.8999999999999</v>
      </c>
      <c r="P706" s="7">
        <f t="shared" si="336"/>
        <v>14.289553086779932</v>
      </c>
      <c r="Q706">
        <f>ROUNDUP(몬스터!$P$25/F706, 0)</f>
        <v>15</v>
      </c>
      <c r="R706" s="6">
        <f t="shared" si="333"/>
        <v>18.541409147095177</v>
      </c>
      <c r="S706" s="7">
        <f>B706/몬스터!$C$25*R706</f>
        <v>292.59867585552934</v>
      </c>
      <c r="U706">
        <f>ROUNDDOWN(R706*몬스터!$H$25, 0)*몬스터!$G$25*(1+몬스터!$I$25)</f>
        <v>1923.075</v>
      </c>
      <c r="V706" s="2">
        <f t="shared" si="337"/>
        <v>1.3776595744680853</v>
      </c>
    </row>
    <row r="707" spans="1:22" x14ac:dyDescent="0.4">
      <c r="A707">
        <v>73</v>
      </c>
      <c r="B707" s="4">
        <f>160*A707</f>
        <v>11680</v>
      </c>
      <c r="C707">
        <f t="shared" si="326"/>
        <v>1000</v>
      </c>
      <c r="D707">
        <f t="shared" si="327"/>
        <v>41</v>
      </c>
      <c r="E707" s="2">
        <v>0</v>
      </c>
      <c r="F707">
        <f t="shared" si="328"/>
        <v>116</v>
      </c>
      <c r="G707">
        <f t="shared" si="329"/>
        <v>0.81100000000000005</v>
      </c>
      <c r="H707" s="3">
        <f t="shared" si="335"/>
        <v>0.05</v>
      </c>
      <c r="I707" s="2">
        <v>2</v>
      </c>
      <c r="J707" s="2">
        <v>0</v>
      </c>
      <c r="K707" s="2">
        <v>1</v>
      </c>
      <c r="L707" s="16">
        <v>1</v>
      </c>
      <c r="M707" s="5">
        <f t="shared" si="330"/>
        <v>1020</v>
      </c>
      <c r="N707" s="6">
        <f t="shared" si="331"/>
        <v>98.779800000000009</v>
      </c>
      <c r="O707">
        <f t="shared" si="332"/>
        <v>1410</v>
      </c>
      <c r="P707" s="7">
        <f t="shared" si="336"/>
        <v>14.274173464615235</v>
      </c>
      <c r="Q707">
        <f>ROUNDUP(몬스터!$P$25/F707, 0)</f>
        <v>15</v>
      </c>
      <c r="R707" s="6">
        <f t="shared" si="333"/>
        <v>18.49568434032059</v>
      </c>
      <c r="S707" s="7">
        <f>B707/몬스터!$C$25*R707</f>
        <v>295.93094944512944</v>
      </c>
      <c r="U707">
        <f>ROUNDDOWN(R707*몬스터!$H$25, 0)*몬스터!$G$25*(1+몬스터!$I$25)</f>
        <v>1923.075</v>
      </c>
      <c r="V707" s="2">
        <f t="shared" si="337"/>
        <v>1.3638829787234044</v>
      </c>
    </row>
    <row r="708" spans="1:22" x14ac:dyDescent="0.4">
      <c r="A708">
        <v>74</v>
      </c>
      <c r="B708" s="4">
        <f>160*A708</f>
        <v>11840</v>
      </c>
      <c r="C708">
        <f t="shared" si="326"/>
        <v>1010</v>
      </c>
      <c r="D708">
        <f t="shared" si="327"/>
        <v>42</v>
      </c>
      <c r="E708" s="2">
        <v>0</v>
      </c>
      <c r="F708">
        <f t="shared" si="328"/>
        <v>117</v>
      </c>
      <c r="G708">
        <f t="shared" si="329"/>
        <v>0.81300000000000006</v>
      </c>
      <c r="H708" s="3">
        <f t="shared" si="335"/>
        <v>0.05</v>
      </c>
      <c r="I708" s="2">
        <v>2</v>
      </c>
      <c r="J708" s="2">
        <v>0</v>
      </c>
      <c r="K708" s="2">
        <v>1</v>
      </c>
      <c r="L708" s="16">
        <v>1</v>
      </c>
      <c r="M708" s="5">
        <f t="shared" si="330"/>
        <v>1030</v>
      </c>
      <c r="N708" s="6">
        <f t="shared" si="331"/>
        <v>99.877050000000011</v>
      </c>
      <c r="O708">
        <f t="shared" si="332"/>
        <v>1434.1999999999998</v>
      </c>
      <c r="P708" s="7">
        <f t="shared" si="336"/>
        <v>14.359655196063557</v>
      </c>
      <c r="Q708">
        <f>ROUNDUP(몬스터!$P$25/F708, 0)</f>
        <v>15</v>
      </c>
      <c r="R708" s="6">
        <f t="shared" si="333"/>
        <v>18.450184501845015</v>
      </c>
      <c r="S708" s="7">
        <f>B708/몬스터!$C$25*R708</f>
        <v>299.2468280847192</v>
      </c>
      <c r="U708">
        <f>ROUNDDOWN(R708*몬스터!$H$25, 0)*몬스터!$G$25*(1+몬스터!$I$25)</f>
        <v>1923.075</v>
      </c>
      <c r="V708" s="2">
        <f t="shared" si="337"/>
        <v>1.3408694742713709</v>
      </c>
    </row>
    <row r="709" spans="1:22" x14ac:dyDescent="0.4">
      <c r="A709">
        <v>75</v>
      </c>
      <c r="B709" s="4">
        <f>160*A709</f>
        <v>12000</v>
      </c>
      <c r="C709">
        <f t="shared" si="326"/>
        <v>1025</v>
      </c>
      <c r="D709">
        <f t="shared" si="327"/>
        <v>42</v>
      </c>
      <c r="E709" s="2">
        <v>0</v>
      </c>
      <c r="F709">
        <f t="shared" si="328"/>
        <v>119</v>
      </c>
      <c r="G709">
        <f t="shared" si="329"/>
        <v>0.81500000000000006</v>
      </c>
      <c r="H709" s="3">
        <f t="shared" si="335"/>
        <v>0.05</v>
      </c>
      <c r="I709" s="2">
        <v>2</v>
      </c>
      <c r="J709" s="2">
        <v>0</v>
      </c>
      <c r="K709" s="2">
        <v>1</v>
      </c>
      <c r="L709" s="16">
        <v>1</v>
      </c>
      <c r="M709" s="5">
        <f t="shared" si="330"/>
        <v>1040</v>
      </c>
      <c r="N709" s="6">
        <f t="shared" si="331"/>
        <v>101.83425000000003</v>
      </c>
      <c r="O709">
        <f t="shared" si="332"/>
        <v>1455.5</v>
      </c>
      <c r="P709" s="7">
        <f t="shared" si="336"/>
        <v>14.292833697896333</v>
      </c>
      <c r="Q709">
        <f>ROUNDUP(몬스터!$P$25/F709, 0)</f>
        <v>14</v>
      </c>
      <c r="R709" s="6">
        <f t="shared" si="333"/>
        <v>17.177914110429448</v>
      </c>
      <c r="S709" s="7">
        <f>B709/몬스터!$C$25*R709</f>
        <v>282.37667030842931</v>
      </c>
      <c r="T709" s="7">
        <f t="shared" ref="T709" si="339">SUM(S705:S709)</f>
        <v>1459.4030091141872</v>
      </c>
      <c r="U709">
        <f>ROUNDDOWN(R709*몬스터!$H$25, 0)*몬스터!$G$25*(1+몬스터!$I$25)</f>
        <v>1794.8700000000001</v>
      </c>
      <c r="V709" s="2">
        <f t="shared" si="337"/>
        <v>1.2331638612160771</v>
      </c>
    </row>
    <row r="710" spans="1:22" x14ac:dyDescent="0.4">
      <c r="A710">
        <v>76</v>
      </c>
      <c r="B710" s="4">
        <f>170*A710</f>
        <v>12920</v>
      </c>
      <c r="C710">
        <f t="shared" si="326"/>
        <v>1035</v>
      </c>
      <c r="D710">
        <f t="shared" si="327"/>
        <v>42</v>
      </c>
      <c r="E710" s="2">
        <v>0</v>
      </c>
      <c r="F710">
        <f t="shared" si="328"/>
        <v>120</v>
      </c>
      <c r="G710">
        <f t="shared" si="329"/>
        <v>0.81700000000000006</v>
      </c>
      <c r="H710" s="3">
        <f t="shared" si="335"/>
        <v>0.05</v>
      </c>
      <c r="I710" s="2">
        <v>2</v>
      </c>
      <c r="J710" s="2">
        <v>0</v>
      </c>
      <c r="K710" s="2">
        <v>1</v>
      </c>
      <c r="L710" s="16">
        <v>1</v>
      </c>
      <c r="M710" s="5">
        <f t="shared" si="330"/>
        <v>1050</v>
      </c>
      <c r="N710" s="6">
        <f t="shared" si="331"/>
        <v>102.94200000000001</v>
      </c>
      <c r="O710">
        <f t="shared" si="332"/>
        <v>1469.6999999999998</v>
      </c>
      <c r="P710" s="7">
        <f t="shared" si="336"/>
        <v>14.276971498513724</v>
      </c>
      <c r="Q710">
        <f>ROUNDUP(몬스터!$P$26/F710, 0)</f>
        <v>16</v>
      </c>
      <c r="R710" s="6">
        <f t="shared" si="333"/>
        <v>19.583843329253366</v>
      </c>
      <c r="S710" s="7">
        <f>B710/몬스터!$C$26*R710</f>
        <v>324.38878950506859</v>
      </c>
      <c r="U710">
        <f>ROUNDDOWN(R710*몬스터!$H$26, 0)*몬스터!$G$26*(1+몬스터!$I$26)</f>
        <v>2194.8000000000002</v>
      </c>
      <c r="V710" s="2">
        <f t="shared" si="337"/>
        <v>1.4933659930598084</v>
      </c>
    </row>
    <row r="711" spans="1:22" x14ac:dyDescent="0.4">
      <c r="A711">
        <v>77</v>
      </c>
      <c r="B711" s="4">
        <f>170*A711</f>
        <v>13090</v>
      </c>
      <c r="C711">
        <f t="shared" si="326"/>
        <v>1045</v>
      </c>
      <c r="D711">
        <f t="shared" si="327"/>
        <v>43</v>
      </c>
      <c r="E711" s="2">
        <v>0</v>
      </c>
      <c r="F711">
        <f t="shared" si="328"/>
        <v>121</v>
      </c>
      <c r="G711">
        <f t="shared" si="329"/>
        <v>0.81900000000000006</v>
      </c>
      <c r="H711" s="3">
        <f t="shared" si="335"/>
        <v>0.05</v>
      </c>
      <c r="I711" s="2">
        <v>2</v>
      </c>
      <c r="J711" s="2">
        <v>0</v>
      </c>
      <c r="K711" s="2">
        <v>1</v>
      </c>
      <c r="L711" s="16">
        <v>1</v>
      </c>
      <c r="M711" s="5">
        <f t="shared" si="330"/>
        <v>1060</v>
      </c>
      <c r="N711" s="6">
        <f t="shared" si="331"/>
        <v>104.05395000000001</v>
      </c>
      <c r="O711">
        <f t="shared" si="332"/>
        <v>1494.35</v>
      </c>
      <c r="P711" s="7">
        <f t="shared" si="336"/>
        <v>14.361300075585786</v>
      </c>
      <c r="Q711">
        <f>ROUNDUP(몬스터!$P$26/F711, 0)</f>
        <v>15</v>
      </c>
      <c r="R711" s="6">
        <f t="shared" si="333"/>
        <v>18.315018315018314</v>
      </c>
      <c r="S711" s="7">
        <f>B711/몬스터!$C$26*R711</f>
        <v>307.36357659434577</v>
      </c>
      <c r="U711">
        <f>ROUNDDOWN(R711*몬스터!$H$26, 0)*몬스터!$G$26*(1+몬스터!$I$26)</f>
        <v>2057.625</v>
      </c>
      <c r="V711" s="2">
        <f t="shared" si="337"/>
        <v>1.3769364606685182</v>
      </c>
    </row>
    <row r="712" spans="1:22" x14ac:dyDescent="0.4">
      <c r="A712">
        <v>78</v>
      </c>
      <c r="B712" s="4">
        <f>170*A712</f>
        <v>13260</v>
      </c>
      <c r="C712">
        <f t="shared" si="326"/>
        <v>1060</v>
      </c>
      <c r="D712">
        <f t="shared" si="327"/>
        <v>43</v>
      </c>
      <c r="E712" s="2">
        <v>0</v>
      </c>
      <c r="F712">
        <f t="shared" si="328"/>
        <v>123</v>
      </c>
      <c r="G712">
        <f t="shared" si="329"/>
        <v>0.82100000000000006</v>
      </c>
      <c r="H712" s="3">
        <f t="shared" si="335"/>
        <v>0.05</v>
      </c>
      <c r="I712" s="2">
        <v>2</v>
      </c>
      <c r="J712" s="2">
        <v>0</v>
      </c>
      <c r="K712" s="2">
        <v>1</v>
      </c>
      <c r="L712" s="16">
        <v>1</v>
      </c>
      <c r="M712" s="5">
        <f t="shared" si="330"/>
        <v>1070</v>
      </c>
      <c r="N712" s="6">
        <f t="shared" si="331"/>
        <v>106.03215000000002</v>
      </c>
      <c r="O712">
        <f t="shared" si="332"/>
        <v>1515.8</v>
      </c>
      <c r="P712" s="7">
        <f t="shared" si="336"/>
        <v>14.295664098106091</v>
      </c>
      <c r="Q712">
        <f>ROUNDUP(몬스터!$P$26/F712, 0)</f>
        <v>15</v>
      </c>
      <c r="R712" s="6">
        <f t="shared" si="333"/>
        <v>18.270401948842874</v>
      </c>
      <c r="S712" s="7">
        <f>B712/몬스터!$C$26*R712</f>
        <v>310.59683313032883</v>
      </c>
      <c r="U712">
        <f>ROUNDDOWN(R712*몬스터!$H$26, 0)*몬스터!$G$26*(1+몬스터!$I$26)</f>
        <v>2057.625</v>
      </c>
      <c r="V712" s="2">
        <f t="shared" si="337"/>
        <v>1.3574515107533975</v>
      </c>
    </row>
    <row r="713" spans="1:22" x14ac:dyDescent="0.4">
      <c r="A713">
        <v>79</v>
      </c>
      <c r="B713" s="4">
        <f>170*A713</f>
        <v>13430</v>
      </c>
      <c r="C713">
        <f t="shared" si="326"/>
        <v>1070</v>
      </c>
      <c r="D713">
        <f t="shared" si="327"/>
        <v>43</v>
      </c>
      <c r="E713" s="2">
        <v>0</v>
      </c>
      <c r="F713">
        <f t="shared" si="328"/>
        <v>124</v>
      </c>
      <c r="G713">
        <f t="shared" si="329"/>
        <v>0.82300000000000006</v>
      </c>
      <c r="H713" s="3">
        <f t="shared" si="335"/>
        <v>0.05</v>
      </c>
      <c r="I713" s="2">
        <v>2</v>
      </c>
      <c r="J713" s="2">
        <v>0</v>
      </c>
      <c r="K713" s="2">
        <v>1</v>
      </c>
      <c r="L713" s="16">
        <v>1</v>
      </c>
      <c r="M713" s="5">
        <f t="shared" si="330"/>
        <v>1080</v>
      </c>
      <c r="N713" s="6">
        <f t="shared" si="331"/>
        <v>107.15460000000002</v>
      </c>
      <c r="O713">
        <f t="shared" si="332"/>
        <v>1530.1</v>
      </c>
      <c r="P713" s="7">
        <f t="shared" si="336"/>
        <v>14.279368314566053</v>
      </c>
      <c r="Q713">
        <f>ROUNDUP(몬스터!$P$26/F713, 0)</f>
        <v>15</v>
      </c>
      <c r="R713" s="6">
        <f t="shared" si="333"/>
        <v>18.226002430133654</v>
      </c>
      <c r="S713" s="7">
        <f>B713/몬스터!$C$26*R713</f>
        <v>313.81437517525001</v>
      </c>
      <c r="U713">
        <f>ROUNDDOWN(R713*몬스터!$H$26, 0)*몬스터!$G$26*(1+몬스터!$I$26)</f>
        <v>2057.625</v>
      </c>
      <c r="V713" s="2">
        <f t="shared" si="337"/>
        <v>1.3447650480360762</v>
      </c>
    </row>
    <row r="714" spans="1:22" x14ac:dyDescent="0.4">
      <c r="A714">
        <v>80</v>
      </c>
      <c r="B714" s="4">
        <f>170*A714</f>
        <v>13600</v>
      </c>
      <c r="C714">
        <f t="shared" si="326"/>
        <v>1080</v>
      </c>
      <c r="D714">
        <f t="shared" si="327"/>
        <v>44</v>
      </c>
      <c r="E714" s="2">
        <v>0</v>
      </c>
      <c r="F714">
        <f t="shared" si="328"/>
        <v>125</v>
      </c>
      <c r="G714">
        <f t="shared" si="329"/>
        <v>0.82500000000000007</v>
      </c>
      <c r="H714" s="3">
        <f t="shared" si="335"/>
        <v>0.05</v>
      </c>
      <c r="I714" s="2">
        <v>2</v>
      </c>
      <c r="J714" s="2">
        <v>0</v>
      </c>
      <c r="K714" s="2">
        <v>1</v>
      </c>
      <c r="L714" s="16">
        <v>1</v>
      </c>
      <c r="M714" s="5">
        <f t="shared" si="330"/>
        <v>1090</v>
      </c>
      <c r="N714" s="6">
        <f t="shared" si="331"/>
        <v>108.28125000000001</v>
      </c>
      <c r="O714">
        <f t="shared" si="332"/>
        <v>1555.2</v>
      </c>
      <c r="P714" s="7">
        <f t="shared" si="336"/>
        <v>14.362597402597402</v>
      </c>
      <c r="Q714">
        <f>ROUNDUP(몬스터!$P$26/F714, 0)</f>
        <v>15</v>
      </c>
      <c r="R714" s="6">
        <f t="shared" si="333"/>
        <v>18.18181818181818</v>
      </c>
      <c r="S714" s="7">
        <f>B714/몬스터!$C$26*R714</f>
        <v>317.01631701631698</v>
      </c>
      <c r="T714" s="7">
        <f t="shared" ref="T714" si="340">SUM(S710:S714)</f>
        <v>1573.17989142131</v>
      </c>
      <c r="U714">
        <f>ROUNDDOWN(R714*몬스터!$H$26, 0)*몬스터!$G$26*(1+몬스터!$I$26)</f>
        <v>2057.625</v>
      </c>
      <c r="V714" s="2">
        <f t="shared" si="337"/>
        <v>1.3230613425925926</v>
      </c>
    </row>
    <row r="715" spans="1:22" x14ac:dyDescent="0.4">
      <c r="A715">
        <v>81</v>
      </c>
      <c r="B715" s="4">
        <f>160*A715</f>
        <v>12960</v>
      </c>
      <c r="C715">
        <f t="shared" si="326"/>
        <v>1095</v>
      </c>
      <c r="D715">
        <f t="shared" si="327"/>
        <v>44</v>
      </c>
      <c r="E715" s="2">
        <v>0</v>
      </c>
      <c r="F715">
        <f t="shared" si="328"/>
        <v>127</v>
      </c>
      <c r="G715">
        <f t="shared" si="329"/>
        <v>0.82700000000000007</v>
      </c>
      <c r="H715" s="3">
        <f t="shared" si="335"/>
        <v>0.05</v>
      </c>
      <c r="I715" s="2">
        <v>2</v>
      </c>
      <c r="J715" s="2">
        <v>0</v>
      </c>
      <c r="K715" s="2">
        <v>1</v>
      </c>
      <c r="L715" s="16">
        <v>1</v>
      </c>
      <c r="M715" s="5">
        <f t="shared" si="330"/>
        <v>1100</v>
      </c>
      <c r="N715" s="6">
        <f t="shared" si="331"/>
        <v>110.28045000000002</v>
      </c>
      <c r="O715">
        <f t="shared" si="332"/>
        <v>1576.8</v>
      </c>
      <c r="P715" s="7">
        <f t="shared" si="336"/>
        <v>14.298091819538275</v>
      </c>
      <c r="Q715">
        <f>ROUNDUP(몬스터!$P$29/F715, 0)</f>
        <v>16</v>
      </c>
      <c r="R715" s="6">
        <f t="shared" si="333"/>
        <v>19.347037484885124</v>
      </c>
      <c r="S715" s="7">
        <f>B715/몬스터!$C$29*R715</f>
        <v>302.09350096880871</v>
      </c>
      <c r="U715">
        <f>ROUNDDOWN(R715*몬스터!$H$29, 0)*몬스터!$G$29*(1+몬스터!$I$29)</f>
        <v>2358.7199999999998</v>
      </c>
      <c r="V715" s="2">
        <f t="shared" si="337"/>
        <v>1.495890410958904</v>
      </c>
    </row>
    <row r="716" spans="1:22" x14ac:dyDescent="0.4">
      <c r="A716">
        <v>82</v>
      </c>
      <c r="B716" s="4">
        <f>160*A716</f>
        <v>13120</v>
      </c>
      <c r="C716">
        <f t="shared" si="326"/>
        <v>1105</v>
      </c>
      <c r="D716">
        <f t="shared" si="327"/>
        <v>44</v>
      </c>
      <c r="E716" s="2">
        <v>0</v>
      </c>
      <c r="F716">
        <f t="shared" si="328"/>
        <v>128</v>
      </c>
      <c r="G716">
        <f t="shared" si="329"/>
        <v>0.82900000000000007</v>
      </c>
      <c r="H716" s="3">
        <f t="shared" si="335"/>
        <v>0.05</v>
      </c>
      <c r="I716" s="2">
        <v>2</v>
      </c>
      <c r="J716" s="2">
        <v>0</v>
      </c>
      <c r="K716" s="2">
        <v>1</v>
      </c>
      <c r="L716" s="16">
        <v>1</v>
      </c>
      <c r="M716" s="5">
        <f t="shared" si="330"/>
        <v>1110</v>
      </c>
      <c r="N716" s="6">
        <f t="shared" si="331"/>
        <v>111.41760000000001</v>
      </c>
      <c r="O716">
        <f t="shared" si="332"/>
        <v>1591.2</v>
      </c>
      <c r="P716" s="7">
        <f t="shared" si="336"/>
        <v>14.281406169222816</v>
      </c>
      <c r="Q716">
        <f>ROUNDUP(몬스터!$P$29/F716, 0)</f>
        <v>16</v>
      </c>
      <c r="R716" s="6">
        <f t="shared" si="333"/>
        <v>19.300361881785282</v>
      </c>
      <c r="S716" s="7">
        <f>B716/몬스터!$C$29*R716</f>
        <v>305.08523842050948</v>
      </c>
      <c r="U716">
        <f>ROUNDDOWN(R716*몬스터!$H$29, 0)*몬스터!$G$29*(1+몬스터!$I$29)</f>
        <v>2358.7199999999998</v>
      </c>
      <c r="V716" s="2">
        <f t="shared" si="337"/>
        <v>1.4823529411764704</v>
      </c>
    </row>
    <row r="717" spans="1:22" x14ac:dyDescent="0.4">
      <c r="A717">
        <v>83</v>
      </c>
      <c r="B717" s="4">
        <f>160*A717</f>
        <v>13280</v>
      </c>
      <c r="C717">
        <f t="shared" si="326"/>
        <v>1115</v>
      </c>
      <c r="D717">
        <f t="shared" si="327"/>
        <v>44</v>
      </c>
      <c r="E717" s="2">
        <v>0</v>
      </c>
      <c r="F717">
        <f t="shared" si="328"/>
        <v>129</v>
      </c>
      <c r="G717">
        <f t="shared" si="329"/>
        <v>0.83100000000000007</v>
      </c>
      <c r="H717" s="3">
        <f t="shared" si="335"/>
        <v>0.05</v>
      </c>
      <c r="I717" s="2">
        <v>2</v>
      </c>
      <c r="J717" s="2">
        <v>0</v>
      </c>
      <c r="K717" s="2">
        <v>1</v>
      </c>
      <c r="L717" s="16">
        <v>1</v>
      </c>
      <c r="M717" s="5">
        <f t="shared" si="330"/>
        <v>1120</v>
      </c>
      <c r="N717" s="6">
        <f t="shared" si="331"/>
        <v>112.55895000000002</v>
      </c>
      <c r="O717">
        <f t="shared" si="332"/>
        <v>1605.6</v>
      </c>
      <c r="P717" s="7">
        <f t="shared" si="336"/>
        <v>14.264525388696319</v>
      </c>
      <c r="Q717">
        <f>ROUNDUP(몬스터!$P$29/F717, 0)</f>
        <v>16</v>
      </c>
      <c r="R717" s="6">
        <f t="shared" si="333"/>
        <v>19.253910950661851</v>
      </c>
      <c r="S717" s="7">
        <f>B717/몬스터!$C$29*R717</f>
        <v>308.06257521058961</v>
      </c>
      <c r="U717">
        <f>ROUNDDOWN(R717*몬스터!$H$29, 0)*몬스터!$G$29*(1+몬스터!$I$29)</f>
        <v>2358.7199999999998</v>
      </c>
      <c r="V717" s="2">
        <f t="shared" si="337"/>
        <v>1.4690582959641256</v>
      </c>
    </row>
    <row r="718" spans="1:22" x14ac:dyDescent="0.4">
      <c r="A718">
        <v>84</v>
      </c>
      <c r="B718" s="4">
        <f>160*A718</f>
        <v>13440</v>
      </c>
      <c r="C718">
        <f t="shared" si="326"/>
        <v>1130</v>
      </c>
      <c r="D718">
        <f t="shared" si="327"/>
        <v>45</v>
      </c>
      <c r="E718" s="2">
        <v>0</v>
      </c>
      <c r="F718">
        <f t="shared" si="328"/>
        <v>131</v>
      </c>
      <c r="G718">
        <f t="shared" si="329"/>
        <v>0.83300000000000007</v>
      </c>
      <c r="H718" s="3">
        <f t="shared" si="335"/>
        <v>0.05</v>
      </c>
      <c r="I718" s="2">
        <v>2</v>
      </c>
      <c r="J718" s="2">
        <v>0</v>
      </c>
      <c r="K718" s="2">
        <v>1</v>
      </c>
      <c r="L718" s="16">
        <v>1</v>
      </c>
      <c r="M718" s="5">
        <f t="shared" si="330"/>
        <v>1130</v>
      </c>
      <c r="N718" s="6">
        <f t="shared" si="331"/>
        <v>114.57915000000001</v>
      </c>
      <c r="O718">
        <f t="shared" si="332"/>
        <v>1638.5</v>
      </c>
      <c r="P718" s="7">
        <f t="shared" si="336"/>
        <v>14.300158449421206</v>
      </c>
      <c r="Q718">
        <f>ROUNDUP(몬스터!$P$29/F718, 0)</f>
        <v>16</v>
      </c>
      <c r="R718" s="6">
        <f t="shared" si="333"/>
        <v>19.20768307322929</v>
      </c>
      <c r="S718" s="7">
        <f>B718/몬스터!$C$29*R718</f>
        <v>311.02561506530321</v>
      </c>
      <c r="U718">
        <f>ROUNDDOWN(R718*몬스터!$H$29, 0)*몬스터!$G$29*(1+몬스터!$I$29)</f>
        <v>2358.7199999999998</v>
      </c>
      <c r="V718" s="2">
        <f t="shared" si="337"/>
        <v>1.4395605736954531</v>
      </c>
    </row>
    <row r="719" spans="1:22" x14ac:dyDescent="0.4">
      <c r="A719">
        <v>85</v>
      </c>
      <c r="B719" s="4">
        <f>160*A719</f>
        <v>13600</v>
      </c>
      <c r="C719">
        <f t="shared" si="326"/>
        <v>1140</v>
      </c>
      <c r="D719">
        <f t="shared" si="327"/>
        <v>45</v>
      </c>
      <c r="E719" s="2">
        <v>0</v>
      </c>
      <c r="F719">
        <f t="shared" si="328"/>
        <v>132</v>
      </c>
      <c r="G719">
        <f t="shared" si="329"/>
        <v>0.83500000000000008</v>
      </c>
      <c r="H719" s="3">
        <f t="shared" si="335"/>
        <v>0.05</v>
      </c>
      <c r="I719" s="2">
        <v>2</v>
      </c>
      <c r="J719" s="2">
        <v>0</v>
      </c>
      <c r="K719" s="2">
        <v>1</v>
      </c>
      <c r="L719" s="16">
        <v>1</v>
      </c>
      <c r="M719" s="5">
        <f t="shared" si="330"/>
        <v>1140</v>
      </c>
      <c r="N719" s="6">
        <f t="shared" si="331"/>
        <v>115.73100000000002</v>
      </c>
      <c r="O719">
        <f t="shared" si="332"/>
        <v>1653</v>
      </c>
      <c r="P719" s="7">
        <f t="shared" si="336"/>
        <v>14.283122067553203</v>
      </c>
      <c r="Q719">
        <f>ROUNDUP(몬스터!$P$29/F719, 0)</f>
        <v>15</v>
      </c>
      <c r="R719" s="6">
        <f t="shared" si="333"/>
        <v>17.964071856287422</v>
      </c>
      <c r="S719" s="7">
        <f>B719/몬스터!$C$29*R719</f>
        <v>294.35105692229996</v>
      </c>
      <c r="T719" s="7">
        <f t="shared" ref="T719" si="341">SUM(S715:S719)</f>
        <v>1520.617986587511</v>
      </c>
      <c r="U719">
        <f>ROUNDDOWN(R719*몬스터!$H$29, 0)*몬스터!$G$29*(1+몬스터!$I$29)</f>
        <v>2211.2999999999997</v>
      </c>
      <c r="V719" s="2">
        <f t="shared" si="337"/>
        <v>1.3377495462794917</v>
      </c>
    </row>
    <row r="720" spans="1:22" x14ac:dyDescent="0.4">
      <c r="A720">
        <v>86</v>
      </c>
      <c r="B720" s="4">
        <f>170*A720</f>
        <v>14620</v>
      </c>
      <c r="C720">
        <f t="shared" si="326"/>
        <v>1150</v>
      </c>
      <c r="D720">
        <f t="shared" si="327"/>
        <v>45</v>
      </c>
      <c r="E720" s="2">
        <v>0</v>
      </c>
      <c r="F720">
        <f t="shared" si="328"/>
        <v>133</v>
      </c>
      <c r="G720">
        <f t="shared" si="329"/>
        <v>0.83700000000000008</v>
      </c>
      <c r="H720" s="3">
        <f t="shared" si="335"/>
        <v>0.05</v>
      </c>
      <c r="I720" s="2">
        <v>2</v>
      </c>
      <c r="J720" s="2">
        <v>0</v>
      </c>
      <c r="K720" s="2">
        <v>1</v>
      </c>
      <c r="L720" s="16">
        <v>1</v>
      </c>
      <c r="M720" s="5">
        <f t="shared" si="330"/>
        <v>1150</v>
      </c>
      <c r="N720" s="6">
        <f t="shared" si="331"/>
        <v>116.88705000000002</v>
      </c>
      <c r="O720">
        <f t="shared" si="332"/>
        <v>1667.5</v>
      </c>
      <c r="P720" s="7">
        <f t="shared" si="336"/>
        <v>14.265908841056385</v>
      </c>
      <c r="Q720">
        <f>ROUNDUP(몬스터!$P$30/F720, 0)</f>
        <v>17</v>
      </c>
      <c r="R720" s="6">
        <f t="shared" si="333"/>
        <v>20.310633213859017</v>
      </c>
      <c r="S720" s="7">
        <f>B720/몬스터!$C$30*R720</f>
        <v>337.43347453024865</v>
      </c>
      <c r="U720">
        <f>ROUNDDOWN(R720*몬스터!$H$30, 0)*몬스터!$G$30*(1+몬스터!$I$30)</f>
        <v>2662.3274999999999</v>
      </c>
      <c r="V720" s="2">
        <f t="shared" si="337"/>
        <v>1.5965982008995501</v>
      </c>
    </row>
    <row r="721" spans="1:22" x14ac:dyDescent="0.4">
      <c r="A721">
        <v>87</v>
      </c>
      <c r="B721" s="4">
        <f>170*A721</f>
        <v>14790</v>
      </c>
      <c r="C721">
        <f t="shared" si="326"/>
        <v>1160</v>
      </c>
      <c r="D721">
        <f t="shared" si="327"/>
        <v>46</v>
      </c>
      <c r="E721" s="2">
        <v>0</v>
      </c>
      <c r="F721">
        <f t="shared" si="328"/>
        <v>135</v>
      </c>
      <c r="G721">
        <f t="shared" si="329"/>
        <v>0.83900000000000008</v>
      </c>
      <c r="H721" s="3">
        <f t="shared" si="335"/>
        <v>0.05</v>
      </c>
      <c r="I721" s="2">
        <v>2</v>
      </c>
      <c r="J721" s="2">
        <v>0</v>
      </c>
      <c r="K721" s="2">
        <v>1</v>
      </c>
      <c r="L721" s="16">
        <v>1</v>
      </c>
      <c r="M721" s="5">
        <f t="shared" si="330"/>
        <v>1160</v>
      </c>
      <c r="N721" s="6">
        <f t="shared" si="331"/>
        <v>118.92825000000002</v>
      </c>
      <c r="O721">
        <f t="shared" si="332"/>
        <v>1693.6</v>
      </c>
      <c r="P721" s="7">
        <f t="shared" si="336"/>
        <v>14.240518968369582</v>
      </c>
      <c r="Q721">
        <f>ROUNDUP(몬스터!$P$30/F721, 0)</f>
        <v>16</v>
      </c>
      <c r="R721" s="6">
        <f t="shared" si="333"/>
        <v>19.070321811680571</v>
      </c>
      <c r="S721" s="7">
        <f>B721/몬스터!$C$30*R721</f>
        <v>320.51143135767688</v>
      </c>
      <c r="U721">
        <f>ROUNDDOWN(R721*몬스터!$H$30, 0)*몬스터!$G$30*(1+몬스터!$I$30)</f>
        <v>2505.7199999999998</v>
      </c>
      <c r="V721" s="2">
        <f t="shared" si="337"/>
        <v>1.4795229097779876</v>
      </c>
    </row>
    <row r="722" spans="1:22" x14ac:dyDescent="0.4">
      <c r="A722">
        <v>88</v>
      </c>
      <c r="B722" s="4">
        <f>170*A722</f>
        <v>14960</v>
      </c>
      <c r="C722">
        <f t="shared" si="326"/>
        <v>1175</v>
      </c>
      <c r="D722">
        <f t="shared" si="327"/>
        <v>46</v>
      </c>
      <c r="E722" s="2">
        <v>0</v>
      </c>
      <c r="F722">
        <f t="shared" si="328"/>
        <v>136</v>
      </c>
      <c r="G722">
        <f t="shared" si="329"/>
        <v>0.84099999999999997</v>
      </c>
      <c r="H722" s="3">
        <f t="shared" si="335"/>
        <v>0.05</v>
      </c>
      <c r="I722" s="2">
        <v>2</v>
      </c>
      <c r="J722" s="2">
        <v>0</v>
      </c>
      <c r="K722" s="2">
        <v>1</v>
      </c>
      <c r="L722" s="16">
        <v>1</v>
      </c>
      <c r="M722" s="5">
        <f t="shared" si="330"/>
        <v>1170</v>
      </c>
      <c r="N722" s="6">
        <f t="shared" si="331"/>
        <v>120.09479999999999</v>
      </c>
      <c r="O722">
        <f t="shared" si="332"/>
        <v>1715.5</v>
      </c>
      <c r="P722" s="7">
        <f t="shared" si="336"/>
        <v>14.284548539986744</v>
      </c>
      <c r="Q722">
        <f>ROUNDUP(몬스터!$P$30/F722, 0)</f>
        <v>16</v>
      </c>
      <c r="R722" s="6">
        <f t="shared" si="333"/>
        <v>19.024970273483948</v>
      </c>
      <c r="S722" s="7">
        <f>B722/몬스터!$C$30*R722</f>
        <v>323.42449464922714</v>
      </c>
      <c r="U722">
        <f>ROUNDDOWN(R722*몬스터!$H$30, 0)*몬스터!$G$30*(1+몬스터!$I$30)</f>
        <v>2505.7199999999998</v>
      </c>
      <c r="V722" s="2">
        <f t="shared" si="337"/>
        <v>1.4606353832701835</v>
      </c>
    </row>
    <row r="723" spans="1:22" x14ac:dyDescent="0.4">
      <c r="A723">
        <v>89</v>
      </c>
      <c r="B723" s="4">
        <f>170*A723</f>
        <v>15130</v>
      </c>
      <c r="C723">
        <f t="shared" si="326"/>
        <v>1185</v>
      </c>
      <c r="D723">
        <f t="shared" si="327"/>
        <v>46</v>
      </c>
      <c r="E723" s="2">
        <v>0</v>
      </c>
      <c r="F723">
        <f t="shared" si="328"/>
        <v>137</v>
      </c>
      <c r="G723">
        <f t="shared" si="329"/>
        <v>0.84299999999999997</v>
      </c>
      <c r="H723" s="3">
        <f t="shared" si="335"/>
        <v>0.05</v>
      </c>
      <c r="I723" s="2">
        <v>2</v>
      </c>
      <c r="J723" s="2">
        <v>0</v>
      </c>
      <c r="K723" s="2">
        <v>1</v>
      </c>
      <c r="L723" s="16">
        <v>1</v>
      </c>
      <c r="M723" s="5">
        <f t="shared" si="330"/>
        <v>1180</v>
      </c>
      <c r="N723" s="6">
        <f t="shared" si="331"/>
        <v>121.26555</v>
      </c>
      <c r="O723">
        <f t="shared" si="332"/>
        <v>1730.1</v>
      </c>
      <c r="P723" s="7">
        <f t="shared" si="336"/>
        <v>14.267036268750687</v>
      </c>
      <c r="Q723">
        <f>ROUNDUP(몬스터!$P$30/F723, 0)</f>
        <v>16</v>
      </c>
      <c r="R723" s="6">
        <f t="shared" si="333"/>
        <v>18.979833926453143</v>
      </c>
      <c r="S723" s="7">
        <f>B723/몬스터!$C$30*R723</f>
        <v>326.32373557640454</v>
      </c>
      <c r="U723">
        <f>ROUNDDOWN(R723*몬스터!$H$30, 0)*몬스터!$G$30*(1+몬스터!$I$30)</f>
        <v>2505.7199999999998</v>
      </c>
      <c r="V723" s="2">
        <f t="shared" si="337"/>
        <v>1.4483093462805618</v>
      </c>
    </row>
    <row r="724" spans="1:22" x14ac:dyDescent="0.4">
      <c r="A724">
        <v>90</v>
      </c>
      <c r="B724" s="4">
        <f>170*A724</f>
        <v>15300</v>
      </c>
      <c r="C724">
        <f t="shared" si="326"/>
        <v>1195</v>
      </c>
      <c r="D724">
        <f t="shared" si="327"/>
        <v>47</v>
      </c>
      <c r="E724" s="2">
        <v>0</v>
      </c>
      <c r="F724">
        <f t="shared" si="328"/>
        <v>139</v>
      </c>
      <c r="G724">
        <f t="shared" si="329"/>
        <v>0.84499999999999997</v>
      </c>
      <c r="H724" s="3">
        <f t="shared" si="335"/>
        <v>0.05</v>
      </c>
      <c r="I724" s="2">
        <v>2</v>
      </c>
      <c r="J724" s="2">
        <v>0</v>
      </c>
      <c r="K724" s="2">
        <v>1</v>
      </c>
      <c r="L724" s="16">
        <v>1</v>
      </c>
      <c r="M724" s="5">
        <f t="shared" si="330"/>
        <v>1190</v>
      </c>
      <c r="N724" s="6">
        <f t="shared" si="331"/>
        <v>123.32775000000001</v>
      </c>
      <c r="O724">
        <f t="shared" si="332"/>
        <v>1756.6499999999999</v>
      </c>
      <c r="P724" s="7">
        <f t="shared" si="336"/>
        <v>14.243752926652759</v>
      </c>
      <c r="Q724">
        <f>ROUNDUP(몬스터!$P$30/F724, 0)</f>
        <v>16</v>
      </c>
      <c r="R724" s="6">
        <f t="shared" si="333"/>
        <v>18.934911242603551</v>
      </c>
      <c r="S724" s="7">
        <f>B724/몬스터!$C$30*R724</f>
        <v>329.2092522861754</v>
      </c>
      <c r="T724" s="7">
        <f t="shared" ref="T724" si="342">SUM(S720:S724)</f>
        <v>1636.9023883997324</v>
      </c>
      <c r="U724">
        <f>ROUNDDOWN(R724*몬스터!$H$30, 0)*몬스터!$G$30*(1+몬스터!$I$30)</f>
        <v>2505.7199999999998</v>
      </c>
      <c r="V724" s="2">
        <f t="shared" si="337"/>
        <v>1.4264196054991034</v>
      </c>
    </row>
    <row r="725" spans="1:22" x14ac:dyDescent="0.4">
      <c r="A725">
        <v>91</v>
      </c>
      <c r="B725" s="4">
        <f>160*A725</f>
        <v>14560</v>
      </c>
      <c r="C725">
        <f t="shared" si="326"/>
        <v>1210</v>
      </c>
      <c r="D725">
        <f t="shared" si="327"/>
        <v>47</v>
      </c>
      <c r="E725" s="2">
        <v>0</v>
      </c>
      <c r="F725">
        <f t="shared" si="328"/>
        <v>140</v>
      </c>
      <c r="G725">
        <f t="shared" si="329"/>
        <v>0.84699999999999998</v>
      </c>
      <c r="H725" s="3">
        <f t="shared" si="335"/>
        <v>0.05</v>
      </c>
      <c r="I725" s="2">
        <v>2</v>
      </c>
      <c r="J725" s="2">
        <v>0</v>
      </c>
      <c r="K725" s="2">
        <v>1</v>
      </c>
      <c r="L725" s="16">
        <v>1</v>
      </c>
      <c r="M725" s="5">
        <f t="shared" si="330"/>
        <v>1200</v>
      </c>
      <c r="N725" s="6">
        <f t="shared" si="331"/>
        <v>124.509</v>
      </c>
      <c r="O725">
        <f t="shared" si="332"/>
        <v>1778.7</v>
      </c>
      <c r="P725" s="7">
        <f t="shared" si="336"/>
        <v>14.285714285714286</v>
      </c>
      <c r="Q725">
        <f>ROUNDUP(몬스터!$P$31/F725, 0)</f>
        <v>17</v>
      </c>
      <c r="R725" s="6">
        <f t="shared" si="333"/>
        <v>20.070838252656436</v>
      </c>
      <c r="S725" s="7">
        <f>B725/몬스터!$C$31*R725</f>
        <v>314.22731715986851</v>
      </c>
      <c r="U725">
        <f>ROUNDDOWN(R725*몬스터!$H$31, 0)*몬스터!$G$31*(1+몬스터!$I$31)</f>
        <v>2840.4450000000002</v>
      </c>
      <c r="V725" s="2">
        <f t="shared" si="337"/>
        <v>1.5969219092595717</v>
      </c>
    </row>
    <row r="726" spans="1:22" x14ac:dyDescent="0.4">
      <c r="A726">
        <v>92</v>
      </c>
      <c r="B726" s="4">
        <f>160*A726</f>
        <v>14720</v>
      </c>
      <c r="C726">
        <f t="shared" si="326"/>
        <v>1220</v>
      </c>
      <c r="D726">
        <f t="shared" si="327"/>
        <v>47</v>
      </c>
      <c r="E726" s="2">
        <v>0</v>
      </c>
      <c r="F726">
        <f t="shared" si="328"/>
        <v>141</v>
      </c>
      <c r="G726">
        <f t="shared" si="329"/>
        <v>0.84899999999999998</v>
      </c>
      <c r="H726" s="3">
        <f t="shared" si="335"/>
        <v>0.05</v>
      </c>
      <c r="I726" s="2">
        <v>2</v>
      </c>
      <c r="J726" s="2">
        <v>0</v>
      </c>
      <c r="K726" s="2">
        <v>1</v>
      </c>
      <c r="L726" s="16">
        <v>1</v>
      </c>
      <c r="M726" s="5">
        <f t="shared" si="330"/>
        <v>1210</v>
      </c>
      <c r="N726" s="6">
        <f t="shared" si="331"/>
        <v>125.69445</v>
      </c>
      <c r="O726">
        <f t="shared" si="332"/>
        <v>1793.3999999999999</v>
      </c>
      <c r="P726" s="7">
        <f t="shared" si="336"/>
        <v>14.267933071030582</v>
      </c>
      <c r="Q726">
        <f>ROUNDUP(몬스터!$P$31/F726, 0)</f>
        <v>17</v>
      </c>
      <c r="R726" s="6">
        <f t="shared" si="333"/>
        <v>20.023557126030624</v>
      </c>
      <c r="S726" s="7">
        <f>B726/몬스터!$C$31*R726</f>
        <v>316.93200096254924</v>
      </c>
      <c r="U726">
        <f>ROUNDDOWN(R726*몬스터!$H$31, 0)*몬스터!$G$31*(1+몬스터!$I$31)</f>
        <v>2840.4450000000002</v>
      </c>
      <c r="V726" s="2">
        <f t="shared" si="337"/>
        <v>1.5838323854131819</v>
      </c>
    </row>
    <row r="727" spans="1:22" x14ac:dyDescent="0.4">
      <c r="A727">
        <v>93</v>
      </c>
      <c r="B727" s="4">
        <f>160*A727</f>
        <v>14880</v>
      </c>
      <c r="C727">
        <f t="shared" si="326"/>
        <v>1230</v>
      </c>
      <c r="D727">
        <f t="shared" si="327"/>
        <v>47</v>
      </c>
      <c r="E727" s="2">
        <v>0</v>
      </c>
      <c r="F727">
        <f t="shared" si="328"/>
        <v>143</v>
      </c>
      <c r="G727">
        <f t="shared" si="329"/>
        <v>0.85099999999999998</v>
      </c>
      <c r="H727" s="3">
        <f t="shared" si="335"/>
        <v>0.05</v>
      </c>
      <c r="I727" s="2">
        <v>2</v>
      </c>
      <c r="J727" s="2">
        <v>0</v>
      </c>
      <c r="K727" s="2">
        <v>1</v>
      </c>
      <c r="L727" s="16">
        <v>1</v>
      </c>
      <c r="M727" s="5">
        <f t="shared" si="330"/>
        <v>1220</v>
      </c>
      <c r="N727" s="6">
        <f t="shared" si="331"/>
        <v>127.77765000000001</v>
      </c>
      <c r="O727">
        <f t="shared" si="332"/>
        <v>1808.1</v>
      </c>
      <c r="P727" s="7">
        <f t="shared" si="336"/>
        <v>14.150361976448931</v>
      </c>
      <c r="Q727">
        <f>ROUNDUP(몬스터!$P$31/F727, 0)</f>
        <v>17</v>
      </c>
      <c r="R727" s="6">
        <f t="shared" si="333"/>
        <v>19.976498237367803</v>
      </c>
      <c r="S727" s="7">
        <f>B727/몬스터!$C$31*R727</f>
        <v>319.62397179788485</v>
      </c>
      <c r="U727">
        <f>ROUNDDOWN(R727*몬스터!$H$31, 0)*몬스터!$G$31*(1+몬스터!$I$31)</f>
        <v>2840.4450000000002</v>
      </c>
      <c r="V727" s="2">
        <f t="shared" si="337"/>
        <v>1.5709556993529121</v>
      </c>
    </row>
    <row r="728" spans="1:22" x14ac:dyDescent="0.4">
      <c r="A728">
        <v>94</v>
      </c>
      <c r="B728" s="4">
        <f>160*A728</f>
        <v>15040</v>
      </c>
      <c r="C728">
        <f t="shared" si="326"/>
        <v>1245</v>
      </c>
      <c r="D728">
        <f t="shared" si="327"/>
        <v>48</v>
      </c>
      <c r="E728" s="2">
        <v>0</v>
      </c>
      <c r="F728">
        <f t="shared" si="328"/>
        <v>144</v>
      </c>
      <c r="G728">
        <f t="shared" si="329"/>
        <v>0.85299999999999998</v>
      </c>
      <c r="H728" s="3">
        <f t="shared" si="335"/>
        <v>0.05</v>
      </c>
      <c r="I728" s="2">
        <v>2</v>
      </c>
      <c r="J728" s="2">
        <v>0</v>
      </c>
      <c r="K728" s="2">
        <v>1</v>
      </c>
      <c r="L728" s="16">
        <v>1</v>
      </c>
      <c r="M728" s="5">
        <f t="shared" si="330"/>
        <v>1230</v>
      </c>
      <c r="N728" s="6">
        <f t="shared" si="331"/>
        <v>128.9736</v>
      </c>
      <c r="O728">
        <f t="shared" si="332"/>
        <v>1842.6</v>
      </c>
      <c r="P728" s="7">
        <f t="shared" si="336"/>
        <v>14.286644708684566</v>
      </c>
      <c r="Q728">
        <f>ROUNDUP(몬스터!$P$31/F728, 0)</f>
        <v>17</v>
      </c>
      <c r="R728" s="6">
        <f t="shared" si="333"/>
        <v>19.929660023446658</v>
      </c>
      <c r="S728" s="7">
        <f>B728/몬스터!$C$31*R728</f>
        <v>322.30331908885779</v>
      </c>
      <c r="U728">
        <f>ROUNDDOWN(R728*몬스터!$H$31, 0)*몬스터!$G$31*(1+몬스터!$I$31)</f>
        <v>2840.4450000000002</v>
      </c>
      <c r="V728" s="2">
        <f t="shared" si="337"/>
        <v>1.5415418430478673</v>
      </c>
    </row>
    <row r="729" spans="1:22" x14ac:dyDescent="0.4">
      <c r="A729">
        <v>95</v>
      </c>
      <c r="B729" s="4">
        <f>160*A729</f>
        <v>15200</v>
      </c>
      <c r="C729">
        <f t="shared" si="326"/>
        <v>1255</v>
      </c>
      <c r="D729">
        <f t="shared" si="327"/>
        <v>48</v>
      </c>
      <c r="E729" s="2">
        <v>0</v>
      </c>
      <c r="F729">
        <f t="shared" si="328"/>
        <v>145</v>
      </c>
      <c r="G729">
        <f t="shared" si="329"/>
        <v>0.85499999999999998</v>
      </c>
      <c r="H729" s="3">
        <f t="shared" si="335"/>
        <v>0.05</v>
      </c>
      <c r="I729" s="2">
        <v>2</v>
      </c>
      <c r="J729" s="2">
        <v>0</v>
      </c>
      <c r="K729" s="2">
        <v>1</v>
      </c>
      <c r="L729" s="16">
        <v>1</v>
      </c>
      <c r="M729" s="5">
        <f t="shared" si="330"/>
        <v>1240</v>
      </c>
      <c r="N729" s="6">
        <f t="shared" si="331"/>
        <v>130.17375000000001</v>
      </c>
      <c r="O729">
        <f t="shared" si="332"/>
        <v>1857.4</v>
      </c>
      <c r="P729" s="7">
        <f t="shared" si="336"/>
        <v>14.26862174593572</v>
      </c>
      <c r="Q729">
        <f>ROUNDUP(몬스터!$P$31/F729, 0)</f>
        <v>17</v>
      </c>
      <c r="R729" s="6">
        <f t="shared" si="333"/>
        <v>19.883040935672515</v>
      </c>
      <c r="S729" s="7">
        <f>B729/몬스터!$C$31*R729</f>
        <v>324.97013142174433</v>
      </c>
      <c r="T729" s="7">
        <f t="shared" ref="T729" si="343">SUM(S725:S729)</f>
        <v>1598.0567404309047</v>
      </c>
      <c r="U729">
        <f>ROUNDDOWN(R729*몬스터!$H$31, 0)*몬스터!$G$31*(1+몬스터!$I$31)</f>
        <v>2840.4450000000002</v>
      </c>
      <c r="V729" s="2">
        <f t="shared" si="337"/>
        <v>1.5292586411112308</v>
      </c>
    </row>
    <row r="730" spans="1:22" x14ac:dyDescent="0.4">
      <c r="A730">
        <v>96</v>
      </c>
      <c r="B730" s="4">
        <f>170*A730</f>
        <v>16320</v>
      </c>
      <c r="C730">
        <f t="shared" si="326"/>
        <v>1265</v>
      </c>
      <c r="D730">
        <f t="shared" si="327"/>
        <v>48</v>
      </c>
      <c r="E730" s="2">
        <v>0</v>
      </c>
      <c r="F730">
        <f t="shared" si="328"/>
        <v>147</v>
      </c>
      <c r="G730">
        <f t="shared" si="329"/>
        <v>0.85699999999999998</v>
      </c>
      <c r="H730" s="3">
        <f t="shared" si="335"/>
        <v>0.05</v>
      </c>
      <c r="I730" s="2">
        <v>2</v>
      </c>
      <c r="J730" s="2">
        <v>0</v>
      </c>
      <c r="K730" s="2">
        <v>1</v>
      </c>
      <c r="L730" s="16">
        <v>1</v>
      </c>
      <c r="M730" s="5">
        <f t="shared" si="330"/>
        <v>1250</v>
      </c>
      <c r="N730" s="6">
        <f t="shared" si="331"/>
        <v>132.27795</v>
      </c>
      <c r="O730">
        <f t="shared" si="332"/>
        <v>1872.2</v>
      </c>
      <c r="P730" s="7">
        <f t="shared" si="336"/>
        <v>14.153530501493258</v>
      </c>
      <c r="Q730">
        <f>ROUNDUP(몬스터!$P$32/F730, 0)</f>
        <v>18</v>
      </c>
      <c r="R730" s="6">
        <f t="shared" si="333"/>
        <v>21.003500583430572</v>
      </c>
      <c r="S730" s="7">
        <f>B730/몬스터!$C$32*R730</f>
        <v>349.77258114447648</v>
      </c>
      <c r="U730">
        <f>ROUNDDOWN(R730*몬스터!$H$32, 0)*몬스터!$G$32*(1+몬스터!$I$32)</f>
        <v>3176.8199999999997</v>
      </c>
      <c r="V730" s="2">
        <f t="shared" si="337"/>
        <v>1.6968379446640314</v>
      </c>
    </row>
    <row r="731" spans="1:22" x14ac:dyDescent="0.4">
      <c r="A731">
        <v>97</v>
      </c>
      <c r="B731" s="4">
        <f>170*A731</f>
        <v>16490</v>
      </c>
      <c r="C731">
        <f t="shared" si="326"/>
        <v>1280</v>
      </c>
      <c r="D731">
        <f t="shared" si="327"/>
        <v>49</v>
      </c>
      <c r="E731" s="2">
        <v>0</v>
      </c>
      <c r="F731">
        <f t="shared" si="328"/>
        <v>148</v>
      </c>
      <c r="G731">
        <f t="shared" si="329"/>
        <v>0.85899999999999999</v>
      </c>
      <c r="H731" s="3">
        <f t="shared" si="335"/>
        <v>0.05</v>
      </c>
      <c r="I731" s="2">
        <v>2</v>
      </c>
      <c r="J731" s="2">
        <v>0</v>
      </c>
      <c r="K731" s="2">
        <v>1</v>
      </c>
      <c r="L731" s="16">
        <v>1</v>
      </c>
      <c r="M731" s="5">
        <f t="shared" si="330"/>
        <v>1260</v>
      </c>
      <c r="N731" s="6">
        <f t="shared" si="331"/>
        <v>133.48860000000002</v>
      </c>
      <c r="O731">
        <f t="shared" si="332"/>
        <v>1907.2</v>
      </c>
      <c r="P731" s="7">
        <f t="shared" si="336"/>
        <v>14.287362366524182</v>
      </c>
      <c r="Q731">
        <f>ROUNDUP(몬스터!$P$32/F731, 0)</f>
        <v>17</v>
      </c>
      <c r="R731" s="6">
        <f t="shared" ref="R731:R734" si="344">Q731/G731</f>
        <v>19.790454016298021</v>
      </c>
      <c r="S731" s="7">
        <f>B731/몬스터!$C$32*R731</f>
        <v>333.00468033546366</v>
      </c>
      <c r="U731">
        <f>ROUNDDOWN(R731*몬스터!$H$32, 0)*몬스터!$G$32*(1+몬스터!$I$32)</f>
        <v>3000.33</v>
      </c>
      <c r="V731" s="2">
        <f t="shared" si="337"/>
        <v>1.5731596057046979</v>
      </c>
    </row>
    <row r="732" spans="1:22" x14ac:dyDescent="0.4">
      <c r="A732">
        <v>98</v>
      </c>
      <c r="B732" s="4">
        <f>170*A732</f>
        <v>16660</v>
      </c>
      <c r="C732">
        <f t="shared" si="326"/>
        <v>1290</v>
      </c>
      <c r="D732">
        <f t="shared" si="327"/>
        <v>49</v>
      </c>
      <c r="E732" s="2">
        <v>0</v>
      </c>
      <c r="F732">
        <f t="shared" si="328"/>
        <v>149</v>
      </c>
      <c r="G732">
        <f t="shared" si="329"/>
        <v>0.86099999999999999</v>
      </c>
      <c r="H732" s="3">
        <f t="shared" si="335"/>
        <v>0.05</v>
      </c>
      <c r="I732" s="2">
        <v>2</v>
      </c>
      <c r="J732" s="2">
        <v>0</v>
      </c>
      <c r="K732" s="2">
        <v>1</v>
      </c>
      <c r="L732" s="16">
        <v>1</v>
      </c>
      <c r="M732" s="5">
        <f t="shared" si="330"/>
        <v>1270</v>
      </c>
      <c r="N732" s="6">
        <f t="shared" si="331"/>
        <v>134.70345</v>
      </c>
      <c r="O732">
        <f t="shared" si="332"/>
        <v>1922.1</v>
      </c>
      <c r="P732" s="7">
        <f t="shared" si="336"/>
        <v>14.269122283059565</v>
      </c>
      <c r="Q732">
        <f>ROUNDUP(몬스터!$P$32/F732, 0)</f>
        <v>17</v>
      </c>
      <c r="R732" s="6">
        <f t="shared" si="344"/>
        <v>19.744483159117305</v>
      </c>
      <c r="S732" s="7">
        <f>B732/몬스터!$C$32*R732</f>
        <v>335.65621370499417</v>
      </c>
      <c r="U732">
        <f>ROUNDDOWN(R732*몬스터!$H$32, 0)*몬스터!$G$32*(1+몬스터!$I$32)</f>
        <v>3000.33</v>
      </c>
      <c r="V732" s="2">
        <f t="shared" si="337"/>
        <v>1.5609645700015609</v>
      </c>
    </row>
    <row r="733" spans="1:22" x14ac:dyDescent="0.4">
      <c r="A733">
        <v>99</v>
      </c>
      <c r="B733" s="4">
        <f>170*A733</f>
        <v>16830</v>
      </c>
      <c r="C733">
        <f t="shared" si="326"/>
        <v>1300</v>
      </c>
      <c r="D733">
        <f t="shared" si="327"/>
        <v>49</v>
      </c>
      <c r="E733" s="2">
        <v>0</v>
      </c>
      <c r="F733">
        <f t="shared" si="328"/>
        <v>151</v>
      </c>
      <c r="G733">
        <f t="shared" si="329"/>
        <v>0.86299999999999999</v>
      </c>
      <c r="H733" s="3">
        <f t="shared" si="335"/>
        <v>0.05</v>
      </c>
      <c r="I733" s="2">
        <v>2</v>
      </c>
      <c r="J733" s="2">
        <v>0</v>
      </c>
      <c r="K733" s="2">
        <v>1</v>
      </c>
      <c r="L733" s="16">
        <v>1</v>
      </c>
      <c r="M733" s="5">
        <f t="shared" si="330"/>
        <v>1280</v>
      </c>
      <c r="N733" s="6">
        <f t="shared" si="331"/>
        <v>136.82864999999998</v>
      </c>
      <c r="O733">
        <f t="shared" si="332"/>
        <v>1937</v>
      </c>
      <c r="P733" s="7">
        <f t="shared" si="336"/>
        <v>14.156391954462755</v>
      </c>
      <c r="Q733">
        <f>ROUNDUP(몬스터!$P$32/F733, 0)</f>
        <v>17</v>
      </c>
      <c r="R733" s="6">
        <f t="shared" si="344"/>
        <v>19.698725376593281</v>
      </c>
      <c r="S733" s="7">
        <f>B733/몬스터!$C$32*R733</f>
        <v>338.29545723271929</v>
      </c>
      <c r="U733">
        <f>ROUNDDOWN(R733*몬스터!$H$32, 0)*몬스터!$G$32*(1+몬스터!$I$32)</f>
        <v>3000.33</v>
      </c>
      <c r="V733" s="2">
        <f t="shared" si="337"/>
        <v>1.5489571502323181</v>
      </c>
    </row>
    <row r="734" spans="1:22" x14ac:dyDescent="0.4">
      <c r="A734">
        <v>100</v>
      </c>
      <c r="B734" s="4">
        <f>170*A734</f>
        <v>17000</v>
      </c>
      <c r="C734">
        <f t="shared" si="326"/>
        <v>1315</v>
      </c>
      <c r="D734">
        <f t="shared" si="327"/>
        <v>50</v>
      </c>
      <c r="E734" s="2">
        <v>0</v>
      </c>
      <c r="F734">
        <f t="shared" si="328"/>
        <v>152</v>
      </c>
      <c r="G734">
        <f t="shared" si="329"/>
        <v>0.86499999999999999</v>
      </c>
      <c r="H734" s="3">
        <f t="shared" si="335"/>
        <v>0.05</v>
      </c>
      <c r="I734" s="2">
        <v>2</v>
      </c>
      <c r="J734" s="2">
        <v>0</v>
      </c>
      <c r="K734" s="2">
        <v>1</v>
      </c>
      <c r="L734" s="16">
        <v>1</v>
      </c>
      <c r="M734" s="5">
        <f t="shared" si="330"/>
        <v>1290</v>
      </c>
      <c r="N734" s="6">
        <f t="shared" si="331"/>
        <v>138.054</v>
      </c>
      <c r="O734">
        <f t="shared" si="332"/>
        <v>1972.5</v>
      </c>
      <c r="P734" s="7">
        <f t="shared" si="336"/>
        <v>14.287887348428875</v>
      </c>
      <c r="Q734">
        <f>ROUNDUP(몬스터!$P$32/F734, 0)</f>
        <v>17</v>
      </c>
      <c r="R734" s="6">
        <f t="shared" si="344"/>
        <v>19.653179190751445</v>
      </c>
      <c r="S734" s="7">
        <f>B734/몬스터!$C$32*R734</f>
        <v>340.92249616609649</v>
      </c>
      <c r="T734" s="7">
        <f t="shared" ref="T734" si="345">SUM(S730:S734)</f>
        <v>1697.6514285837502</v>
      </c>
      <c r="U734">
        <f>ROUNDDOWN(R734*몬스터!$H$32, 0)*몬스터!$G$32*(1+몬스터!$I$32)</f>
        <v>3000.33</v>
      </c>
      <c r="V734" s="2">
        <f t="shared" si="337"/>
        <v>1.5210798479087453</v>
      </c>
    </row>
    <row r="736" spans="1:22" x14ac:dyDescent="0.4">
      <c r="A736" t="s">
        <v>282</v>
      </c>
      <c r="B736" t="s">
        <v>299</v>
      </c>
    </row>
    <row r="738" spans="1:22" ht="19.8" thickBot="1" x14ac:dyDescent="0.45">
      <c r="B738" s="42" t="s">
        <v>291</v>
      </c>
    </row>
    <row r="739" spans="1:22" ht="18" thickBot="1" x14ac:dyDescent="0.45">
      <c r="A739" s="36" t="s">
        <v>18</v>
      </c>
      <c r="B739" s="36" t="s">
        <v>300</v>
      </c>
      <c r="C739" s="28" t="s">
        <v>301</v>
      </c>
      <c r="D739" s="28" t="s">
        <v>302</v>
      </c>
      <c r="E739" s="28" t="s">
        <v>303</v>
      </c>
      <c r="F739" s="37" t="s">
        <v>305</v>
      </c>
      <c r="G739" s="37" t="s">
        <v>306</v>
      </c>
      <c r="H739" s="37" t="s">
        <v>307</v>
      </c>
      <c r="I739" s="37" t="s">
        <v>308</v>
      </c>
      <c r="J739" s="37" t="s">
        <v>309</v>
      </c>
      <c r="K739" s="38" t="s">
        <v>310</v>
      </c>
      <c r="L739" s="38" t="s">
        <v>312</v>
      </c>
      <c r="M739" s="38" t="s">
        <v>311</v>
      </c>
      <c r="N739" s="23" t="s">
        <v>313</v>
      </c>
      <c r="O739" s="23" t="s">
        <v>314</v>
      </c>
      <c r="P739" s="23" t="s">
        <v>315</v>
      </c>
      <c r="Q739" s="39" t="s">
        <v>316</v>
      </c>
      <c r="R739" s="39" t="s">
        <v>317</v>
      </c>
      <c r="S739" s="39" t="s">
        <v>318</v>
      </c>
      <c r="T739" s="39" t="s">
        <v>319</v>
      </c>
      <c r="U739" s="39" t="s">
        <v>320</v>
      </c>
      <c r="V739" s="39" t="s">
        <v>321</v>
      </c>
    </row>
    <row r="740" spans="1:22" ht="18" thickTop="1" x14ac:dyDescent="0.4">
      <c r="A740">
        <v>1</v>
      </c>
      <c r="B740" s="4">
        <f>150*A740</f>
        <v>150</v>
      </c>
      <c r="C740">
        <f t="shared" ref="C740:C771" si="346">MROUND((150+A740*11)*0.95,5)</f>
        <v>155</v>
      </c>
      <c r="D740">
        <f t="shared" ref="D740:D771" si="347">ROUNDDOWN((15+A740*0.3), 0)</f>
        <v>15</v>
      </c>
      <c r="E740" s="2">
        <v>0.1</v>
      </c>
      <c r="F740">
        <f t="shared" ref="F740:F771" si="348">ROUND((28+A740*2)*2/3, 0)</f>
        <v>20</v>
      </c>
      <c r="G740">
        <f t="shared" ref="G740:G771" si="349">0.665+0.002*A740</f>
        <v>0.66700000000000004</v>
      </c>
      <c r="H740" s="3">
        <f>0.05</f>
        <v>0.05</v>
      </c>
      <c r="I740" s="2">
        <v>2</v>
      </c>
      <c r="J740" s="2">
        <v>0</v>
      </c>
      <c r="K740" s="2">
        <v>1</v>
      </c>
      <c r="L740" s="16">
        <v>2</v>
      </c>
      <c r="M740" s="5">
        <f t="shared" ref="M740:M771" si="350">290+10*A740</f>
        <v>300</v>
      </c>
      <c r="N740" s="6">
        <f t="shared" ref="N740:N771" si="351">F740*G740*(1+H740)</f>
        <v>14.007</v>
      </c>
      <c r="O740">
        <f t="shared" ref="O740:O771" si="352">C740*(1+D740/100)*(1+E740)</f>
        <v>196.07500000000002</v>
      </c>
      <c r="P740" s="7">
        <f>O740/N740</f>
        <v>13.998357963875208</v>
      </c>
      <c r="Q740">
        <f>ROUNDUP(몬스터!$P$5/F740, 0)</f>
        <v>7</v>
      </c>
      <c r="R740" s="6">
        <f t="shared" ref="R740:R771" si="353">Q740/G740</f>
        <v>10.494752623688155</v>
      </c>
      <c r="S740" s="7">
        <f>B740/몬스터!$C$5*R740</f>
        <v>52.473763118440779</v>
      </c>
      <c r="U740">
        <f>ROUNDDOWN(R740*몬스터!$H$5, 0)*몬스터!$G$5*(1+몬스터!$I$5)</f>
        <v>37.800000000000004</v>
      </c>
      <c r="V740" s="2">
        <f>U740/O740</f>
        <v>0.19278337370903992</v>
      </c>
    </row>
    <row r="741" spans="1:22" x14ac:dyDescent="0.4">
      <c r="A741">
        <v>2</v>
      </c>
      <c r="B741" s="4">
        <f>150*A741</f>
        <v>300</v>
      </c>
      <c r="C741">
        <f t="shared" si="346"/>
        <v>165</v>
      </c>
      <c r="D741">
        <f t="shared" si="347"/>
        <v>15</v>
      </c>
      <c r="E741" s="2">
        <v>0.1</v>
      </c>
      <c r="F741">
        <f t="shared" si="348"/>
        <v>21</v>
      </c>
      <c r="G741">
        <f t="shared" si="349"/>
        <v>0.66900000000000004</v>
      </c>
      <c r="H741" s="3">
        <f t="shared" ref="H741:H804" si="354">0.05</f>
        <v>0.05</v>
      </c>
      <c r="I741" s="2">
        <v>2</v>
      </c>
      <c r="J741" s="2">
        <v>0</v>
      </c>
      <c r="K741" s="2">
        <v>1</v>
      </c>
      <c r="L741" s="16">
        <v>2</v>
      </c>
      <c r="M741" s="5">
        <f t="shared" si="350"/>
        <v>310</v>
      </c>
      <c r="N741" s="6">
        <f t="shared" si="351"/>
        <v>14.751450000000002</v>
      </c>
      <c r="O741">
        <f t="shared" si="352"/>
        <v>208.72499999999999</v>
      </c>
      <c r="P741" s="7">
        <f t="shared" ref="P741:P804" si="355">O741/N741</f>
        <v>14.149456494107357</v>
      </c>
      <c r="Q741">
        <f>ROUNDUP(몬스터!$P$5/F741, 0)</f>
        <v>7</v>
      </c>
      <c r="R741" s="6">
        <f t="shared" si="353"/>
        <v>10.46337817638266</v>
      </c>
      <c r="S741" s="7">
        <f>B741/몬스터!$C$5*R741</f>
        <v>104.6337817638266</v>
      </c>
      <c r="U741">
        <f>ROUNDDOWN(R741*몬스터!$H$5, 0)*몬스터!$G$5*(1+몬스터!$I$5)</f>
        <v>37.800000000000004</v>
      </c>
      <c r="V741" s="2">
        <f t="shared" ref="V741:V804" si="356">U741/O741</f>
        <v>0.18109953287818903</v>
      </c>
    </row>
    <row r="742" spans="1:22" x14ac:dyDescent="0.4">
      <c r="A742">
        <v>3</v>
      </c>
      <c r="B742" s="4">
        <f>150*A742</f>
        <v>450</v>
      </c>
      <c r="C742">
        <f t="shared" si="346"/>
        <v>175</v>
      </c>
      <c r="D742">
        <f t="shared" si="347"/>
        <v>15</v>
      </c>
      <c r="E742" s="2">
        <v>0.1</v>
      </c>
      <c r="F742">
        <f t="shared" si="348"/>
        <v>23</v>
      </c>
      <c r="G742">
        <f t="shared" si="349"/>
        <v>0.67100000000000004</v>
      </c>
      <c r="H742" s="3">
        <f t="shared" si="354"/>
        <v>0.05</v>
      </c>
      <c r="I742" s="2">
        <v>2</v>
      </c>
      <c r="J742" s="2">
        <v>0</v>
      </c>
      <c r="K742" s="2">
        <v>1</v>
      </c>
      <c r="L742" s="16">
        <v>2</v>
      </c>
      <c r="M742" s="5">
        <f t="shared" si="350"/>
        <v>320</v>
      </c>
      <c r="N742" s="6">
        <f t="shared" si="351"/>
        <v>16.204650000000001</v>
      </c>
      <c r="O742">
        <f t="shared" si="352"/>
        <v>221.375</v>
      </c>
      <c r="P742" s="7">
        <f t="shared" si="355"/>
        <v>13.66120218579235</v>
      </c>
      <c r="Q742">
        <f>ROUNDUP(몬스터!$P$5/F742, 0)</f>
        <v>6</v>
      </c>
      <c r="R742" s="6">
        <f t="shared" si="353"/>
        <v>8.9418777943368095</v>
      </c>
      <c r="S742" s="7">
        <f>B742/몬스터!$C$5*R742</f>
        <v>134.12816691505213</v>
      </c>
      <c r="U742">
        <f>ROUNDDOWN(R742*몬스터!$H$5, 0)*몬스터!$G$5*(1+몬스터!$I$5)</f>
        <v>31.5</v>
      </c>
      <c r="V742" s="2">
        <f t="shared" si="356"/>
        <v>0.14229249011857709</v>
      </c>
    </row>
    <row r="743" spans="1:22" x14ac:dyDescent="0.4">
      <c r="A743">
        <v>4</v>
      </c>
      <c r="B743" s="4">
        <f>150*A743+50</f>
        <v>650</v>
      </c>
      <c r="C743">
        <f t="shared" si="346"/>
        <v>185</v>
      </c>
      <c r="D743">
        <f t="shared" si="347"/>
        <v>16</v>
      </c>
      <c r="E743" s="2">
        <v>0.1</v>
      </c>
      <c r="F743">
        <f t="shared" si="348"/>
        <v>24</v>
      </c>
      <c r="G743">
        <f t="shared" si="349"/>
        <v>0.67300000000000004</v>
      </c>
      <c r="H743" s="3">
        <f t="shared" si="354"/>
        <v>0.05</v>
      </c>
      <c r="I743" s="2">
        <v>2</v>
      </c>
      <c r="J743" s="2">
        <v>0</v>
      </c>
      <c r="K743" s="2">
        <v>1</v>
      </c>
      <c r="L743" s="16">
        <v>2</v>
      </c>
      <c r="M743" s="5">
        <f t="shared" si="350"/>
        <v>330</v>
      </c>
      <c r="N743" s="6">
        <f t="shared" si="351"/>
        <v>16.959600000000002</v>
      </c>
      <c r="O743">
        <f t="shared" si="352"/>
        <v>236.06</v>
      </c>
      <c r="P743" s="7">
        <f t="shared" si="355"/>
        <v>13.918960352838509</v>
      </c>
      <c r="Q743">
        <f>ROUNDUP(몬스터!$P$5/F743, 0)</f>
        <v>6</v>
      </c>
      <c r="R743" s="6">
        <f t="shared" si="353"/>
        <v>8.9153046062407135</v>
      </c>
      <c r="S743" s="7">
        <f>B743/몬스터!$C$5*R743</f>
        <v>193.16493313521548</v>
      </c>
      <c r="U743">
        <f>ROUNDDOWN(R743*몬스터!$H$5, 0)*몬스터!$G$5*(1+몬스터!$I$5)</f>
        <v>31.5</v>
      </c>
      <c r="V743" s="2">
        <f t="shared" si="356"/>
        <v>0.13344065068202998</v>
      </c>
    </row>
    <row r="744" spans="1:22" x14ac:dyDescent="0.4">
      <c r="A744">
        <v>5</v>
      </c>
      <c r="B744" s="4">
        <f>150*A744+75</f>
        <v>825</v>
      </c>
      <c r="C744">
        <f t="shared" si="346"/>
        <v>195</v>
      </c>
      <c r="D744">
        <f t="shared" si="347"/>
        <v>16</v>
      </c>
      <c r="E744" s="2">
        <v>0.1</v>
      </c>
      <c r="F744">
        <f t="shared" si="348"/>
        <v>25</v>
      </c>
      <c r="G744">
        <f t="shared" si="349"/>
        <v>0.67500000000000004</v>
      </c>
      <c r="H744" s="3">
        <f t="shared" si="354"/>
        <v>0.05</v>
      </c>
      <c r="I744" s="2">
        <v>2</v>
      </c>
      <c r="J744" s="2">
        <v>0</v>
      </c>
      <c r="K744" s="2">
        <v>1</v>
      </c>
      <c r="L744" s="16">
        <v>2</v>
      </c>
      <c r="M744" s="5">
        <f t="shared" si="350"/>
        <v>340</v>
      </c>
      <c r="N744" s="6">
        <f t="shared" si="351"/>
        <v>17.71875</v>
      </c>
      <c r="O744">
        <f t="shared" si="352"/>
        <v>248.82000000000002</v>
      </c>
      <c r="P744" s="7">
        <f t="shared" si="355"/>
        <v>14.042751322751323</v>
      </c>
      <c r="Q744">
        <f>ROUNDUP(몬스터!$P$5/F744, 0)</f>
        <v>6</v>
      </c>
      <c r="R744" s="6">
        <f t="shared" si="353"/>
        <v>8.8888888888888875</v>
      </c>
      <c r="S744" s="7">
        <f>B744/몬스터!$C$5*R744</f>
        <v>244.4444444444444</v>
      </c>
      <c r="T744" s="7">
        <f>SUM(S740:S744)</f>
        <v>728.84508937697933</v>
      </c>
      <c r="U744">
        <f>ROUNDDOWN(R744*몬스터!$H$5, 0)*몬스터!$G$5*(1+몬스터!$I$5)</f>
        <v>31.5</v>
      </c>
      <c r="V744" s="2">
        <f t="shared" si="356"/>
        <v>0.12659754039064383</v>
      </c>
    </row>
    <row r="745" spans="1:22" x14ac:dyDescent="0.4">
      <c r="A745">
        <v>6</v>
      </c>
      <c r="B745" s="4">
        <f>150*A745</f>
        <v>900</v>
      </c>
      <c r="C745">
        <f t="shared" si="346"/>
        <v>205</v>
      </c>
      <c r="D745">
        <f t="shared" si="347"/>
        <v>16</v>
      </c>
      <c r="E745" s="2">
        <v>0.1</v>
      </c>
      <c r="F745">
        <f t="shared" si="348"/>
        <v>27</v>
      </c>
      <c r="G745">
        <f t="shared" si="349"/>
        <v>0.67700000000000005</v>
      </c>
      <c r="H745" s="3">
        <f t="shared" si="354"/>
        <v>0.05</v>
      </c>
      <c r="I745" s="2">
        <v>2</v>
      </c>
      <c r="J745" s="2">
        <v>0</v>
      </c>
      <c r="K745" s="2">
        <v>1</v>
      </c>
      <c r="L745" s="16">
        <v>2</v>
      </c>
      <c r="M745" s="5">
        <f t="shared" si="350"/>
        <v>350</v>
      </c>
      <c r="N745" s="6">
        <f t="shared" si="351"/>
        <v>19.19295</v>
      </c>
      <c r="O745">
        <f t="shared" si="352"/>
        <v>261.58</v>
      </c>
      <c r="P745" s="7">
        <f t="shared" si="355"/>
        <v>13.628962718081379</v>
      </c>
      <c r="Q745">
        <f>ROUNDUP(몬스터!$P$6/F745, 0)</f>
        <v>9</v>
      </c>
      <c r="R745" s="6">
        <f t="shared" si="353"/>
        <v>13.29394387001477</v>
      </c>
      <c r="S745" s="7">
        <f>B745/몬스터!$C$6*R745</f>
        <v>149.55686853766616</v>
      </c>
      <c r="U745">
        <f>ROUNDDOWN(R745*몬스터!$H$6, 0)*몬스터!$G$6*(1+몬스터!$I$6)</f>
        <v>109.98000000000002</v>
      </c>
      <c r="V745" s="2">
        <f t="shared" si="356"/>
        <v>0.42044498814894116</v>
      </c>
    </row>
    <row r="746" spans="1:22" x14ac:dyDescent="0.4">
      <c r="A746">
        <v>7</v>
      </c>
      <c r="B746" s="4">
        <f>150*A746</f>
        <v>1050</v>
      </c>
      <c r="C746">
        <f t="shared" si="346"/>
        <v>215</v>
      </c>
      <c r="D746">
        <f t="shared" si="347"/>
        <v>17</v>
      </c>
      <c r="E746" s="2">
        <v>0.1</v>
      </c>
      <c r="F746">
        <f t="shared" si="348"/>
        <v>28</v>
      </c>
      <c r="G746">
        <f t="shared" si="349"/>
        <v>0.67900000000000005</v>
      </c>
      <c r="H746" s="3">
        <f t="shared" si="354"/>
        <v>0.05</v>
      </c>
      <c r="I746" s="2">
        <v>2</v>
      </c>
      <c r="J746" s="2">
        <v>0</v>
      </c>
      <c r="K746" s="2">
        <v>1</v>
      </c>
      <c r="L746" s="16">
        <v>2</v>
      </c>
      <c r="M746" s="5">
        <f t="shared" si="350"/>
        <v>360</v>
      </c>
      <c r="N746" s="6">
        <f t="shared" si="351"/>
        <v>19.962600000000002</v>
      </c>
      <c r="O746">
        <f t="shared" si="352"/>
        <v>276.70499999999998</v>
      </c>
      <c r="P746" s="7">
        <f t="shared" si="355"/>
        <v>13.86117038862673</v>
      </c>
      <c r="Q746">
        <f>ROUNDUP(몬스터!$P$6/F746, 0)</f>
        <v>8</v>
      </c>
      <c r="R746" s="6">
        <f t="shared" si="353"/>
        <v>11.782032400589101</v>
      </c>
      <c r="S746" s="7">
        <f>B746/몬스터!$C$6*R746</f>
        <v>154.63917525773195</v>
      </c>
      <c r="U746">
        <f>ROUNDDOWN(R746*몬스터!$H$6, 0)*몬스터!$G$6*(1+몬스터!$I$6)</f>
        <v>96.232500000000016</v>
      </c>
      <c r="V746" s="2">
        <f t="shared" si="356"/>
        <v>0.34778012684989434</v>
      </c>
    </row>
    <row r="747" spans="1:22" x14ac:dyDescent="0.4">
      <c r="A747">
        <v>8</v>
      </c>
      <c r="B747" s="4">
        <f>150*A747+50</f>
        <v>1250</v>
      </c>
      <c r="C747">
        <f t="shared" si="346"/>
        <v>225</v>
      </c>
      <c r="D747">
        <f t="shared" si="347"/>
        <v>17</v>
      </c>
      <c r="E747" s="2">
        <v>0.1</v>
      </c>
      <c r="F747">
        <f t="shared" si="348"/>
        <v>29</v>
      </c>
      <c r="G747">
        <f t="shared" si="349"/>
        <v>0.68100000000000005</v>
      </c>
      <c r="H747" s="3">
        <f t="shared" si="354"/>
        <v>0.05</v>
      </c>
      <c r="I747" s="2">
        <v>2</v>
      </c>
      <c r="J747" s="2">
        <v>0</v>
      </c>
      <c r="K747" s="2">
        <v>1</v>
      </c>
      <c r="L747" s="16">
        <v>2</v>
      </c>
      <c r="M747" s="5">
        <f t="shared" si="350"/>
        <v>370</v>
      </c>
      <c r="N747" s="6">
        <f t="shared" si="351"/>
        <v>20.736450000000005</v>
      </c>
      <c r="O747">
        <f t="shared" si="352"/>
        <v>289.57500000000005</v>
      </c>
      <c r="P747" s="7">
        <f t="shared" si="355"/>
        <v>13.964540700071613</v>
      </c>
      <c r="Q747">
        <f>ROUNDUP(몬스터!$P$6/F747, 0)</f>
        <v>8</v>
      </c>
      <c r="R747" s="6">
        <f t="shared" si="353"/>
        <v>11.747430249632892</v>
      </c>
      <c r="S747" s="7">
        <f>B747/몬스터!$C$6*R747</f>
        <v>183.55359765051392</v>
      </c>
      <c r="U747">
        <f>ROUNDDOWN(R747*몬스터!$H$6, 0)*몬스터!$G$6*(1+몬스터!$I$6)</f>
        <v>96.232500000000016</v>
      </c>
      <c r="V747" s="2">
        <f t="shared" si="356"/>
        <v>0.33232323232323235</v>
      </c>
    </row>
    <row r="748" spans="1:22" x14ac:dyDescent="0.4">
      <c r="A748">
        <v>9</v>
      </c>
      <c r="B748" s="4">
        <f>150*A748+50</f>
        <v>1400</v>
      </c>
      <c r="C748">
        <f t="shared" si="346"/>
        <v>235</v>
      </c>
      <c r="D748">
        <f t="shared" si="347"/>
        <v>17</v>
      </c>
      <c r="E748" s="2">
        <v>0.1</v>
      </c>
      <c r="F748">
        <f t="shared" si="348"/>
        <v>31</v>
      </c>
      <c r="G748">
        <f t="shared" si="349"/>
        <v>0.68300000000000005</v>
      </c>
      <c r="H748" s="3">
        <f t="shared" si="354"/>
        <v>0.05</v>
      </c>
      <c r="I748" s="2">
        <v>2</v>
      </c>
      <c r="J748" s="2">
        <v>0</v>
      </c>
      <c r="K748" s="2">
        <v>1</v>
      </c>
      <c r="L748" s="16">
        <v>2</v>
      </c>
      <c r="M748" s="5">
        <f t="shared" si="350"/>
        <v>380</v>
      </c>
      <c r="N748" s="6">
        <f t="shared" si="351"/>
        <v>22.231650000000002</v>
      </c>
      <c r="O748">
        <f t="shared" si="352"/>
        <v>302.44499999999999</v>
      </c>
      <c r="P748" s="7">
        <f t="shared" si="355"/>
        <v>13.60425339549696</v>
      </c>
      <c r="Q748">
        <f>ROUNDUP(몬스터!$P$6/F748, 0)</f>
        <v>8</v>
      </c>
      <c r="R748" s="6">
        <f t="shared" si="353"/>
        <v>11.713030746705709</v>
      </c>
      <c r="S748" s="7">
        <f>B748/몬스터!$C$6*R748</f>
        <v>204.9780380673499</v>
      </c>
      <c r="U748">
        <f>ROUNDDOWN(R748*몬스터!$H$6, 0)*몬스터!$G$6*(1+몬스터!$I$6)</f>
        <v>96.232500000000016</v>
      </c>
      <c r="V748" s="2">
        <f t="shared" si="356"/>
        <v>0.31818181818181823</v>
      </c>
    </row>
    <row r="749" spans="1:22" x14ac:dyDescent="0.4">
      <c r="A749">
        <v>10</v>
      </c>
      <c r="B749" s="4">
        <f>150*A749+50</f>
        <v>1550</v>
      </c>
      <c r="C749">
        <f t="shared" si="346"/>
        <v>245</v>
      </c>
      <c r="D749">
        <f t="shared" si="347"/>
        <v>18</v>
      </c>
      <c r="E749" s="2">
        <v>0.1</v>
      </c>
      <c r="F749">
        <f t="shared" si="348"/>
        <v>32</v>
      </c>
      <c r="G749">
        <f t="shared" si="349"/>
        <v>0.68500000000000005</v>
      </c>
      <c r="H749" s="3">
        <f t="shared" si="354"/>
        <v>0.05</v>
      </c>
      <c r="I749" s="2">
        <v>2</v>
      </c>
      <c r="J749" s="2">
        <v>0</v>
      </c>
      <c r="K749" s="2">
        <v>1</v>
      </c>
      <c r="L749" s="16">
        <v>2</v>
      </c>
      <c r="M749" s="5">
        <f t="shared" si="350"/>
        <v>390</v>
      </c>
      <c r="N749" s="6">
        <f t="shared" si="351"/>
        <v>23.016000000000002</v>
      </c>
      <c r="O749">
        <f t="shared" si="352"/>
        <v>318.01</v>
      </c>
      <c r="P749" s="7">
        <f t="shared" si="355"/>
        <v>13.816909975669098</v>
      </c>
      <c r="Q749">
        <f>ROUNDUP(몬스터!$P$6/F749, 0)</f>
        <v>7</v>
      </c>
      <c r="R749" s="6">
        <f t="shared" si="353"/>
        <v>10.21897810218978</v>
      </c>
      <c r="S749" s="7">
        <f>B749/몬스터!$C$6*R749</f>
        <v>197.99270072992698</v>
      </c>
      <c r="T749" s="7">
        <f>SUM(S745:S749)</f>
        <v>890.72038024318886</v>
      </c>
      <c r="U749">
        <f>ROUNDDOWN(R749*몬스터!$H$6, 0)*몬스터!$G$6*(1+몬스터!$I$6)</f>
        <v>82.485000000000014</v>
      </c>
      <c r="V749" s="2">
        <f t="shared" si="356"/>
        <v>0.25937863589195315</v>
      </c>
    </row>
    <row r="750" spans="1:22" x14ac:dyDescent="0.4">
      <c r="A750">
        <v>11</v>
      </c>
      <c r="B750" s="4">
        <f>160*A750</f>
        <v>1760</v>
      </c>
      <c r="C750">
        <f t="shared" si="346"/>
        <v>255</v>
      </c>
      <c r="D750">
        <f t="shared" si="347"/>
        <v>18</v>
      </c>
      <c r="E750" s="2">
        <v>0.1</v>
      </c>
      <c r="F750">
        <f t="shared" si="348"/>
        <v>33</v>
      </c>
      <c r="G750">
        <f t="shared" si="349"/>
        <v>0.68700000000000006</v>
      </c>
      <c r="H750" s="3">
        <f t="shared" si="354"/>
        <v>0.05</v>
      </c>
      <c r="I750" s="2">
        <v>2</v>
      </c>
      <c r="J750" s="2">
        <v>0</v>
      </c>
      <c r="K750" s="2">
        <v>1</v>
      </c>
      <c r="L750" s="16">
        <v>2</v>
      </c>
      <c r="M750" s="5">
        <f t="shared" si="350"/>
        <v>400</v>
      </c>
      <c r="N750" s="6">
        <f t="shared" si="351"/>
        <v>23.804550000000003</v>
      </c>
      <c r="O750">
        <f t="shared" si="352"/>
        <v>330.99</v>
      </c>
      <c r="P750" s="7">
        <f t="shared" si="355"/>
        <v>13.904484646842725</v>
      </c>
      <c r="Q750">
        <f>ROUNDUP(몬스터!$P$7/F750, 0)</f>
        <v>8</v>
      </c>
      <c r="R750" s="6">
        <f t="shared" si="353"/>
        <v>11.644832605531295</v>
      </c>
      <c r="S750" s="7">
        <f>B750/몬스터!$C$7*R750</f>
        <v>157.6531183518083</v>
      </c>
      <c r="U750">
        <f>ROUNDDOWN(R750*몬스터!$H$7, 0)*몬스터!$G$7*(1+몬스터!$I$7)</f>
        <v>156.55499999999998</v>
      </c>
      <c r="V750" s="2">
        <f t="shared" si="356"/>
        <v>0.47299012054744849</v>
      </c>
    </row>
    <row r="751" spans="1:22" x14ac:dyDescent="0.4">
      <c r="A751">
        <v>12</v>
      </c>
      <c r="B751" s="4">
        <f>160*A751</f>
        <v>1920</v>
      </c>
      <c r="C751">
        <f t="shared" si="346"/>
        <v>270</v>
      </c>
      <c r="D751">
        <f t="shared" si="347"/>
        <v>18</v>
      </c>
      <c r="E751" s="2">
        <v>0.1</v>
      </c>
      <c r="F751">
        <f t="shared" si="348"/>
        <v>35</v>
      </c>
      <c r="G751">
        <f t="shared" si="349"/>
        <v>0.68900000000000006</v>
      </c>
      <c r="H751" s="3">
        <f t="shared" si="354"/>
        <v>0.05</v>
      </c>
      <c r="I751" s="2">
        <v>2</v>
      </c>
      <c r="J751" s="2">
        <v>0</v>
      </c>
      <c r="K751" s="2">
        <v>1</v>
      </c>
      <c r="L751" s="16">
        <v>2</v>
      </c>
      <c r="M751" s="5">
        <f t="shared" si="350"/>
        <v>410</v>
      </c>
      <c r="N751" s="6">
        <f t="shared" si="351"/>
        <v>25.320750000000004</v>
      </c>
      <c r="O751">
        <f t="shared" si="352"/>
        <v>350.46</v>
      </c>
      <c r="P751" s="7">
        <f t="shared" si="355"/>
        <v>13.840822250525752</v>
      </c>
      <c r="Q751">
        <f>ROUNDUP(몬스터!$P$7/F751, 0)</f>
        <v>8</v>
      </c>
      <c r="R751" s="6">
        <f t="shared" si="353"/>
        <v>11.611030478955007</v>
      </c>
      <c r="S751" s="7">
        <f>B751/몬스터!$C$7*R751</f>
        <v>171.48598861225858</v>
      </c>
      <c r="U751">
        <f>ROUNDDOWN(R751*몬스터!$H$7, 0)*몬스터!$G$7*(1+몬스터!$I$7)</f>
        <v>156.55499999999998</v>
      </c>
      <c r="V751" s="2">
        <f t="shared" si="356"/>
        <v>0.44671289162814581</v>
      </c>
    </row>
    <row r="752" spans="1:22" x14ac:dyDescent="0.4">
      <c r="A752">
        <v>13</v>
      </c>
      <c r="B752" s="4">
        <f>160*A752+40</f>
        <v>2120</v>
      </c>
      <c r="C752">
        <f t="shared" si="346"/>
        <v>280</v>
      </c>
      <c r="D752">
        <f t="shared" si="347"/>
        <v>18</v>
      </c>
      <c r="E752" s="2">
        <v>0.1</v>
      </c>
      <c r="F752">
        <f t="shared" si="348"/>
        <v>36</v>
      </c>
      <c r="G752">
        <f t="shared" si="349"/>
        <v>0.69100000000000006</v>
      </c>
      <c r="H752" s="3">
        <f t="shared" si="354"/>
        <v>0.05</v>
      </c>
      <c r="I752" s="2">
        <v>2</v>
      </c>
      <c r="J752" s="2">
        <v>0</v>
      </c>
      <c r="K752" s="2">
        <v>1</v>
      </c>
      <c r="L752" s="16">
        <v>2</v>
      </c>
      <c r="M752" s="5">
        <f t="shared" si="350"/>
        <v>420</v>
      </c>
      <c r="N752" s="6">
        <f t="shared" si="351"/>
        <v>26.119800000000001</v>
      </c>
      <c r="O752">
        <f t="shared" si="352"/>
        <v>363.44</v>
      </c>
      <c r="P752" s="7">
        <f t="shared" si="355"/>
        <v>13.91434850190277</v>
      </c>
      <c r="Q752">
        <f>ROUNDUP(몬스터!$P$7/F752, 0)</f>
        <v>8</v>
      </c>
      <c r="R752" s="6">
        <f t="shared" si="353"/>
        <v>11.577424023154848</v>
      </c>
      <c r="S752" s="7">
        <f>B752/몬스터!$C$7*R752</f>
        <v>188.80106868529441</v>
      </c>
      <c r="U752">
        <f>ROUNDDOWN(R752*몬스터!$H$7, 0)*몬스터!$G$7*(1+몬스터!$I$7)</f>
        <v>156.55499999999998</v>
      </c>
      <c r="V752" s="2">
        <f t="shared" si="356"/>
        <v>0.43075885978428347</v>
      </c>
    </row>
    <row r="753" spans="1:22" x14ac:dyDescent="0.4">
      <c r="A753">
        <v>14</v>
      </c>
      <c r="B753" s="4">
        <f>160*A753+120</f>
        <v>2360</v>
      </c>
      <c r="C753">
        <f t="shared" si="346"/>
        <v>290</v>
      </c>
      <c r="D753">
        <f t="shared" si="347"/>
        <v>19</v>
      </c>
      <c r="E753" s="2">
        <v>0.1</v>
      </c>
      <c r="F753">
        <f t="shared" si="348"/>
        <v>37</v>
      </c>
      <c r="G753">
        <f t="shared" si="349"/>
        <v>0.69300000000000006</v>
      </c>
      <c r="H753" s="3">
        <f t="shared" si="354"/>
        <v>0.05</v>
      </c>
      <c r="I753" s="2">
        <v>2</v>
      </c>
      <c r="J753" s="2">
        <v>0</v>
      </c>
      <c r="K753" s="2">
        <v>1</v>
      </c>
      <c r="L753" s="16">
        <v>2</v>
      </c>
      <c r="M753" s="5">
        <f t="shared" si="350"/>
        <v>430</v>
      </c>
      <c r="N753" s="6">
        <f t="shared" si="351"/>
        <v>26.923050000000003</v>
      </c>
      <c r="O753">
        <f t="shared" si="352"/>
        <v>379.61</v>
      </c>
      <c r="P753" s="7">
        <f t="shared" si="355"/>
        <v>14.099814099814099</v>
      </c>
      <c r="Q753">
        <f>ROUNDUP(몬스터!$P$7/F753, 0)</f>
        <v>7</v>
      </c>
      <c r="R753" s="6">
        <f t="shared" si="353"/>
        <v>10.1010101010101</v>
      </c>
      <c r="S753" s="7">
        <f>B753/몬스터!$C$7*R753</f>
        <v>183.37218337218334</v>
      </c>
      <c r="U753">
        <f>ROUNDDOWN(R753*몬스터!$H$7, 0)*몬스터!$G$7*(1+몬스터!$I$7)</f>
        <v>134.19</v>
      </c>
      <c r="V753" s="2">
        <f t="shared" si="356"/>
        <v>0.35349437580674903</v>
      </c>
    </row>
    <row r="754" spans="1:22" x14ac:dyDescent="0.4">
      <c r="A754">
        <v>15</v>
      </c>
      <c r="B754" s="4">
        <f>160*A754+100</f>
        <v>2500</v>
      </c>
      <c r="C754">
        <f t="shared" si="346"/>
        <v>300</v>
      </c>
      <c r="D754">
        <f t="shared" si="347"/>
        <v>19</v>
      </c>
      <c r="E754" s="2">
        <v>0.1</v>
      </c>
      <c r="F754">
        <f t="shared" si="348"/>
        <v>39</v>
      </c>
      <c r="G754">
        <f t="shared" si="349"/>
        <v>0.69500000000000006</v>
      </c>
      <c r="H754" s="3">
        <f t="shared" si="354"/>
        <v>0.05</v>
      </c>
      <c r="I754" s="2">
        <v>2</v>
      </c>
      <c r="J754" s="2">
        <v>0</v>
      </c>
      <c r="K754" s="2">
        <v>1</v>
      </c>
      <c r="L754" s="16">
        <v>2</v>
      </c>
      <c r="M754" s="5">
        <f t="shared" si="350"/>
        <v>440</v>
      </c>
      <c r="N754" s="6">
        <f t="shared" si="351"/>
        <v>28.460250000000006</v>
      </c>
      <c r="O754">
        <f t="shared" si="352"/>
        <v>392.70000000000005</v>
      </c>
      <c r="P754" s="7">
        <f t="shared" si="355"/>
        <v>13.798192215458402</v>
      </c>
      <c r="Q754">
        <f>ROUNDUP(몬스터!$P$7/F754, 0)</f>
        <v>7</v>
      </c>
      <c r="R754" s="6">
        <f t="shared" si="353"/>
        <v>10.071942446043165</v>
      </c>
      <c r="S754" s="7">
        <f>B754/몬스터!$C$7*R754</f>
        <v>193.69120088544548</v>
      </c>
      <c r="T754" s="7">
        <f t="shared" ref="T754" si="357">SUM(S750:S754)</f>
        <v>895.00355990699006</v>
      </c>
      <c r="U754">
        <f>ROUNDDOWN(R754*몬스터!$H$7, 0)*몬스터!$G$7*(1+몬스터!$I$7)</f>
        <v>134.19</v>
      </c>
      <c r="V754" s="2">
        <f t="shared" si="356"/>
        <v>0.34171122994652403</v>
      </c>
    </row>
    <row r="755" spans="1:22" x14ac:dyDescent="0.4">
      <c r="A755">
        <v>16</v>
      </c>
      <c r="B755" s="4">
        <f>160*A755</f>
        <v>2560</v>
      </c>
      <c r="C755">
        <f t="shared" si="346"/>
        <v>310</v>
      </c>
      <c r="D755">
        <f t="shared" si="347"/>
        <v>19</v>
      </c>
      <c r="E755" s="2">
        <v>0.1</v>
      </c>
      <c r="F755">
        <f t="shared" si="348"/>
        <v>40</v>
      </c>
      <c r="G755">
        <f t="shared" si="349"/>
        <v>0.69700000000000006</v>
      </c>
      <c r="H755" s="3">
        <f t="shared" si="354"/>
        <v>0.05</v>
      </c>
      <c r="I755" s="2">
        <v>2</v>
      </c>
      <c r="J755" s="2">
        <v>0</v>
      </c>
      <c r="K755" s="2">
        <v>1</v>
      </c>
      <c r="L755" s="16">
        <v>2</v>
      </c>
      <c r="M755" s="5">
        <f t="shared" si="350"/>
        <v>450</v>
      </c>
      <c r="N755" s="6">
        <f t="shared" si="351"/>
        <v>29.274000000000004</v>
      </c>
      <c r="O755">
        <f t="shared" si="352"/>
        <v>405.79</v>
      </c>
      <c r="P755" s="7">
        <f t="shared" si="355"/>
        <v>13.861788617886177</v>
      </c>
      <c r="Q755">
        <f>ROUNDUP(몬스터!$P$8/F755, 0)</f>
        <v>9</v>
      </c>
      <c r="R755" s="6">
        <f t="shared" si="353"/>
        <v>12.91248206599713</v>
      </c>
      <c r="S755" s="7">
        <f>B755/몬스터!$C$8*R755</f>
        <v>183.64418938307028</v>
      </c>
      <c r="U755">
        <f>ROUNDDOWN(R755*몬스터!$H$8, 0)*몬스터!$G$8*(1+몬스터!$I$8)</f>
        <v>240.24</v>
      </c>
      <c r="V755" s="2">
        <f t="shared" si="356"/>
        <v>0.59203036053130931</v>
      </c>
    </row>
    <row r="756" spans="1:22" x14ac:dyDescent="0.4">
      <c r="A756">
        <v>17</v>
      </c>
      <c r="B756" s="4">
        <f>160*A756</f>
        <v>2720</v>
      </c>
      <c r="C756">
        <f t="shared" si="346"/>
        <v>320</v>
      </c>
      <c r="D756">
        <f t="shared" si="347"/>
        <v>20</v>
      </c>
      <c r="E756" s="2">
        <v>0.1</v>
      </c>
      <c r="F756">
        <f t="shared" si="348"/>
        <v>41</v>
      </c>
      <c r="G756">
        <f t="shared" si="349"/>
        <v>0.69900000000000007</v>
      </c>
      <c r="H756" s="3">
        <f t="shared" si="354"/>
        <v>0.05</v>
      </c>
      <c r="I756" s="2">
        <v>2</v>
      </c>
      <c r="J756" s="2">
        <v>0</v>
      </c>
      <c r="K756" s="2">
        <v>1</v>
      </c>
      <c r="L756" s="16">
        <v>2</v>
      </c>
      <c r="M756" s="5">
        <f t="shared" si="350"/>
        <v>460</v>
      </c>
      <c r="N756" s="6">
        <f t="shared" si="351"/>
        <v>30.091950000000004</v>
      </c>
      <c r="O756">
        <f t="shared" si="352"/>
        <v>422.40000000000003</v>
      </c>
      <c r="P756" s="7">
        <f t="shared" si="355"/>
        <v>14.036976666517123</v>
      </c>
      <c r="Q756">
        <f>ROUNDUP(몬스터!$P$8/F756, 0)</f>
        <v>9</v>
      </c>
      <c r="R756" s="6">
        <f t="shared" si="353"/>
        <v>12.875536480686694</v>
      </c>
      <c r="S756" s="7">
        <f>B756/몬스터!$C$8*R756</f>
        <v>194.56366237482115</v>
      </c>
      <c r="U756">
        <f>ROUNDDOWN(R756*몬스터!$H$8, 0)*몬스터!$G$8*(1+몬스터!$I$8)</f>
        <v>240.24</v>
      </c>
      <c r="V756" s="2">
        <f t="shared" si="356"/>
        <v>0.56874999999999998</v>
      </c>
    </row>
    <row r="757" spans="1:22" x14ac:dyDescent="0.4">
      <c r="A757">
        <v>18</v>
      </c>
      <c r="B757" s="4">
        <f>160*A757</f>
        <v>2880</v>
      </c>
      <c r="C757">
        <f t="shared" si="346"/>
        <v>330</v>
      </c>
      <c r="D757">
        <f t="shared" si="347"/>
        <v>20</v>
      </c>
      <c r="E757" s="2">
        <v>0.1</v>
      </c>
      <c r="F757">
        <f t="shared" si="348"/>
        <v>43</v>
      </c>
      <c r="G757">
        <f t="shared" si="349"/>
        <v>0.70100000000000007</v>
      </c>
      <c r="H757" s="3">
        <f t="shared" si="354"/>
        <v>0.05</v>
      </c>
      <c r="I757" s="2">
        <v>2</v>
      </c>
      <c r="J757" s="2">
        <v>0</v>
      </c>
      <c r="K757" s="2">
        <v>1</v>
      </c>
      <c r="L757" s="16">
        <v>2</v>
      </c>
      <c r="M757" s="5">
        <f t="shared" si="350"/>
        <v>470</v>
      </c>
      <c r="N757" s="6">
        <f t="shared" si="351"/>
        <v>31.650150000000007</v>
      </c>
      <c r="O757">
        <f t="shared" si="352"/>
        <v>435.6</v>
      </c>
      <c r="P757" s="7">
        <f t="shared" si="355"/>
        <v>13.762967948019201</v>
      </c>
      <c r="Q757">
        <f>ROUNDUP(몬스터!$P$8/F757, 0)</f>
        <v>8</v>
      </c>
      <c r="R757" s="6">
        <f t="shared" si="353"/>
        <v>11.412268188302424</v>
      </c>
      <c r="S757" s="7">
        <f>B757/몬스터!$C$8*R757</f>
        <v>182.59629101283878</v>
      </c>
      <c r="U757">
        <f>ROUNDDOWN(R757*몬스터!$H$8, 0)*몬스터!$G$8*(1+몬스터!$I$8)</f>
        <v>210.21</v>
      </c>
      <c r="V757" s="2">
        <f t="shared" si="356"/>
        <v>0.48257575757575755</v>
      </c>
    </row>
    <row r="758" spans="1:22" x14ac:dyDescent="0.4">
      <c r="A758">
        <v>19</v>
      </c>
      <c r="B758" s="4">
        <f>160*A758</f>
        <v>3040</v>
      </c>
      <c r="C758">
        <f t="shared" si="346"/>
        <v>340</v>
      </c>
      <c r="D758">
        <f t="shared" si="347"/>
        <v>20</v>
      </c>
      <c r="E758" s="2">
        <v>0.1</v>
      </c>
      <c r="F758">
        <f t="shared" si="348"/>
        <v>44</v>
      </c>
      <c r="G758">
        <f t="shared" si="349"/>
        <v>0.70300000000000007</v>
      </c>
      <c r="H758" s="3">
        <f t="shared" si="354"/>
        <v>0.05</v>
      </c>
      <c r="I758" s="2">
        <v>2</v>
      </c>
      <c r="J758" s="2">
        <v>0</v>
      </c>
      <c r="K758" s="2">
        <v>1</v>
      </c>
      <c r="L758" s="16">
        <v>2</v>
      </c>
      <c r="M758" s="5">
        <f t="shared" si="350"/>
        <v>480</v>
      </c>
      <c r="N758" s="6">
        <f t="shared" si="351"/>
        <v>32.4786</v>
      </c>
      <c r="O758">
        <f t="shared" si="352"/>
        <v>448.8</v>
      </c>
      <c r="P758" s="7">
        <f t="shared" si="355"/>
        <v>13.818329607803292</v>
      </c>
      <c r="Q758">
        <f>ROUNDUP(몬스터!$P$8/F758, 0)</f>
        <v>8</v>
      </c>
      <c r="R758" s="6">
        <f t="shared" si="353"/>
        <v>11.379800853485063</v>
      </c>
      <c r="S758" s="7">
        <f>B758/몬스터!$C$8*R758</f>
        <v>192.19219219219218</v>
      </c>
      <c r="U758">
        <f>ROUNDDOWN(R758*몬스터!$H$8, 0)*몬스터!$G$8*(1+몬스터!$I$8)</f>
        <v>210.21</v>
      </c>
      <c r="V758" s="2">
        <f t="shared" si="356"/>
        <v>0.46838235294117647</v>
      </c>
    </row>
    <row r="759" spans="1:22" x14ac:dyDescent="0.4">
      <c r="A759">
        <v>20</v>
      </c>
      <c r="B759" s="4">
        <f>160*A759+80</f>
        <v>3280</v>
      </c>
      <c r="C759">
        <f t="shared" si="346"/>
        <v>350</v>
      </c>
      <c r="D759">
        <f t="shared" si="347"/>
        <v>21</v>
      </c>
      <c r="E759" s="2">
        <v>0.1</v>
      </c>
      <c r="F759">
        <f t="shared" si="348"/>
        <v>45</v>
      </c>
      <c r="G759">
        <f t="shared" si="349"/>
        <v>0.70500000000000007</v>
      </c>
      <c r="H759" s="3">
        <f t="shared" si="354"/>
        <v>0.05</v>
      </c>
      <c r="I759" s="2">
        <v>2</v>
      </c>
      <c r="J759" s="2">
        <v>0</v>
      </c>
      <c r="K759" s="2">
        <v>1</v>
      </c>
      <c r="L759" s="16">
        <v>2</v>
      </c>
      <c r="M759" s="5">
        <f t="shared" si="350"/>
        <v>490</v>
      </c>
      <c r="N759" s="6">
        <f t="shared" si="351"/>
        <v>33.311250000000001</v>
      </c>
      <c r="O759">
        <f t="shared" si="352"/>
        <v>465.85</v>
      </c>
      <c r="P759" s="7">
        <f t="shared" si="355"/>
        <v>13.984764906750723</v>
      </c>
      <c r="Q759">
        <f>ROUNDUP(몬스터!$P$8/F759, 0)</f>
        <v>8</v>
      </c>
      <c r="R759" s="6">
        <f t="shared" si="353"/>
        <v>11.347517730496453</v>
      </c>
      <c r="S759" s="7">
        <f>B759/몬스터!$C$8*R759</f>
        <v>206.77698975571312</v>
      </c>
      <c r="T759" s="7">
        <f t="shared" ref="T759" si="358">SUM(S755:S759)</f>
        <v>959.77332471863554</v>
      </c>
      <c r="U759">
        <f>ROUNDDOWN(R759*몬스터!$H$8, 0)*몬스터!$G$8*(1+몬스터!$I$8)</f>
        <v>210.21</v>
      </c>
      <c r="V759" s="2">
        <f t="shared" si="356"/>
        <v>0.45123966942148758</v>
      </c>
    </row>
    <row r="760" spans="1:22" x14ac:dyDescent="0.4">
      <c r="A760">
        <v>21</v>
      </c>
      <c r="B760" s="4">
        <f>160*A760</f>
        <v>3360</v>
      </c>
      <c r="C760">
        <f t="shared" si="346"/>
        <v>360</v>
      </c>
      <c r="D760">
        <f t="shared" si="347"/>
        <v>21</v>
      </c>
      <c r="E760" s="2">
        <v>0.1</v>
      </c>
      <c r="F760">
        <f t="shared" si="348"/>
        <v>47</v>
      </c>
      <c r="G760">
        <f t="shared" si="349"/>
        <v>0.70700000000000007</v>
      </c>
      <c r="H760" s="3">
        <f t="shared" si="354"/>
        <v>0.05</v>
      </c>
      <c r="I760" s="2">
        <v>2</v>
      </c>
      <c r="J760" s="2">
        <v>0</v>
      </c>
      <c r="K760" s="2">
        <v>1</v>
      </c>
      <c r="L760" s="16">
        <v>2</v>
      </c>
      <c r="M760" s="5">
        <f t="shared" si="350"/>
        <v>500</v>
      </c>
      <c r="N760" s="6">
        <f t="shared" si="351"/>
        <v>34.890450000000008</v>
      </c>
      <c r="O760">
        <f t="shared" si="352"/>
        <v>479.16</v>
      </c>
      <c r="P760" s="7">
        <f t="shared" si="355"/>
        <v>13.733270852052636</v>
      </c>
      <c r="Q760">
        <f>ROUNDUP(몬스터!$P$11/F760, 0)</f>
        <v>10</v>
      </c>
      <c r="R760" s="6">
        <f t="shared" si="353"/>
        <v>14.144271570014142</v>
      </c>
      <c r="S760" s="7">
        <f>B760/몬스터!$C$11*R760</f>
        <v>206.62935858803269</v>
      </c>
      <c r="U760">
        <f>ROUNDDOWN(R760*몬스터!$H$11, 0)*몬스터!$G$11*(1+몬스터!$I$11)</f>
        <v>349.92</v>
      </c>
      <c r="V760" s="2">
        <f t="shared" si="356"/>
        <v>0.73027798647633357</v>
      </c>
    </row>
    <row r="761" spans="1:22" x14ac:dyDescent="0.4">
      <c r="A761">
        <v>22</v>
      </c>
      <c r="B761" s="4">
        <f>160*A761</f>
        <v>3520</v>
      </c>
      <c r="C761">
        <f t="shared" si="346"/>
        <v>370</v>
      </c>
      <c r="D761">
        <f t="shared" si="347"/>
        <v>21</v>
      </c>
      <c r="E761" s="2">
        <v>0.1</v>
      </c>
      <c r="F761">
        <f t="shared" si="348"/>
        <v>48</v>
      </c>
      <c r="G761">
        <f t="shared" si="349"/>
        <v>0.70900000000000007</v>
      </c>
      <c r="H761" s="3">
        <f t="shared" si="354"/>
        <v>0.05</v>
      </c>
      <c r="I761" s="2">
        <v>2</v>
      </c>
      <c r="J761" s="2">
        <v>0</v>
      </c>
      <c r="K761" s="2">
        <v>1</v>
      </c>
      <c r="L761" s="16">
        <v>2</v>
      </c>
      <c r="M761" s="5">
        <f t="shared" si="350"/>
        <v>510</v>
      </c>
      <c r="N761" s="6">
        <f t="shared" si="351"/>
        <v>35.733600000000003</v>
      </c>
      <c r="O761">
        <f t="shared" si="352"/>
        <v>492.47</v>
      </c>
      <c r="P761" s="7">
        <f t="shared" si="355"/>
        <v>13.781706852933933</v>
      </c>
      <c r="Q761">
        <f>ROUNDUP(몬스터!$P$11/F761, 0)</f>
        <v>9</v>
      </c>
      <c r="R761" s="6">
        <f t="shared" si="353"/>
        <v>12.693935119887163</v>
      </c>
      <c r="S761" s="7">
        <f>B761/몬스터!$C$11*R761</f>
        <v>194.27239835653398</v>
      </c>
      <c r="U761">
        <f>ROUNDDOWN(R761*몬스터!$H$11, 0)*몬스터!$G$11*(1+몬스터!$I$11)</f>
        <v>311.04000000000002</v>
      </c>
      <c r="V761" s="2">
        <f t="shared" si="356"/>
        <v>0.63159177208763984</v>
      </c>
    </row>
    <row r="762" spans="1:22" x14ac:dyDescent="0.4">
      <c r="A762">
        <v>23</v>
      </c>
      <c r="B762" s="4">
        <f>160*A762</f>
        <v>3680</v>
      </c>
      <c r="C762">
        <f t="shared" si="346"/>
        <v>385</v>
      </c>
      <c r="D762">
        <f t="shared" si="347"/>
        <v>21</v>
      </c>
      <c r="E762" s="2">
        <v>0.1</v>
      </c>
      <c r="F762">
        <f t="shared" si="348"/>
        <v>49</v>
      </c>
      <c r="G762">
        <f t="shared" si="349"/>
        <v>0.71100000000000008</v>
      </c>
      <c r="H762" s="3">
        <f t="shared" si="354"/>
        <v>0.05</v>
      </c>
      <c r="I762" s="2">
        <v>2</v>
      </c>
      <c r="J762" s="2">
        <v>0</v>
      </c>
      <c r="K762" s="2">
        <v>1</v>
      </c>
      <c r="L762" s="16">
        <v>2</v>
      </c>
      <c r="M762" s="5">
        <f t="shared" si="350"/>
        <v>520</v>
      </c>
      <c r="N762" s="6">
        <f t="shared" si="351"/>
        <v>36.580950000000009</v>
      </c>
      <c r="O762">
        <f t="shared" si="352"/>
        <v>512.43500000000006</v>
      </c>
      <c r="P762" s="7">
        <f t="shared" si="355"/>
        <v>14.008247462135344</v>
      </c>
      <c r="Q762">
        <f>ROUNDUP(몬스터!$P$11/F762, 0)</f>
        <v>9</v>
      </c>
      <c r="R762" s="6">
        <f t="shared" si="353"/>
        <v>12.658227848101264</v>
      </c>
      <c r="S762" s="7">
        <f>B762/몬스터!$C$11*R762</f>
        <v>202.53164556962022</v>
      </c>
      <c r="U762">
        <f>ROUNDDOWN(R762*몬스터!$H$11, 0)*몬스터!$G$11*(1+몬스터!$I$11)</f>
        <v>311.04000000000002</v>
      </c>
      <c r="V762" s="2">
        <f t="shared" si="356"/>
        <v>0.60698430044786167</v>
      </c>
    </row>
    <row r="763" spans="1:22" x14ac:dyDescent="0.4">
      <c r="A763">
        <v>24</v>
      </c>
      <c r="B763" s="4">
        <f>160*A763</f>
        <v>3840</v>
      </c>
      <c r="C763">
        <f t="shared" si="346"/>
        <v>395</v>
      </c>
      <c r="D763">
        <f t="shared" si="347"/>
        <v>22</v>
      </c>
      <c r="E763" s="2">
        <v>0.1</v>
      </c>
      <c r="F763">
        <f t="shared" si="348"/>
        <v>51</v>
      </c>
      <c r="G763">
        <f t="shared" si="349"/>
        <v>0.71300000000000008</v>
      </c>
      <c r="H763" s="3">
        <f t="shared" si="354"/>
        <v>0.05</v>
      </c>
      <c r="I763" s="2">
        <v>2</v>
      </c>
      <c r="J763" s="2">
        <v>0</v>
      </c>
      <c r="K763" s="2">
        <v>1</v>
      </c>
      <c r="L763" s="16">
        <v>2</v>
      </c>
      <c r="M763" s="5">
        <f t="shared" si="350"/>
        <v>530</v>
      </c>
      <c r="N763" s="6">
        <f t="shared" si="351"/>
        <v>38.181150000000009</v>
      </c>
      <c r="O763">
        <f t="shared" si="352"/>
        <v>530.09</v>
      </c>
      <c r="P763" s="7">
        <f t="shared" si="355"/>
        <v>13.883552485978026</v>
      </c>
      <c r="Q763">
        <f>ROUNDUP(몬스터!$P$11/F763, 0)</f>
        <v>9</v>
      </c>
      <c r="R763" s="6">
        <f t="shared" si="353"/>
        <v>12.622720897615707</v>
      </c>
      <c r="S763" s="7">
        <f>B763/몬스터!$C$11*R763</f>
        <v>210.74455759497528</v>
      </c>
      <c r="U763">
        <f>ROUNDDOWN(R763*몬스터!$H$11, 0)*몬스터!$G$11*(1+몬스터!$I$11)</f>
        <v>311.04000000000002</v>
      </c>
      <c r="V763" s="2">
        <f t="shared" si="356"/>
        <v>0.58676828463091169</v>
      </c>
    </row>
    <row r="764" spans="1:22" x14ac:dyDescent="0.4">
      <c r="A764">
        <v>25</v>
      </c>
      <c r="B764" s="4">
        <f>160*A764</f>
        <v>4000</v>
      </c>
      <c r="C764">
        <f t="shared" si="346"/>
        <v>405</v>
      </c>
      <c r="D764">
        <f t="shared" si="347"/>
        <v>22</v>
      </c>
      <c r="E764" s="2">
        <v>0.1</v>
      </c>
      <c r="F764">
        <f t="shared" si="348"/>
        <v>52</v>
      </c>
      <c r="G764">
        <f t="shared" si="349"/>
        <v>0.71500000000000008</v>
      </c>
      <c r="H764" s="3">
        <f t="shared" si="354"/>
        <v>0.05</v>
      </c>
      <c r="I764" s="2">
        <v>2</v>
      </c>
      <c r="J764" s="2">
        <v>0</v>
      </c>
      <c r="K764" s="2">
        <v>1</v>
      </c>
      <c r="L764" s="16">
        <v>2</v>
      </c>
      <c r="M764" s="5">
        <f t="shared" si="350"/>
        <v>540</v>
      </c>
      <c r="N764" s="6">
        <f t="shared" si="351"/>
        <v>39.039000000000009</v>
      </c>
      <c r="O764">
        <f t="shared" si="352"/>
        <v>543.51</v>
      </c>
      <c r="P764" s="7">
        <f t="shared" si="355"/>
        <v>13.922231614539303</v>
      </c>
      <c r="Q764">
        <f>ROUNDUP(몬스터!$P$11/F764, 0)</f>
        <v>9</v>
      </c>
      <c r="R764" s="6">
        <f t="shared" si="353"/>
        <v>12.587412587412587</v>
      </c>
      <c r="S764" s="7">
        <f>B764/몬스터!$C$11*R764</f>
        <v>218.91152325934931</v>
      </c>
      <c r="T764" s="7">
        <f t="shared" ref="T764" si="359">SUM(S760:S764)</f>
        <v>1033.0894833685115</v>
      </c>
      <c r="U764">
        <f>ROUNDDOWN(R764*몬스터!$H$11, 0)*몬스터!$G$11*(1+몬스터!$I$11)</f>
        <v>311.04000000000002</v>
      </c>
      <c r="V764" s="2">
        <f t="shared" si="356"/>
        <v>0.57228017883755589</v>
      </c>
    </row>
    <row r="765" spans="1:22" x14ac:dyDescent="0.4">
      <c r="A765">
        <v>26</v>
      </c>
      <c r="B765" s="4">
        <f>170*A765</f>
        <v>4420</v>
      </c>
      <c r="C765">
        <f t="shared" si="346"/>
        <v>415</v>
      </c>
      <c r="D765">
        <f t="shared" si="347"/>
        <v>22</v>
      </c>
      <c r="E765" s="2">
        <v>0.1</v>
      </c>
      <c r="F765">
        <f t="shared" si="348"/>
        <v>53</v>
      </c>
      <c r="G765">
        <f t="shared" si="349"/>
        <v>0.71700000000000008</v>
      </c>
      <c r="H765" s="3">
        <f t="shared" si="354"/>
        <v>0.05</v>
      </c>
      <c r="I765" s="2">
        <v>2</v>
      </c>
      <c r="J765" s="2">
        <v>0</v>
      </c>
      <c r="K765" s="2">
        <v>1</v>
      </c>
      <c r="L765" s="16">
        <v>2</v>
      </c>
      <c r="M765" s="5">
        <f t="shared" si="350"/>
        <v>550</v>
      </c>
      <c r="N765" s="6">
        <f t="shared" si="351"/>
        <v>39.901050000000005</v>
      </c>
      <c r="O765">
        <f t="shared" si="352"/>
        <v>556.93000000000006</v>
      </c>
      <c r="P765" s="7">
        <f t="shared" si="355"/>
        <v>13.957778053459746</v>
      </c>
      <c r="Q765">
        <f>ROUNDUP(몬스터!$P$12/F765, 0)</f>
        <v>10</v>
      </c>
      <c r="R765" s="6">
        <f t="shared" si="353"/>
        <v>13.947001394700138</v>
      </c>
      <c r="S765" s="7">
        <f>B765/몬스터!$C$12*R765</f>
        <v>220.16337915919505</v>
      </c>
      <c r="U765">
        <f>ROUNDDOWN(R765*몬스터!$H$12, 0)*몬스터!$G$12*(1+몬스터!$I$12)</f>
        <v>420.86249999999995</v>
      </c>
      <c r="V765" s="2">
        <f t="shared" si="356"/>
        <v>0.75568294040543682</v>
      </c>
    </row>
    <row r="766" spans="1:22" x14ac:dyDescent="0.4">
      <c r="A766">
        <v>27</v>
      </c>
      <c r="B766" s="4">
        <f>170*A766</f>
        <v>4590</v>
      </c>
      <c r="C766">
        <f t="shared" si="346"/>
        <v>425</v>
      </c>
      <c r="D766">
        <f t="shared" si="347"/>
        <v>23</v>
      </c>
      <c r="E766" s="2">
        <v>0.1</v>
      </c>
      <c r="F766">
        <f t="shared" si="348"/>
        <v>55</v>
      </c>
      <c r="G766">
        <f t="shared" si="349"/>
        <v>0.71900000000000008</v>
      </c>
      <c r="H766" s="3">
        <f t="shared" si="354"/>
        <v>0.05</v>
      </c>
      <c r="I766" s="2">
        <v>2</v>
      </c>
      <c r="J766" s="2">
        <v>0</v>
      </c>
      <c r="K766" s="2">
        <v>1</v>
      </c>
      <c r="L766" s="16">
        <v>2</v>
      </c>
      <c r="M766" s="5">
        <f t="shared" si="350"/>
        <v>560</v>
      </c>
      <c r="N766" s="6">
        <f t="shared" si="351"/>
        <v>41.522250000000007</v>
      </c>
      <c r="O766">
        <f t="shared" si="352"/>
        <v>575.02500000000009</v>
      </c>
      <c r="P766" s="7">
        <f t="shared" si="355"/>
        <v>13.848599244983111</v>
      </c>
      <c r="Q766">
        <f>ROUNDUP(몬스터!$P$12/F766, 0)</f>
        <v>10</v>
      </c>
      <c r="R766" s="6">
        <f t="shared" si="353"/>
        <v>13.908205841446453</v>
      </c>
      <c r="S766" s="7">
        <f>B766/몬스터!$C$12*R766</f>
        <v>227.99523147228291</v>
      </c>
      <c r="U766">
        <f>ROUNDDOWN(R766*몬스터!$H$12, 0)*몬스터!$G$12*(1+몬스터!$I$12)</f>
        <v>420.86249999999995</v>
      </c>
      <c r="V766" s="2">
        <f t="shared" si="356"/>
        <v>0.73190296074083716</v>
      </c>
    </row>
    <row r="767" spans="1:22" x14ac:dyDescent="0.4">
      <c r="A767">
        <v>28</v>
      </c>
      <c r="B767" s="4">
        <f>170*A767</f>
        <v>4760</v>
      </c>
      <c r="C767">
        <f t="shared" si="346"/>
        <v>435</v>
      </c>
      <c r="D767">
        <f t="shared" si="347"/>
        <v>23</v>
      </c>
      <c r="E767" s="2">
        <v>0.1</v>
      </c>
      <c r="F767">
        <f t="shared" si="348"/>
        <v>56</v>
      </c>
      <c r="G767">
        <f t="shared" si="349"/>
        <v>0.72100000000000009</v>
      </c>
      <c r="H767" s="3">
        <f t="shared" si="354"/>
        <v>0.05</v>
      </c>
      <c r="I767" s="2">
        <v>2</v>
      </c>
      <c r="J767" s="2">
        <v>0</v>
      </c>
      <c r="K767" s="2">
        <v>1</v>
      </c>
      <c r="L767" s="16">
        <v>2</v>
      </c>
      <c r="M767" s="5">
        <f t="shared" si="350"/>
        <v>570</v>
      </c>
      <c r="N767" s="6">
        <f t="shared" si="351"/>
        <v>42.394800000000004</v>
      </c>
      <c r="O767">
        <f t="shared" si="352"/>
        <v>588.55499999999995</v>
      </c>
      <c r="P767" s="7">
        <f t="shared" si="355"/>
        <v>13.882716748280448</v>
      </c>
      <c r="Q767">
        <f>ROUNDUP(몬스터!$P$12/F767, 0)</f>
        <v>10</v>
      </c>
      <c r="R767" s="6">
        <f t="shared" si="353"/>
        <v>13.869625520110956</v>
      </c>
      <c r="S767" s="7">
        <f>B767/몬스터!$C$12*R767</f>
        <v>235.78363384188626</v>
      </c>
      <c r="U767">
        <f>ROUNDDOWN(R767*몬스터!$H$12, 0)*몬스터!$G$12*(1+몬스터!$I$12)</f>
        <v>420.86249999999995</v>
      </c>
      <c r="V767" s="2">
        <f t="shared" si="356"/>
        <v>0.71507760532150777</v>
      </c>
    </row>
    <row r="768" spans="1:22" x14ac:dyDescent="0.4">
      <c r="A768">
        <v>29</v>
      </c>
      <c r="B768" s="4">
        <f>170*A768</f>
        <v>4930</v>
      </c>
      <c r="C768">
        <f t="shared" si="346"/>
        <v>445</v>
      </c>
      <c r="D768">
        <f t="shared" si="347"/>
        <v>23</v>
      </c>
      <c r="E768" s="2">
        <v>0.1</v>
      </c>
      <c r="F768">
        <f t="shared" si="348"/>
        <v>57</v>
      </c>
      <c r="G768">
        <f t="shared" si="349"/>
        <v>0.72300000000000009</v>
      </c>
      <c r="H768" s="3">
        <f t="shared" si="354"/>
        <v>0.05</v>
      </c>
      <c r="I768" s="2">
        <v>2</v>
      </c>
      <c r="J768" s="2">
        <v>0</v>
      </c>
      <c r="K768" s="2">
        <v>1</v>
      </c>
      <c r="L768" s="16">
        <v>2</v>
      </c>
      <c r="M768" s="5">
        <f t="shared" si="350"/>
        <v>580</v>
      </c>
      <c r="N768" s="6">
        <f t="shared" si="351"/>
        <v>43.271550000000005</v>
      </c>
      <c r="O768">
        <f t="shared" si="352"/>
        <v>602.08500000000004</v>
      </c>
      <c r="P768" s="7">
        <f t="shared" si="355"/>
        <v>13.91410753716934</v>
      </c>
      <c r="Q768">
        <f>ROUNDUP(몬스터!$P$12/F768, 0)</f>
        <v>10</v>
      </c>
      <c r="R768" s="6">
        <f t="shared" si="353"/>
        <v>13.831258644536652</v>
      </c>
      <c r="S768" s="7">
        <f>B768/몬스터!$C$12*R768</f>
        <v>243.5289468484489</v>
      </c>
      <c r="U768">
        <f>ROUNDDOWN(R768*몬스터!$H$12, 0)*몬스터!$G$12*(1+몬스터!$I$12)</f>
        <v>420.86249999999995</v>
      </c>
      <c r="V768" s="2">
        <f t="shared" si="356"/>
        <v>0.69900844565136144</v>
      </c>
    </row>
    <row r="769" spans="1:22" x14ac:dyDescent="0.4">
      <c r="A769">
        <v>30</v>
      </c>
      <c r="B769" s="4">
        <f>170*A769</f>
        <v>5100</v>
      </c>
      <c r="C769">
        <f t="shared" si="346"/>
        <v>455</v>
      </c>
      <c r="D769">
        <f t="shared" si="347"/>
        <v>24</v>
      </c>
      <c r="E769" s="2">
        <v>0.1</v>
      </c>
      <c r="F769">
        <f t="shared" si="348"/>
        <v>59</v>
      </c>
      <c r="G769">
        <f t="shared" si="349"/>
        <v>0.72500000000000009</v>
      </c>
      <c r="H769" s="3">
        <f t="shared" si="354"/>
        <v>0.05</v>
      </c>
      <c r="I769" s="2">
        <v>2</v>
      </c>
      <c r="J769" s="2">
        <v>0</v>
      </c>
      <c r="K769" s="2">
        <v>1</v>
      </c>
      <c r="L769" s="16">
        <v>2</v>
      </c>
      <c r="M769" s="5">
        <f t="shared" si="350"/>
        <v>590</v>
      </c>
      <c r="N769" s="6">
        <f t="shared" si="351"/>
        <v>44.913750000000007</v>
      </c>
      <c r="O769">
        <f t="shared" si="352"/>
        <v>620.62000000000012</v>
      </c>
      <c r="P769" s="7">
        <f t="shared" si="355"/>
        <v>13.818040132476135</v>
      </c>
      <c r="Q769">
        <f>ROUNDUP(몬스터!$P$12/F769, 0)</f>
        <v>9</v>
      </c>
      <c r="R769" s="6">
        <f t="shared" si="353"/>
        <v>12.413793103448274</v>
      </c>
      <c r="S769" s="7">
        <f>B769/몬스터!$C$12*R769</f>
        <v>226.10837438423644</v>
      </c>
      <c r="T769" s="7">
        <f t="shared" ref="T769" si="360">SUM(S765:S769)</f>
        <v>1153.5795657060496</v>
      </c>
      <c r="U769">
        <f>ROUNDDOWN(R769*몬스터!$H$12, 0)*몬스터!$G$12*(1+몬스터!$I$12)</f>
        <v>374.09999999999997</v>
      </c>
      <c r="V769" s="2">
        <f t="shared" si="356"/>
        <v>0.6027843124617317</v>
      </c>
    </row>
    <row r="770" spans="1:22" x14ac:dyDescent="0.4">
      <c r="A770">
        <v>31</v>
      </c>
      <c r="B770" s="4">
        <f>160*A770</f>
        <v>4960</v>
      </c>
      <c r="C770">
        <f t="shared" si="346"/>
        <v>465</v>
      </c>
      <c r="D770">
        <f t="shared" si="347"/>
        <v>24</v>
      </c>
      <c r="E770" s="2">
        <v>0.1</v>
      </c>
      <c r="F770">
        <f t="shared" si="348"/>
        <v>60</v>
      </c>
      <c r="G770">
        <f t="shared" si="349"/>
        <v>0.72700000000000009</v>
      </c>
      <c r="H770" s="3">
        <f t="shared" si="354"/>
        <v>0.05</v>
      </c>
      <c r="I770" s="2">
        <v>2</v>
      </c>
      <c r="J770" s="2">
        <v>0</v>
      </c>
      <c r="K770" s="2">
        <v>1</v>
      </c>
      <c r="L770" s="16">
        <v>2</v>
      </c>
      <c r="M770" s="5">
        <f t="shared" si="350"/>
        <v>600</v>
      </c>
      <c r="N770" s="6">
        <f t="shared" si="351"/>
        <v>45.801000000000009</v>
      </c>
      <c r="O770">
        <f t="shared" si="352"/>
        <v>634.2600000000001</v>
      </c>
      <c r="P770" s="7">
        <f t="shared" si="355"/>
        <v>13.84816925394642</v>
      </c>
      <c r="Q770">
        <f>ROUNDUP(몬스터!$P$13/F770, 0)</f>
        <v>11</v>
      </c>
      <c r="R770" s="6">
        <f t="shared" si="353"/>
        <v>15.13067400275103</v>
      </c>
      <c r="S770" s="7">
        <f>B770/몬스터!$C$13*R770</f>
        <v>227.41861531407611</v>
      </c>
      <c r="U770">
        <f>ROUNDDOWN(R770*몬스터!$H$13, 0)*몬스터!$G$13*(1+몬스터!$I$13)</f>
        <v>558.44999999999993</v>
      </c>
      <c r="V770" s="2">
        <f t="shared" si="356"/>
        <v>0.88047488411692343</v>
      </c>
    </row>
    <row r="771" spans="1:22" x14ac:dyDescent="0.4">
      <c r="A771">
        <v>32</v>
      </c>
      <c r="B771" s="4">
        <f>160*A771</f>
        <v>5120</v>
      </c>
      <c r="C771">
        <f t="shared" si="346"/>
        <v>475</v>
      </c>
      <c r="D771">
        <f t="shared" si="347"/>
        <v>24</v>
      </c>
      <c r="E771" s="2">
        <v>0.1</v>
      </c>
      <c r="F771">
        <f t="shared" si="348"/>
        <v>61</v>
      </c>
      <c r="G771">
        <f t="shared" si="349"/>
        <v>0.72900000000000009</v>
      </c>
      <c r="H771" s="3">
        <f t="shared" si="354"/>
        <v>0.05</v>
      </c>
      <c r="I771" s="2">
        <v>2</v>
      </c>
      <c r="J771" s="2">
        <v>0</v>
      </c>
      <c r="K771" s="2">
        <v>1</v>
      </c>
      <c r="L771" s="16">
        <v>2</v>
      </c>
      <c r="M771" s="5">
        <f t="shared" si="350"/>
        <v>610</v>
      </c>
      <c r="N771" s="6">
        <f t="shared" si="351"/>
        <v>46.692450000000008</v>
      </c>
      <c r="O771">
        <f t="shared" si="352"/>
        <v>647.90000000000009</v>
      </c>
      <c r="P771" s="7">
        <f t="shared" si="355"/>
        <v>13.875904991063866</v>
      </c>
      <c r="Q771">
        <f>ROUNDUP(몬스터!$P$13/F771, 0)</f>
        <v>11</v>
      </c>
      <c r="R771" s="6">
        <f t="shared" si="353"/>
        <v>15.089163237311384</v>
      </c>
      <c r="S771" s="7">
        <f>B771/몬스터!$C$13*R771</f>
        <v>234.11065386374025</v>
      </c>
      <c r="U771">
        <f>ROUNDDOWN(R771*몬스터!$H$13, 0)*몬스터!$G$13*(1+몬스터!$I$13)</f>
        <v>558.44999999999993</v>
      </c>
      <c r="V771" s="2">
        <f t="shared" si="356"/>
        <v>0.86193857076709346</v>
      </c>
    </row>
    <row r="772" spans="1:22" x14ac:dyDescent="0.4">
      <c r="A772">
        <v>33</v>
      </c>
      <c r="B772" s="4">
        <f>160*A772</f>
        <v>5280</v>
      </c>
      <c r="C772">
        <f t="shared" ref="C772:C803" si="361">MROUND((150+A772*11)*0.95,5)</f>
        <v>485</v>
      </c>
      <c r="D772">
        <f t="shared" ref="D772:D803" si="362">ROUNDDOWN((15+A772*0.3), 0)</f>
        <v>24</v>
      </c>
      <c r="E772" s="2">
        <v>0.1</v>
      </c>
      <c r="F772">
        <f t="shared" ref="F772:F803" si="363">ROUND((28+A772*2)*2/3, 0)</f>
        <v>63</v>
      </c>
      <c r="G772">
        <f t="shared" ref="G772:G803" si="364">0.665+0.002*A772</f>
        <v>0.73100000000000009</v>
      </c>
      <c r="H772" s="3">
        <f t="shared" si="354"/>
        <v>0.05</v>
      </c>
      <c r="I772" s="2">
        <v>2</v>
      </c>
      <c r="J772" s="2">
        <v>0</v>
      </c>
      <c r="K772" s="2">
        <v>1</v>
      </c>
      <c r="L772" s="16">
        <v>2</v>
      </c>
      <c r="M772" s="5">
        <f t="shared" ref="M772:M803" si="365">290+10*A772</f>
        <v>620</v>
      </c>
      <c r="N772" s="6">
        <f t="shared" ref="N772:N803" si="366">F772*G772*(1+H772)</f>
        <v>48.355650000000004</v>
      </c>
      <c r="O772">
        <f t="shared" ref="O772:O803" si="367">C772*(1+D772/100)*(1+E772)</f>
        <v>661.54000000000008</v>
      </c>
      <c r="P772" s="7">
        <f t="shared" si="355"/>
        <v>13.680717765142234</v>
      </c>
      <c r="Q772">
        <f>ROUNDUP(몬스터!$P$13/F772, 0)</f>
        <v>10</v>
      </c>
      <c r="R772" s="6">
        <f t="shared" ref="R772:R803" si="368">Q772/G772</f>
        <v>13.679890560875512</v>
      </c>
      <c r="S772" s="7">
        <f>B772/몬스터!$C$13*R772</f>
        <v>218.87824897400819</v>
      </c>
      <c r="U772">
        <f>ROUNDDOWN(R772*몬스터!$H$13, 0)*몬스터!$G$13*(1+몬스터!$I$13)</f>
        <v>502.60499999999996</v>
      </c>
      <c r="V772" s="2">
        <f t="shared" si="356"/>
        <v>0.75974997732563399</v>
      </c>
    </row>
    <row r="773" spans="1:22" x14ac:dyDescent="0.4">
      <c r="A773">
        <v>34</v>
      </c>
      <c r="B773" s="4">
        <f>160*A773</f>
        <v>5440</v>
      </c>
      <c r="C773">
        <f t="shared" si="361"/>
        <v>500</v>
      </c>
      <c r="D773">
        <f t="shared" si="362"/>
        <v>25</v>
      </c>
      <c r="E773" s="2">
        <v>0.1</v>
      </c>
      <c r="F773">
        <f t="shared" si="363"/>
        <v>64</v>
      </c>
      <c r="G773">
        <f t="shared" si="364"/>
        <v>0.7330000000000001</v>
      </c>
      <c r="H773" s="3">
        <f t="shared" si="354"/>
        <v>0.05</v>
      </c>
      <c r="I773" s="2">
        <v>2</v>
      </c>
      <c r="J773" s="2">
        <v>0</v>
      </c>
      <c r="K773" s="2">
        <v>1</v>
      </c>
      <c r="L773" s="16">
        <v>2</v>
      </c>
      <c r="M773" s="5">
        <f t="shared" si="365"/>
        <v>630</v>
      </c>
      <c r="N773" s="6">
        <f t="shared" si="366"/>
        <v>49.257600000000011</v>
      </c>
      <c r="O773">
        <f t="shared" si="367"/>
        <v>687.5</v>
      </c>
      <c r="P773" s="7">
        <f t="shared" si="355"/>
        <v>13.957237055804583</v>
      </c>
      <c r="Q773">
        <f>ROUNDUP(몬스터!$P$13/F773, 0)</f>
        <v>10</v>
      </c>
      <c r="R773" s="6">
        <f t="shared" si="368"/>
        <v>13.642564802182809</v>
      </c>
      <c r="S773" s="7">
        <f>B773/몬스터!$C$13*R773</f>
        <v>224.89561370871056</v>
      </c>
      <c r="U773">
        <f>ROUNDDOWN(R773*몬스터!$H$13, 0)*몬스터!$G$13*(1+몬스터!$I$13)</f>
        <v>502.60499999999996</v>
      </c>
      <c r="V773" s="2">
        <f t="shared" si="356"/>
        <v>0.73106181818181815</v>
      </c>
    </row>
    <row r="774" spans="1:22" x14ac:dyDescent="0.4">
      <c r="A774">
        <v>35</v>
      </c>
      <c r="B774" s="4">
        <f>160*A774</f>
        <v>5600</v>
      </c>
      <c r="C774">
        <f t="shared" si="361"/>
        <v>510</v>
      </c>
      <c r="D774">
        <f t="shared" si="362"/>
        <v>25</v>
      </c>
      <c r="E774" s="2">
        <v>0.1</v>
      </c>
      <c r="F774">
        <f t="shared" si="363"/>
        <v>65</v>
      </c>
      <c r="G774">
        <f t="shared" si="364"/>
        <v>0.7350000000000001</v>
      </c>
      <c r="H774" s="3">
        <f t="shared" si="354"/>
        <v>0.05</v>
      </c>
      <c r="I774" s="2">
        <v>2</v>
      </c>
      <c r="J774" s="2">
        <v>0</v>
      </c>
      <c r="K774" s="2">
        <v>1</v>
      </c>
      <c r="L774" s="16">
        <v>2</v>
      </c>
      <c r="M774" s="5">
        <f t="shared" si="365"/>
        <v>640</v>
      </c>
      <c r="N774" s="6">
        <f t="shared" si="366"/>
        <v>50.163750000000007</v>
      </c>
      <c r="O774">
        <f t="shared" si="367"/>
        <v>701.25</v>
      </c>
      <c r="P774" s="7">
        <f t="shared" si="355"/>
        <v>13.979218060850712</v>
      </c>
      <c r="Q774">
        <f>ROUNDUP(몬스터!$P$13/F774, 0)</f>
        <v>10</v>
      </c>
      <c r="R774" s="6">
        <f t="shared" si="368"/>
        <v>13.605442176870746</v>
      </c>
      <c r="S774" s="7">
        <f>B774/몬스터!$C$13*R774</f>
        <v>230.88023088023081</v>
      </c>
      <c r="T774" s="7">
        <f t="shared" ref="T774" si="369">SUM(S770:S774)</f>
        <v>1136.1833627407659</v>
      </c>
      <c r="U774">
        <f>ROUNDDOWN(R774*몬스터!$H$13, 0)*몬스터!$G$13*(1+몬스터!$I$13)</f>
        <v>502.60499999999996</v>
      </c>
      <c r="V774" s="2">
        <f t="shared" si="356"/>
        <v>0.71672727272727266</v>
      </c>
    </row>
    <row r="775" spans="1:22" x14ac:dyDescent="0.4">
      <c r="A775">
        <v>36</v>
      </c>
      <c r="B775" s="4">
        <f>170*A775</f>
        <v>6120</v>
      </c>
      <c r="C775">
        <f t="shared" si="361"/>
        <v>520</v>
      </c>
      <c r="D775">
        <f t="shared" si="362"/>
        <v>25</v>
      </c>
      <c r="E775" s="2">
        <v>0.1</v>
      </c>
      <c r="F775">
        <f t="shared" si="363"/>
        <v>67</v>
      </c>
      <c r="G775">
        <f t="shared" si="364"/>
        <v>0.7370000000000001</v>
      </c>
      <c r="H775" s="3">
        <f t="shared" si="354"/>
        <v>0.05</v>
      </c>
      <c r="I775" s="2">
        <v>2</v>
      </c>
      <c r="J775" s="2">
        <v>0</v>
      </c>
      <c r="K775" s="2">
        <v>1</v>
      </c>
      <c r="L775" s="16">
        <v>2</v>
      </c>
      <c r="M775" s="5">
        <f t="shared" si="365"/>
        <v>650</v>
      </c>
      <c r="N775" s="6">
        <f t="shared" si="366"/>
        <v>51.847950000000004</v>
      </c>
      <c r="O775">
        <f t="shared" si="367"/>
        <v>715.00000000000011</v>
      </c>
      <c r="P775" s="7">
        <f t="shared" si="355"/>
        <v>13.790323436124284</v>
      </c>
      <c r="Q775">
        <f>ROUNDUP(몬스터!$P$14/F775, 0)</f>
        <v>10</v>
      </c>
      <c r="R775" s="6">
        <f t="shared" si="368"/>
        <v>13.568521031207597</v>
      </c>
      <c r="S775" s="7">
        <f>B775/몬스터!$C$14*R775</f>
        <v>218.52460187102761</v>
      </c>
      <c r="U775">
        <f>ROUNDDOWN(R775*몬스터!$H$14, 0)*몬스터!$G$14*(1+몬스터!$I$14)</f>
        <v>575.505</v>
      </c>
      <c r="V775" s="2">
        <f t="shared" si="356"/>
        <v>0.80490209790209777</v>
      </c>
    </row>
    <row r="776" spans="1:22" x14ac:dyDescent="0.4">
      <c r="A776">
        <v>37</v>
      </c>
      <c r="B776" s="4">
        <f>170*A776</f>
        <v>6290</v>
      </c>
      <c r="C776">
        <f t="shared" si="361"/>
        <v>530</v>
      </c>
      <c r="D776">
        <f t="shared" si="362"/>
        <v>26</v>
      </c>
      <c r="E776" s="2">
        <v>0.1</v>
      </c>
      <c r="F776">
        <f t="shared" si="363"/>
        <v>68</v>
      </c>
      <c r="G776">
        <f t="shared" si="364"/>
        <v>0.73899999999999999</v>
      </c>
      <c r="H776" s="3">
        <f t="shared" si="354"/>
        <v>0.05</v>
      </c>
      <c r="I776" s="2">
        <v>2</v>
      </c>
      <c r="J776" s="2">
        <v>0</v>
      </c>
      <c r="K776" s="2">
        <v>1</v>
      </c>
      <c r="L776" s="16">
        <v>2</v>
      </c>
      <c r="M776" s="5">
        <f t="shared" si="365"/>
        <v>660</v>
      </c>
      <c r="N776" s="6">
        <f t="shared" si="366"/>
        <v>52.764600000000002</v>
      </c>
      <c r="O776">
        <f t="shared" si="367"/>
        <v>734.58</v>
      </c>
      <c r="P776" s="7">
        <f t="shared" si="355"/>
        <v>13.921833956857439</v>
      </c>
      <c r="Q776">
        <f>ROUNDUP(몬스터!$P$14/F776, 0)</f>
        <v>10</v>
      </c>
      <c r="R776" s="6">
        <f t="shared" si="368"/>
        <v>13.531799729364005</v>
      </c>
      <c r="S776" s="7">
        <f>B776/몬스터!$C$14*R776</f>
        <v>223.9868955202621</v>
      </c>
      <c r="U776">
        <f>ROUNDDOWN(R776*몬스터!$H$14, 0)*몬스터!$G$14*(1+몬스터!$I$14)</f>
        <v>575.505</v>
      </c>
      <c r="V776" s="2">
        <f t="shared" si="356"/>
        <v>0.78344768439108059</v>
      </c>
    </row>
    <row r="777" spans="1:22" x14ac:dyDescent="0.4">
      <c r="A777">
        <v>38</v>
      </c>
      <c r="B777" s="4">
        <f>170*A777</f>
        <v>6460</v>
      </c>
      <c r="C777">
        <f t="shared" si="361"/>
        <v>540</v>
      </c>
      <c r="D777">
        <f t="shared" si="362"/>
        <v>26</v>
      </c>
      <c r="E777" s="2">
        <v>0.1</v>
      </c>
      <c r="F777">
        <f t="shared" si="363"/>
        <v>69</v>
      </c>
      <c r="G777">
        <f t="shared" si="364"/>
        <v>0.74099999999999999</v>
      </c>
      <c r="H777" s="3">
        <f t="shared" si="354"/>
        <v>0.05</v>
      </c>
      <c r="I777" s="2">
        <v>2</v>
      </c>
      <c r="J777" s="2">
        <v>0</v>
      </c>
      <c r="K777" s="2">
        <v>1</v>
      </c>
      <c r="L777" s="16">
        <v>2</v>
      </c>
      <c r="M777" s="5">
        <f t="shared" si="365"/>
        <v>670</v>
      </c>
      <c r="N777" s="6">
        <f t="shared" si="366"/>
        <v>53.685450000000003</v>
      </c>
      <c r="O777">
        <f t="shared" si="367"/>
        <v>748.44</v>
      </c>
      <c r="P777" s="7">
        <f t="shared" si="355"/>
        <v>13.94120753388488</v>
      </c>
      <c r="Q777">
        <f>ROUNDUP(몬스터!$P$14/F777, 0)</f>
        <v>10</v>
      </c>
      <c r="R777" s="6">
        <f t="shared" si="368"/>
        <v>13.495276653171389</v>
      </c>
      <c r="S777" s="7">
        <f>B777/몬스터!$C$14*R777</f>
        <v>229.41970310391363</v>
      </c>
      <c r="U777">
        <f>ROUNDDOWN(R777*몬스터!$H$14, 0)*몬스터!$G$14*(1+몬스터!$I$14)</f>
        <v>575.505</v>
      </c>
      <c r="V777" s="2">
        <f t="shared" si="356"/>
        <v>0.76893939393939392</v>
      </c>
    </row>
    <row r="778" spans="1:22" x14ac:dyDescent="0.4">
      <c r="A778">
        <v>39</v>
      </c>
      <c r="B778" s="4">
        <f>170*A778</f>
        <v>6630</v>
      </c>
      <c r="C778">
        <f t="shared" si="361"/>
        <v>550</v>
      </c>
      <c r="D778">
        <f t="shared" si="362"/>
        <v>26</v>
      </c>
      <c r="E778" s="2">
        <v>0.1</v>
      </c>
      <c r="F778">
        <f t="shared" si="363"/>
        <v>71</v>
      </c>
      <c r="G778">
        <f t="shared" si="364"/>
        <v>0.74299999999999999</v>
      </c>
      <c r="H778" s="3">
        <f t="shared" si="354"/>
        <v>0.05</v>
      </c>
      <c r="I778" s="2">
        <v>2</v>
      </c>
      <c r="J778" s="2">
        <v>0</v>
      </c>
      <c r="K778" s="2">
        <v>1</v>
      </c>
      <c r="L778" s="16">
        <v>2</v>
      </c>
      <c r="M778" s="5">
        <f t="shared" si="365"/>
        <v>680</v>
      </c>
      <c r="N778" s="6">
        <f t="shared" si="366"/>
        <v>55.390650000000001</v>
      </c>
      <c r="O778">
        <f t="shared" si="367"/>
        <v>762.30000000000007</v>
      </c>
      <c r="P778" s="7">
        <f t="shared" si="355"/>
        <v>13.762250488123899</v>
      </c>
      <c r="Q778">
        <f>ROUNDUP(몬스터!$P$14/F778, 0)</f>
        <v>10</v>
      </c>
      <c r="R778" s="6">
        <f t="shared" si="368"/>
        <v>13.458950201884253</v>
      </c>
      <c r="S778" s="7">
        <f>B778/몬스터!$C$14*R778</f>
        <v>234.82326273287524</v>
      </c>
      <c r="U778">
        <f>ROUNDDOWN(R778*몬스터!$H$14, 0)*몬스터!$G$14*(1+몬스터!$I$14)</f>
        <v>575.505</v>
      </c>
      <c r="V778" s="2">
        <f t="shared" si="356"/>
        <v>0.75495867768595037</v>
      </c>
    </row>
    <row r="779" spans="1:22" x14ac:dyDescent="0.4">
      <c r="A779">
        <v>40</v>
      </c>
      <c r="B779" s="4">
        <f>170*A779</f>
        <v>6800</v>
      </c>
      <c r="C779">
        <f t="shared" si="361"/>
        <v>560</v>
      </c>
      <c r="D779">
        <f t="shared" si="362"/>
        <v>27</v>
      </c>
      <c r="E779" s="2">
        <v>0.1</v>
      </c>
      <c r="F779">
        <f t="shared" si="363"/>
        <v>72</v>
      </c>
      <c r="G779">
        <f t="shared" si="364"/>
        <v>0.745</v>
      </c>
      <c r="H779" s="3">
        <f t="shared" si="354"/>
        <v>0.05</v>
      </c>
      <c r="I779" s="2">
        <v>2</v>
      </c>
      <c r="J779" s="2">
        <v>0</v>
      </c>
      <c r="K779" s="2">
        <v>1</v>
      </c>
      <c r="L779" s="16">
        <v>2</v>
      </c>
      <c r="M779" s="5">
        <f t="shared" si="365"/>
        <v>690</v>
      </c>
      <c r="N779" s="6">
        <f t="shared" si="366"/>
        <v>56.322000000000003</v>
      </c>
      <c r="O779">
        <f t="shared" si="367"/>
        <v>782.32000000000016</v>
      </c>
      <c r="P779" s="7">
        <f t="shared" si="355"/>
        <v>13.890131742480738</v>
      </c>
      <c r="Q779">
        <f>ROUNDUP(몬스터!$P$14/F779, 0)</f>
        <v>10</v>
      </c>
      <c r="R779" s="6">
        <f t="shared" si="368"/>
        <v>13.422818791946309</v>
      </c>
      <c r="S779" s="7">
        <f>B779/몬스터!$C$14*R779</f>
        <v>240.19780996114449</v>
      </c>
      <c r="T779" s="7">
        <f t="shared" ref="T779" si="370">SUM(S775:S779)</f>
        <v>1146.9522731892232</v>
      </c>
      <c r="U779">
        <f>ROUNDDOWN(R779*몬스터!$H$14, 0)*몬스터!$G$14*(1+몬스터!$I$14)</f>
        <v>575.505</v>
      </c>
      <c r="V779" s="2">
        <f t="shared" si="356"/>
        <v>0.73563886900501063</v>
      </c>
    </row>
    <row r="780" spans="1:22" x14ac:dyDescent="0.4">
      <c r="A780">
        <v>41</v>
      </c>
      <c r="B780" s="4">
        <f>160*A780</f>
        <v>6560</v>
      </c>
      <c r="C780">
        <f t="shared" si="361"/>
        <v>570</v>
      </c>
      <c r="D780">
        <f t="shared" si="362"/>
        <v>27</v>
      </c>
      <c r="E780" s="2">
        <v>0.1</v>
      </c>
      <c r="F780">
        <f t="shared" si="363"/>
        <v>73</v>
      </c>
      <c r="G780">
        <f t="shared" si="364"/>
        <v>0.747</v>
      </c>
      <c r="H780" s="3">
        <f t="shared" si="354"/>
        <v>0.05</v>
      </c>
      <c r="I780" s="2">
        <v>2</v>
      </c>
      <c r="J780" s="2">
        <v>0</v>
      </c>
      <c r="K780" s="2">
        <v>1</v>
      </c>
      <c r="L780" s="16">
        <v>2</v>
      </c>
      <c r="M780" s="5">
        <f t="shared" si="365"/>
        <v>700</v>
      </c>
      <c r="N780" s="6">
        <f t="shared" si="366"/>
        <v>57.257550000000002</v>
      </c>
      <c r="O780">
        <f t="shared" si="367"/>
        <v>796.29000000000008</v>
      </c>
      <c r="P780" s="7">
        <f t="shared" si="355"/>
        <v>13.90716158829709</v>
      </c>
      <c r="Q780">
        <f>ROUNDUP(몬스터!$P$17/F780, 0)</f>
        <v>12</v>
      </c>
      <c r="R780" s="6">
        <f t="shared" si="368"/>
        <v>16.064257028112451</v>
      </c>
      <c r="S780" s="7">
        <f>B780/몬스터!$C$17*R780</f>
        <v>245.07331652190157</v>
      </c>
      <c r="U780">
        <f>ROUNDDOWN(R780*몬스터!$H$17, 0)*몬스터!$G$17*(1+몬스터!$I$17)</f>
        <v>805.86000000000013</v>
      </c>
      <c r="V780" s="2">
        <f t="shared" si="356"/>
        <v>1.0120182345627851</v>
      </c>
    </row>
    <row r="781" spans="1:22" x14ac:dyDescent="0.4">
      <c r="A781">
        <v>42</v>
      </c>
      <c r="B781" s="4">
        <f>160*A781</f>
        <v>6720</v>
      </c>
      <c r="C781">
        <f t="shared" si="361"/>
        <v>580</v>
      </c>
      <c r="D781">
        <f t="shared" si="362"/>
        <v>27</v>
      </c>
      <c r="E781" s="2">
        <v>0.1</v>
      </c>
      <c r="F781">
        <f t="shared" si="363"/>
        <v>75</v>
      </c>
      <c r="G781">
        <f t="shared" si="364"/>
        <v>0.749</v>
      </c>
      <c r="H781" s="3">
        <f t="shared" si="354"/>
        <v>0.05</v>
      </c>
      <c r="I781" s="2">
        <v>2</v>
      </c>
      <c r="J781" s="2">
        <v>0</v>
      </c>
      <c r="K781" s="2">
        <v>1</v>
      </c>
      <c r="L781" s="16">
        <v>2</v>
      </c>
      <c r="M781" s="5">
        <f t="shared" si="365"/>
        <v>710</v>
      </c>
      <c r="N781" s="6">
        <f t="shared" si="366"/>
        <v>58.983750000000001</v>
      </c>
      <c r="O781">
        <f t="shared" si="367"/>
        <v>810.2600000000001</v>
      </c>
      <c r="P781" s="7">
        <f t="shared" si="355"/>
        <v>13.737003835802236</v>
      </c>
      <c r="Q781">
        <f>ROUNDUP(몬스터!$P$17/F781, 0)</f>
        <v>12</v>
      </c>
      <c r="R781" s="6">
        <f t="shared" si="368"/>
        <v>16.021361815754339</v>
      </c>
      <c r="S781" s="7">
        <f>B781/몬스터!$C$17*R781</f>
        <v>250.38035209737012</v>
      </c>
      <c r="U781">
        <f>ROUNDDOWN(R781*몬스터!$H$17, 0)*몬스터!$G$17*(1+몬스터!$I$17)</f>
        <v>805.86000000000013</v>
      </c>
      <c r="V781" s="2">
        <f t="shared" si="356"/>
        <v>0.99456964431170247</v>
      </c>
    </row>
    <row r="782" spans="1:22" x14ac:dyDescent="0.4">
      <c r="A782">
        <v>43</v>
      </c>
      <c r="B782" s="4">
        <f>160*A782</f>
        <v>6880</v>
      </c>
      <c r="C782">
        <f t="shared" si="361"/>
        <v>590</v>
      </c>
      <c r="D782">
        <f t="shared" si="362"/>
        <v>27</v>
      </c>
      <c r="E782" s="2">
        <v>0.1</v>
      </c>
      <c r="F782">
        <f t="shared" si="363"/>
        <v>76</v>
      </c>
      <c r="G782">
        <f t="shared" si="364"/>
        <v>0.751</v>
      </c>
      <c r="H782" s="3">
        <f t="shared" si="354"/>
        <v>0.05</v>
      </c>
      <c r="I782" s="2">
        <v>2</v>
      </c>
      <c r="J782" s="2">
        <v>0</v>
      </c>
      <c r="K782" s="2">
        <v>1</v>
      </c>
      <c r="L782" s="16">
        <v>2</v>
      </c>
      <c r="M782" s="5">
        <f t="shared" si="365"/>
        <v>720</v>
      </c>
      <c r="N782" s="6">
        <f t="shared" si="366"/>
        <v>59.9298</v>
      </c>
      <c r="O782">
        <f t="shared" si="367"/>
        <v>824.23</v>
      </c>
      <c r="P782" s="7">
        <f t="shared" si="355"/>
        <v>13.753257978501514</v>
      </c>
      <c r="Q782">
        <f>ROUNDUP(몬스터!$P$17/F782, 0)</f>
        <v>11</v>
      </c>
      <c r="R782" s="6">
        <f t="shared" si="368"/>
        <v>14.647137150466046</v>
      </c>
      <c r="S782" s="7">
        <f>B782/몬스터!$C$17*R782</f>
        <v>234.35419440745673</v>
      </c>
      <c r="U782">
        <f>ROUNDDOWN(R782*몬스터!$H$17, 0)*몬스터!$G$17*(1+몬스터!$I$17)</f>
        <v>732.6</v>
      </c>
      <c r="V782" s="2">
        <f t="shared" si="356"/>
        <v>0.88882957426931808</v>
      </c>
    </row>
    <row r="783" spans="1:22" x14ac:dyDescent="0.4">
      <c r="A783">
        <v>44</v>
      </c>
      <c r="B783" s="4">
        <f>160*A783</f>
        <v>7040</v>
      </c>
      <c r="C783">
        <f t="shared" si="361"/>
        <v>600</v>
      </c>
      <c r="D783">
        <f t="shared" si="362"/>
        <v>28</v>
      </c>
      <c r="E783" s="2">
        <v>0.1</v>
      </c>
      <c r="F783">
        <f t="shared" si="363"/>
        <v>77</v>
      </c>
      <c r="G783">
        <f t="shared" si="364"/>
        <v>0.753</v>
      </c>
      <c r="H783" s="3">
        <f t="shared" si="354"/>
        <v>0.05</v>
      </c>
      <c r="I783" s="2">
        <v>2</v>
      </c>
      <c r="J783" s="2">
        <v>0</v>
      </c>
      <c r="K783" s="2">
        <v>1</v>
      </c>
      <c r="L783" s="16">
        <v>2</v>
      </c>
      <c r="M783" s="5">
        <f t="shared" si="365"/>
        <v>730</v>
      </c>
      <c r="N783" s="6">
        <f t="shared" si="366"/>
        <v>60.880050000000004</v>
      </c>
      <c r="O783">
        <f t="shared" si="367"/>
        <v>844.80000000000007</v>
      </c>
      <c r="P783" s="7">
        <f t="shared" si="355"/>
        <v>13.876466921429927</v>
      </c>
      <c r="Q783">
        <f>ROUNDUP(몬스터!$P$17/F783, 0)</f>
        <v>11</v>
      </c>
      <c r="R783" s="6">
        <f t="shared" si="368"/>
        <v>14.608233731739707</v>
      </c>
      <c r="S783" s="7">
        <f>B783/몬스터!$C$17*R783</f>
        <v>239.16736156150591</v>
      </c>
      <c r="U783">
        <f>ROUNDDOWN(R783*몬스터!$H$17, 0)*몬스터!$G$17*(1+몬스터!$I$17)</f>
        <v>732.6</v>
      </c>
      <c r="V783" s="2">
        <f t="shared" si="356"/>
        <v>0.8671875</v>
      </c>
    </row>
    <row r="784" spans="1:22" x14ac:dyDescent="0.4">
      <c r="A784">
        <v>45</v>
      </c>
      <c r="B784" s="4">
        <f>160*A784</f>
        <v>7200</v>
      </c>
      <c r="C784">
        <f t="shared" si="361"/>
        <v>615</v>
      </c>
      <c r="D784">
        <f t="shared" si="362"/>
        <v>28</v>
      </c>
      <c r="E784" s="2">
        <v>0.1</v>
      </c>
      <c r="F784">
        <f t="shared" si="363"/>
        <v>79</v>
      </c>
      <c r="G784">
        <f t="shared" si="364"/>
        <v>0.755</v>
      </c>
      <c r="H784" s="3">
        <f t="shared" si="354"/>
        <v>0.05</v>
      </c>
      <c r="I784" s="2">
        <v>2</v>
      </c>
      <c r="J784" s="2">
        <v>0</v>
      </c>
      <c r="K784" s="2">
        <v>1</v>
      </c>
      <c r="L784" s="16">
        <v>2</v>
      </c>
      <c r="M784" s="5">
        <f t="shared" si="365"/>
        <v>740</v>
      </c>
      <c r="N784" s="6">
        <f t="shared" si="366"/>
        <v>62.627250000000004</v>
      </c>
      <c r="O784">
        <f t="shared" si="367"/>
        <v>865.92000000000007</v>
      </c>
      <c r="P784" s="7">
        <f t="shared" si="355"/>
        <v>13.826569105301607</v>
      </c>
      <c r="Q784">
        <f>ROUNDUP(몬스터!$P$17/F784, 0)</f>
        <v>11</v>
      </c>
      <c r="R784" s="6">
        <f t="shared" si="368"/>
        <v>14.569536423841059</v>
      </c>
      <c r="S784" s="7">
        <f>B784/몬스터!$C$17*R784</f>
        <v>243.9550284922224</v>
      </c>
      <c r="T784" s="7">
        <f t="shared" ref="T784" si="371">SUM(S780:S784)</f>
        <v>1212.9302530804569</v>
      </c>
      <c r="U784">
        <f>ROUNDDOWN(R784*몬스터!$H$17, 0)*몬스터!$G$17*(1+몬스터!$I$17)</f>
        <v>732.6</v>
      </c>
      <c r="V784" s="2">
        <f t="shared" si="356"/>
        <v>0.84603658536585358</v>
      </c>
    </row>
    <row r="785" spans="1:22" x14ac:dyDescent="0.4">
      <c r="A785">
        <v>46</v>
      </c>
      <c r="B785" s="4">
        <f>170*A785-620</f>
        <v>7200</v>
      </c>
      <c r="C785">
        <f t="shared" si="361"/>
        <v>625</v>
      </c>
      <c r="D785">
        <f t="shared" si="362"/>
        <v>28</v>
      </c>
      <c r="E785" s="2">
        <v>0.1</v>
      </c>
      <c r="F785">
        <f t="shared" si="363"/>
        <v>80</v>
      </c>
      <c r="G785">
        <f t="shared" si="364"/>
        <v>0.75700000000000001</v>
      </c>
      <c r="H785" s="3">
        <f t="shared" si="354"/>
        <v>0.05</v>
      </c>
      <c r="I785" s="2">
        <v>2</v>
      </c>
      <c r="J785" s="2">
        <v>0</v>
      </c>
      <c r="K785" s="2">
        <v>1</v>
      </c>
      <c r="L785" s="16">
        <v>2</v>
      </c>
      <c r="M785" s="5">
        <f t="shared" si="365"/>
        <v>750</v>
      </c>
      <c r="N785" s="6">
        <f t="shared" si="366"/>
        <v>63.588000000000008</v>
      </c>
      <c r="O785">
        <f t="shared" si="367"/>
        <v>880.00000000000011</v>
      </c>
      <c r="P785" s="7">
        <f t="shared" si="355"/>
        <v>13.839089136315028</v>
      </c>
      <c r="Q785">
        <f>ROUNDUP(몬스터!$P$18/F785, 0)</f>
        <v>12</v>
      </c>
      <c r="R785" s="6">
        <f t="shared" si="368"/>
        <v>15.852047556142669</v>
      </c>
      <c r="S785" s="7">
        <f>B785/몬스터!$C$18*R785</f>
        <v>237.78071334214002</v>
      </c>
      <c r="U785">
        <f>ROUNDDOWN(R785*몬스터!$H$18, 0)*몬스터!$G$18*(1+몬스터!$I$18)</f>
        <v>897.35249999999996</v>
      </c>
      <c r="V785" s="2">
        <f t="shared" si="356"/>
        <v>1.0197187499999998</v>
      </c>
    </row>
    <row r="786" spans="1:22" x14ac:dyDescent="0.4">
      <c r="A786">
        <v>47</v>
      </c>
      <c r="B786" s="4">
        <f>170*A786</f>
        <v>7990</v>
      </c>
      <c r="C786">
        <f t="shared" si="361"/>
        <v>635</v>
      </c>
      <c r="D786">
        <f t="shared" si="362"/>
        <v>29</v>
      </c>
      <c r="E786" s="2">
        <v>0.1</v>
      </c>
      <c r="F786">
        <f t="shared" si="363"/>
        <v>81</v>
      </c>
      <c r="G786">
        <f t="shared" si="364"/>
        <v>0.75900000000000001</v>
      </c>
      <c r="H786" s="3">
        <f t="shared" si="354"/>
        <v>0.05</v>
      </c>
      <c r="I786" s="2">
        <v>2</v>
      </c>
      <c r="J786" s="2">
        <v>0</v>
      </c>
      <c r="K786" s="2">
        <v>1</v>
      </c>
      <c r="L786" s="16">
        <v>2</v>
      </c>
      <c r="M786" s="5">
        <f t="shared" si="365"/>
        <v>760</v>
      </c>
      <c r="N786" s="6">
        <f t="shared" si="366"/>
        <v>64.552949999999996</v>
      </c>
      <c r="O786">
        <f t="shared" si="367"/>
        <v>901.06500000000005</v>
      </c>
      <c r="P786" s="7">
        <f t="shared" si="355"/>
        <v>13.95854101168111</v>
      </c>
      <c r="Q786">
        <f>ROUNDUP(몬스터!$P$18/F786, 0)</f>
        <v>12</v>
      </c>
      <c r="R786" s="6">
        <f t="shared" si="368"/>
        <v>15.810276679841897</v>
      </c>
      <c r="S786" s="7">
        <f>B786/몬스터!$C$18*R786</f>
        <v>263.17523056653488</v>
      </c>
      <c r="U786">
        <f>ROUNDDOWN(R786*몬스터!$H$18, 0)*몬스터!$G$18*(1+몬스터!$I$18)</f>
        <v>897.35249999999996</v>
      </c>
      <c r="V786" s="2">
        <f t="shared" si="356"/>
        <v>0.99587987548068113</v>
      </c>
    </row>
    <row r="787" spans="1:22" x14ac:dyDescent="0.4">
      <c r="A787">
        <v>48</v>
      </c>
      <c r="B787" s="4">
        <f>170*A787</f>
        <v>8160</v>
      </c>
      <c r="C787">
        <f t="shared" si="361"/>
        <v>645</v>
      </c>
      <c r="D787">
        <f t="shared" si="362"/>
        <v>29</v>
      </c>
      <c r="E787" s="2">
        <v>0.1</v>
      </c>
      <c r="F787">
        <f t="shared" si="363"/>
        <v>83</v>
      </c>
      <c r="G787">
        <f t="shared" si="364"/>
        <v>0.76100000000000001</v>
      </c>
      <c r="H787" s="3">
        <f t="shared" si="354"/>
        <v>0.05</v>
      </c>
      <c r="I787" s="2">
        <v>2</v>
      </c>
      <c r="J787" s="2">
        <v>0</v>
      </c>
      <c r="K787" s="2">
        <v>1</v>
      </c>
      <c r="L787" s="16">
        <v>2</v>
      </c>
      <c r="M787" s="5">
        <f t="shared" si="365"/>
        <v>770</v>
      </c>
      <c r="N787" s="6">
        <f t="shared" si="366"/>
        <v>66.321150000000003</v>
      </c>
      <c r="O787">
        <f t="shared" si="367"/>
        <v>915.25500000000011</v>
      </c>
      <c r="P787" s="7">
        <f t="shared" si="355"/>
        <v>13.800348757523054</v>
      </c>
      <c r="Q787">
        <f>ROUNDUP(몬스터!$P$18/F787, 0)</f>
        <v>12</v>
      </c>
      <c r="R787" s="6">
        <f t="shared" si="368"/>
        <v>15.768725361366622</v>
      </c>
      <c r="S787" s="7">
        <f>B787/몬스터!$C$18*R787</f>
        <v>268.06833114323257</v>
      </c>
      <c r="U787">
        <f>ROUNDDOWN(R787*몬스터!$H$18, 0)*몬스터!$G$18*(1+몬스터!$I$18)</f>
        <v>897.35249999999996</v>
      </c>
      <c r="V787" s="2">
        <f t="shared" si="356"/>
        <v>0.98043987741121308</v>
      </c>
    </row>
    <row r="788" spans="1:22" x14ac:dyDescent="0.4">
      <c r="A788">
        <v>49</v>
      </c>
      <c r="B788" s="4">
        <f>170*A788</f>
        <v>8330</v>
      </c>
      <c r="C788">
        <f t="shared" si="361"/>
        <v>655</v>
      </c>
      <c r="D788">
        <f t="shared" si="362"/>
        <v>29</v>
      </c>
      <c r="E788" s="2">
        <v>0.1</v>
      </c>
      <c r="F788">
        <f t="shared" si="363"/>
        <v>84</v>
      </c>
      <c r="G788">
        <f t="shared" si="364"/>
        <v>0.76300000000000001</v>
      </c>
      <c r="H788" s="3">
        <f t="shared" si="354"/>
        <v>0.05</v>
      </c>
      <c r="I788" s="2">
        <v>2</v>
      </c>
      <c r="J788" s="2">
        <v>0</v>
      </c>
      <c r="K788" s="2">
        <v>1</v>
      </c>
      <c r="L788" s="16">
        <v>2</v>
      </c>
      <c r="M788" s="5">
        <f t="shared" si="365"/>
        <v>780</v>
      </c>
      <c r="N788" s="6">
        <f t="shared" si="366"/>
        <v>67.296599999999998</v>
      </c>
      <c r="O788">
        <f t="shared" si="367"/>
        <v>929.44500000000016</v>
      </c>
      <c r="P788" s="7">
        <f t="shared" si="355"/>
        <v>13.811173224204495</v>
      </c>
      <c r="Q788">
        <f>ROUNDUP(몬스터!$P$18/F788, 0)</f>
        <v>12</v>
      </c>
      <c r="R788" s="6">
        <f t="shared" si="368"/>
        <v>15.727391874180865</v>
      </c>
      <c r="S788" s="7">
        <f>B788/몬스터!$C$18*R788</f>
        <v>272.93577981651379</v>
      </c>
      <c r="U788">
        <f>ROUNDDOWN(R788*몬스터!$H$18, 0)*몬스터!$G$18*(1+몬스터!$I$18)</f>
        <v>897.35249999999996</v>
      </c>
      <c r="V788" s="2">
        <f t="shared" si="356"/>
        <v>0.96547132966447702</v>
      </c>
    </row>
    <row r="789" spans="1:22" x14ac:dyDescent="0.4">
      <c r="A789">
        <v>50</v>
      </c>
      <c r="B789" s="4">
        <f>170*A789</f>
        <v>8500</v>
      </c>
      <c r="C789">
        <f t="shared" si="361"/>
        <v>665</v>
      </c>
      <c r="D789">
        <f t="shared" si="362"/>
        <v>30</v>
      </c>
      <c r="E789" s="2">
        <v>0.1</v>
      </c>
      <c r="F789">
        <f t="shared" si="363"/>
        <v>85</v>
      </c>
      <c r="G789">
        <f t="shared" si="364"/>
        <v>0.76500000000000001</v>
      </c>
      <c r="H789" s="3">
        <f t="shared" si="354"/>
        <v>0.05</v>
      </c>
      <c r="I789" s="2">
        <v>2</v>
      </c>
      <c r="J789" s="2">
        <v>0</v>
      </c>
      <c r="K789" s="2">
        <v>1</v>
      </c>
      <c r="L789" s="16">
        <v>2</v>
      </c>
      <c r="M789" s="5">
        <f t="shared" si="365"/>
        <v>790</v>
      </c>
      <c r="N789" s="6">
        <f t="shared" si="366"/>
        <v>68.276250000000005</v>
      </c>
      <c r="O789">
        <f t="shared" si="367"/>
        <v>950.95</v>
      </c>
      <c r="P789" s="7">
        <f t="shared" si="355"/>
        <v>13.927976419325899</v>
      </c>
      <c r="Q789">
        <f>ROUNDUP(몬스터!$P$18/F789, 0)</f>
        <v>12</v>
      </c>
      <c r="R789" s="6">
        <f t="shared" si="368"/>
        <v>15.686274509803921</v>
      </c>
      <c r="S789" s="7">
        <f>B789/몬스터!$C$18*R789</f>
        <v>277.77777777777777</v>
      </c>
      <c r="T789" s="7">
        <f t="shared" ref="T789" si="372">SUM(S785:S789)</f>
        <v>1319.737832646199</v>
      </c>
      <c r="U789">
        <f>ROUNDDOWN(R789*몬스터!$H$18, 0)*몬스터!$G$18*(1+몬스터!$I$18)</f>
        <v>897.35249999999996</v>
      </c>
      <c r="V789" s="2">
        <f t="shared" si="356"/>
        <v>0.943637941006362</v>
      </c>
    </row>
    <row r="790" spans="1:22" x14ac:dyDescent="0.4">
      <c r="A790">
        <v>51</v>
      </c>
      <c r="B790" s="4">
        <f>160*A790</f>
        <v>8160</v>
      </c>
      <c r="C790">
        <f t="shared" si="361"/>
        <v>675</v>
      </c>
      <c r="D790">
        <f t="shared" si="362"/>
        <v>30</v>
      </c>
      <c r="E790" s="2">
        <v>0.1</v>
      </c>
      <c r="F790">
        <f t="shared" si="363"/>
        <v>87</v>
      </c>
      <c r="G790">
        <f t="shared" si="364"/>
        <v>0.76700000000000002</v>
      </c>
      <c r="H790" s="3">
        <f t="shared" si="354"/>
        <v>0.05</v>
      </c>
      <c r="I790" s="2">
        <v>2</v>
      </c>
      <c r="J790" s="2">
        <v>0</v>
      </c>
      <c r="K790" s="2">
        <v>1</v>
      </c>
      <c r="L790" s="16">
        <v>2</v>
      </c>
      <c r="M790" s="5">
        <f t="shared" si="365"/>
        <v>800</v>
      </c>
      <c r="N790" s="6">
        <f t="shared" si="366"/>
        <v>70.065449999999998</v>
      </c>
      <c r="O790">
        <f t="shared" si="367"/>
        <v>965.25000000000011</v>
      </c>
      <c r="P790" s="7">
        <f t="shared" si="355"/>
        <v>13.776404775820325</v>
      </c>
      <c r="Q790">
        <f>ROUNDUP(몬스터!$P$19/F790, 0)</f>
        <v>13</v>
      </c>
      <c r="R790" s="6">
        <f t="shared" si="368"/>
        <v>16.949152542372882</v>
      </c>
      <c r="S790" s="7">
        <f>B790/몬스터!$C$19*R790</f>
        <v>260.95299008634476</v>
      </c>
      <c r="U790">
        <f>ROUNDDOWN(R790*몬스터!$H$19, 0)*몬스터!$G$19*(1+몬스터!$I$19)</f>
        <v>1093.5</v>
      </c>
      <c r="V790" s="2">
        <f t="shared" si="356"/>
        <v>1.1328671328671327</v>
      </c>
    </row>
    <row r="791" spans="1:22" x14ac:dyDescent="0.4">
      <c r="A791">
        <v>52</v>
      </c>
      <c r="B791" s="4">
        <f>160*A791</f>
        <v>8320</v>
      </c>
      <c r="C791">
        <f t="shared" si="361"/>
        <v>685</v>
      </c>
      <c r="D791">
        <f t="shared" si="362"/>
        <v>30</v>
      </c>
      <c r="E791" s="2">
        <v>0.1</v>
      </c>
      <c r="F791">
        <f t="shared" si="363"/>
        <v>88</v>
      </c>
      <c r="G791">
        <f t="shared" si="364"/>
        <v>0.76900000000000002</v>
      </c>
      <c r="H791" s="3">
        <f t="shared" si="354"/>
        <v>0.05</v>
      </c>
      <c r="I791" s="2">
        <v>2</v>
      </c>
      <c r="J791" s="2">
        <v>0</v>
      </c>
      <c r="K791" s="2">
        <v>1</v>
      </c>
      <c r="L791" s="16">
        <v>2</v>
      </c>
      <c r="M791" s="5">
        <f t="shared" si="365"/>
        <v>810</v>
      </c>
      <c r="N791" s="6">
        <f t="shared" si="366"/>
        <v>71.055599999999998</v>
      </c>
      <c r="O791">
        <f t="shared" si="367"/>
        <v>979.55000000000007</v>
      </c>
      <c r="P791" s="7">
        <f t="shared" si="355"/>
        <v>13.785683324044834</v>
      </c>
      <c r="Q791">
        <f>ROUNDUP(몬스터!$P$19/F791, 0)</f>
        <v>13</v>
      </c>
      <c r="R791" s="6">
        <f t="shared" si="368"/>
        <v>16.905071521456435</v>
      </c>
      <c r="S791" s="7">
        <f>B791/몬스터!$C$19*R791</f>
        <v>265.37772652550478</v>
      </c>
      <c r="U791">
        <f>ROUNDDOWN(R791*몬스터!$H$19, 0)*몬스터!$G$19*(1+몬스터!$I$19)</f>
        <v>1093.5</v>
      </c>
      <c r="V791" s="2">
        <f t="shared" si="356"/>
        <v>1.1163289265479046</v>
      </c>
    </row>
    <row r="792" spans="1:22" x14ac:dyDescent="0.4">
      <c r="A792">
        <v>53</v>
      </c>
      <c r="B792" s="4">
        <f>160*A792</f>
        <v>8480</v>
      </c>
      <c r="C792">
        <f t="shared" si="361"/>
        <v>695</v>
      </c>
      <c r="D792">
        <f t="shared" si="362"/>
        <v>30</v>
      </c>
      <c r="E792" s="2">
        <v>0.1</v>
      </c>
      <c r="F792">
        <f t="shared" si="363"/>
        <v>89</v>
      </c>
      <c r="G792">
        <f t="shared" si="364"/>
        <v>0.77100000000000002</v>
      </c>
      <c r="H792" s="3">
        <f t="shared" si="354"/>
        <v>0.05</v>
      </c>
      <c r="I792" s="2">
        <v>2</v>
      </c>
      <c r="J792" s="2">
        <v>0</v>
      </c>
      <c r="K792" s="2">
        <v>1</v>
      </c>
      <c r="L792" s="16">
        <v>2</v>
      </c>
      <c r="M792" s="5">
        <f t="shared" si="365"/>
        <v>820</v>
      </c>
      <c r="N792" s="6">
        <f t="shared" si="366"/>
        <v>72.04995000000001</v>
      </c>
      <c r="O792">
        <f t="shared" si="367"/>
        <v>993.85000000000014</v>
      </c>
      <c r="P792" s="7">
        <f t="shared" si="355"/>
        <v>13.793902702222555</v>
      </c>
      <c r="Q792">
        <f>ROUNDUP(몬스터!$P$19/F792, 0)</f>
        <v>13</v>
      </c>
      <c r="R792" s="6">
        <f t="shared" si="368"/>
        <v>16.861219195849547</v>
      </c>
      <c r="S792" s="7">
        <f>B792/몬스터!$C$19*R792</f>
        <v>269.77950713359274</v>
      </c>
      <c r="U792">
        <f>ROUNDDOWN(R792*몬스터!$H$19, 0)*몬스터!$G$19*(1+몬스터!$I$19)</f>
        <v>1093.5</v>
      </c>
      <c r="V792" s="2">
        <f t="shared" si="356"/>
        <v>1.100266639834985</v>
      </c>
    </row>
    <row r="793" spans="1:22" x14ac:dyDescent="0.4">
      <c r="A793">
        <v>54</v>
      </c>
      <c r="B793" s="4">
        <f>160*A793</f>
        <v>8640</v>
      </c>
      <c r="C793">
        <f t="shared" si="361"/>
        <v>705</v>
      </c>
      <c r="D793">
        <f t="shared" si="362"/>
        <v>31</v>
      </c>
      <c r="E793" s="2">
        <v>0.1</v>
      </c>
      <c r="F793">
        <f t="shared" si="363"/>
        <v>91</v>
      </c>
      <c r="G793">
        <f t="shared" si="364"/>
        <v>0.77300000000000002</v>
      </c>
      <c r="H793" s="3">
        <f t="shared" si="354"/>
        <v>0.05</v>
      </c>
      <c r="I793" s="2">
        <v>2</v>
      </c>
      <c r="J793" s="2">
        <v>0</v>
      </c>
      <c r="K793" s="2">
        <v>1</v>
      </c>
      <c r="L793" s="16">
        <v>2</v>
      </c>
      <c r="M793" s="5">
        <f t="shared" si="365"/>
        <v>830</v>
      </c>
      <c r="N793" s="6">
        <f t="shared" si="366"/>
        <v>73.860150000000004</v>
      </c>
      <c r="O793">
        <f t="shared" si="367"/>
        <v>1015.9050000000002</v>
      </c>
      <c r="P793" s="7">
        <f t="shared" si="355"/>
        <v>13.75443997879777</v>
      </c>
      <c r="Q793">
        <f>ROUNDUP(몬스터!$P$19/F793, 0)</f>
        <v>12</v>
      </c>
      <c r="R793" s="6">
        <f t="shared" si="368"/>
        <v>15.523932729624837</v>
      </c>
      <c r="S793" s="7">
        <f>B793/몬스터!$C$19*R793</f>
        <v>253.06939393199735</v>
      </c>
      <c r="U793">
        <f>ROUNDDOWN(R793*몬스터!$H$19, 0)*몬스터!$G$19*(1+몬스터!$I$19)</f>
        <v>1002.375</v>
      </c>
      <c r="V793" s="2">
        <f t="shared" si="356"/>
        <v>0.9866818255643981</v>
      </c>
    </row>
    <row r="794" spans="1:22" x14ac:dyDescent="0.4">
      <c r="A794">
        <v>55</v>
      </c>
      <c r="B794" s="4">
        <f>160*A794</f>
        <v>8800</v>
      </c>
      <c r="C794">
        <f t="shared" si="361"/>
        <v>715</v>
      </c>
      <c r="D794">
        <f t="shared" si="362"/>
        <v>31</v>
      </c>
      <c r="E794" s="2">
        <v>0.1</v>
      </c>
      <c r="F794">
        <f t="shared" si="363"/>
        <v>92</v>
      </c>
      <c r="G794">
        <f t="shared" si="364"/>
        <v>0.77500000000000002</v>
      </c>
      <c r="H794" s="3">
        <f t="shared" si="354"/>
        <v>0.05</v>
      </c>
      <c r="I794" s="2">
        <v>2</v>
      </c>
      <c r="J794" s="2">
        <v>0</v>
      </c>
      <c r="K794" s="2">
        <v>1</v>
      </c>
      <c r="L794" s="16">
        <v>2</v>
      </c>
      <c r="M794" s="5">
        <f t="shared" si="365"/>
        <v>840</v>
      </c>
      <c r="N794" s="6">
        <f t="shared" si="366"/>
        <v>74.864999999999995</v>
      </c>
      <c r="O794">
        <f t="shared" si="367"/>
        <v>1030.3150000000003</v>
      </c>
      <c r="P794" s="7">
        <f t="shared" si="355"/>
        <v>13.762305483203104</v>
      </c>
      <c r="Q794">
        <f>ROUNDUP(몬스터!$P$19/F794, 0)</f>
        <v>12</v>
      </c>
      <c r="R794" s="6">
        <f t="shared" si="368"/>
        <v>15.483870967741934</v>
      </c>
      <c r="S794" s="7">
        <f>B794/몬스터!$C$19*R794</f>
        <v>257.09068776628118</v>
      </c>
      <c r="T794" s="7">
        <f t="shared" ref="T794" si="373">SUM(S790:S794)</f>
        <v>1306.2703054437209</v>
      </c>
      <c r="U794">
        <f>ROUNDDOWN(R794*몬스터!$H$19, 0)*몬스터!$G$19*(1+몬스터!$I$19)</f>
        <v>1002.375</v>
      </c>
      <c r="V794" s="2">
        <f t="shared" si="356"/>
        <v>0.97288207975230845</v>
      </c>
    </row>
    <row r="795" spans="1:22" x14ac:dyDescent="0.4">
      <c r="A795">
        <v>56</v>
      </c>
      <c r="B795" s="4">
        <f>170*A795</f>
        <v>9520</v>
      </c>
      <c r="C795">
        <f t="shared" si="361"/>
        <v>730</v>
      </c>
      <c r="D795">
        <f t="shared" si="362"/>
        <v>31</v>
      </c>
      <c r="E795" s="2">
        <v>0.1</v>
      </c>
      <c r="F795">
        <f t="shared" si="363"/>
        <v>93</v>
      </c>
      <c r="G795">
        <f t="shared" si="364"/>
        <v>0.77700000000000002</v>
      </c>
      <c r="H795" s="3">
        <f t="shared" si="354"/>
        <v>0.05</v>
      </c>
      <c r="I795" s="2">
        <v>2</v>
      </c>
      <c r="J795" s="2">
        <v>0</v>
      </c>
      <c r="K795" s="2">
        <v>1</v>
      </c>
      <c r="L795" s="16">
        <v>2</v>
      </c>
      <c r="M795" s="5">
        <f t="shared" si="365"/>
        <v>850</v>
      </c>
      <c r="N795" s="6">
        <f t="shared" si="366"/>
        <v>75.874049999999997</v>
      </c>
      <c r="O795">
        <f t="shared" si="367"/>
        <v>1051.93</v>
      </c>
      <c r="P795" s="7">
        <f t="shared" si="355"/>
        <v>13.864160407939211</v>
      </c>
      <c r="Q795">
        <f>ROUNDUP(몬스터!$P$20/F795, 0)</f>
        <v>13</v>
      </c>
      <c r="R795" s="6">
        <f t="shared" si="368"/>
        <v>16.73101673101673</v>
      </c>
      <c r="S795" s="7">
        <f>B795/몬스터!$C$20*R795</f>
        <v>274.61944703324014</v>
      </c>
      <c r="U795">
        <f>ROUNDDOWN(R795*몬스터!$H$20, 0)*몬스터!$G$20*(1+몬스터!$I$20)</f>
        <v>1195.92</v>
      </c>
      <c r="V795" s="2">
        <f t="shared" si="356"/>
        <v>1.1368817316741608</v>
      </c>
    </row>
    <row r="796" spans="1:22" x14ac:dyDescent="0.4">
      <c r="A796">
        <v>57</v>
      </c>
      <c r="B796" s="4">
        <f>170*A796</f>
        <v>9690</v>
      </c>
      <c r="C796">
        <f t="shared" si="361"/>
        <v>740</v>
      </c>
      <c r="D796">
        <f t="shared" si="362"/>
        <v>32</v>
      </c>
      <c r="E796" s="2">
        <v>0.1</v>
      </c>
      <c r="F796">
        <f t="shared" si="363"/>
        <v>95</v>
      </c>
      <c r="G796">
        <f t="shared" si="364"/>
        <v>0.77900000000000003</v>
      </c>
      <c r="H796" s="3">
        <f t="shared" si="354"/>
        <v>0.05</v>
      </c>
      <c r="I796" s="2">
        <v>2</v>
      </c>
      <c r="J796" s="2">
        <v>0</v>
      </c>
      <c r="K796" s="2">
        <v>1</v>
      </c>
      <c r="L796" s="16">
        <v>2</v>
      </c>
      <c r="M796" s="5">
        <f t="shared" si="365"/>
        <v>860</v>
      </c>
      <c r="N796" s="6">
        <f t="shared" si="366"/>
        <v>77.705249999999992</v>
      </c>
      <c r="O796">
        <f t="shared" si="367"/>
        <v>1074.4800000000002</v>
      </c>
      <c r="P796" s="7">
        <f t="shared" si="355"/>
        <v>13.827637128765435</v>
      </c>
      <c r="Q796">
        <f>ROUNDUP(몬스터!$P$20/F796, 0)</f>
        <v>13</v>
      </c>
      <c r="R796" s="6">
        <f t="shared" si="368"/>
        <v>16.688061617458278</v>
      </c>
      <c r="S796" s="7">
        <f>B796/몬스터!$C$20*R796</f>
        <v>278.80571909167367</v>
      </c>
      <c r="U796">
        <f>ROUNDDOWN(R796*몬스터!$H$20, 0)*몬스터!$G$20*(1+몬스터!$I$20)</f>
        <v>1195.92</v>
      </c>
      <c r="V796" s="2">
        <f t="shared" si="356"/>
        <v>1.1130221130221127</v>
      </c>
    </row>
    <row r="797" spans="1:22" x14ac:dyDescent="0.4">
      <c r="A797">
        <v>58</v>
      </c>
      <c r="B797" s="4">
        <f>170*A797</f>
        <v>9860</v>
      </c>
      <c r="C797">
        <f t="shared" si="361"/>
        <v>750</v>
      </c>
      <c r="D797">
        <f t="shared" si="362"/>
        <v>32</v>
      </c>
      <c r="E797" s="2">
        <v>0.1</v>
      </c>
      <c r="F797">
        <f t="shared" si="363"/>
        <v>96</v>
      </c>
      <c r="G797">
        <f t="shared" si="364"/>
        <v>0.78100000000000003</v>
      </c>
      <c r="H797" s="3">
        <f t="shared" si="354"/>
        <v>0.05</v>
      </c>
      <c r="I797" s="2">
        <v>2</v>
      </c>
      <c r="J797" s="2">
        <v>0</v>
      </c>
      <c r="K797" s="2">
        <v>1</v>
      </c>
      <c r="L797" s="16">
        <v>2</v>
      </c>
      <c r="M797" s="5">
        <f t="shared" si="365"/>
        <v>870</v>
      </c>
      <c r="N797" s="6">
        <f t="shared" si="366"/>
        <v>78.724800000000002</v>
      </c>
      <c r="O797">
        <f t="shared" si="367"/>
        <v>1089</v>
      </c>
      <c r="P797" s="7">
        <f t="shared" si="355"/>
        <v>13.832997987927564</v>
      </c>
      <c r="Q797">
        <f>ROUNDUP(몬스터!$P$20/F797, 0)</f>
        <v>13</v>
      </c>
      <c r="R797" s="6">
        <f t="shared" si="368"/>
        <v>16.645326504481435</v>
      </c>
      <c r="S797" s="7">
        <f>B797/몬스터!$C$20*R797</f>
        <v>282.97055057618439</v>
      </c>
      <c r="U797">
        <f>ROUNDDOWN(R797*몬스터!$H$20, 0)*몬스터!$G$20*(1+몬스터!$I$20)</f>
        <v>1195.92</v>
      </c>
      <c r="V797" s="2">
        <f t="shared" si="356"/>
        <v>1.0981818181818181</v>
      </c>
    </row>
    <row r="798" spans="1:22" x14ac:dyDescent="0.4">
      <c r="A798">
        <v>59</v>
      </c>
      <c r="B798" s="4">
        <f>170*A798</f>
        <v>10030</v>
      </c>
      <c r="C798">
        <f t="shared" si="361"/>
        <v>760</v>
      </c>
      <c r="D798">
        <f t="shared" si="362"/>
        <v>32</v>
      </c>
      <c r="E798" s="2">
        <v>0.1</v>
      </c>
      <c r="F798">
        <f t="shared" si="363"/>
        <v>97</v>
      </c>
      <c r="G798">
        <f t="shared" si="364"/>
        <v>0.78300000000000003</v>
      </c>
      <c r="H798" s="3">
        <f t="shared" si="354"/>
        <v>0.05</v>
      </c>
      <c r="I798" s="2">
        <v>2</v>
      </c>
      <c r="J798" s="2">
        <v>0</v>
      </c>
      <c r="K798" s="2">
        <v>1</v>
      </c>
      <c r="L798" s="16">
        <v>2</v>
      </c>
      <c r="M798" s="5">
        <f t="shared" si="365"/>
        <v>880</v>
      </c>
      <c r="N798" s="6">
        <f t="shared" si="366"/>
        <v>79.748550000000009</v>
      </c>
      <c r="O798">
        <f t="shared" si="367"/>
        <v>1103.5200000000002</v>
      </c>
      <c r="P798" s="7">
        <f t="shared" si="355"/>
        <v>13.83749297009162</v>
      </c>
      <c r="Q798">
        <f>ROUNDUP(몬스터!$P$20/F798, 0)</f>
        <v>13</v>
      </c>
      <c r="R798" s="6">
        <f t="shared" si="368"/>
        <v>16.602809706257982</v>
      </c>
      <c r="S798" s="7">
        <f>B798/몬스터!$C$20*R798</f>
        <v>287.11410578235785</v>
      </c>
      <c r="U798">
        <f>ROUNDDOWN(R798*몬스터!$H$20, 0)*몬스터!$G$20*(1+몬스터!$I$20)</f>
        <v>1195.92</v>
      </c>
      <c r="V798" s="2">
        <f t="shared" si="356"/>
        <v>1.0837320574162679</v>
      </c>
    </row>
    <row r="799" spans="1:22" x14ac:dyDescent="0.4">
      <c r="A799">
        <v>60</v>
      </c>
      <c r="B799" s="4">
        <f>170*A799</f>
        <v>10200</v>
      </c>
      <c r="C799">
        <f t="shared" si="361"/>
        <v>770</v>
      </c>
      <c r="D799">
        <f t="shared" si="362"/>
        <v>33</v>
      </c>
      <c r="E799" s="2">
        <v>0.1</v>
      </c>
      <c r="F799">
        <f t="shared" si="363"/>
        <v>99</v>
      </c>
      <c r="G799">
        <f t="shared" si="364"/>
        <v>0.78500000000000003</v>
      </c>
      <c r="H799" s="3">
        <f t="shared" si="354"/>
        <v>0.05</v>
      </c>
      <c r="I799" s="2">
        <v>2</v>
      </c>
      <c r="J799" s="2">
        <v>0</v>
      </c>
      <c r="K799" s="2">
        <v>1</v>
      </c>
      <c r="L799" s="16">
        <v>2</v>
      </c>
      <c r="M799" s="5">
        <f t="shared" si="365"/>
        <v>890</v>
      </c>
      <c r="N799" s="6">
        <f t="shared" si="366"/>
        <v>81.600750000000005</v>
      </c>
      <c r="O799">
        <f t="shared" si="367"/>
        <v>1126.5100000000002</v>
      </c>
      <c r="P799" s="7">
        <f t="shared" si="355"/>
        <v>13.805142722340177</v>
      </c>
      <c r="Q799">
        <f>ROUNDUP(몬스터!$P$20/F799, 0)</f>
        <v>13</v>
      </c>
      <c r="R799" s="6">
        <f t="shared" si="368"/>
        <v>16.560509554140125</v>
      </c>
      <c r="S799" s="7">
        <f>B799/몬스터!$C$20*R799</f>
        <v>291.23654733142979</v>
      </c>
      <c r="T799" s="7">
        <f t="shared" ref="T799" si="374">SUM(S795:S799)</f>
        <v>1414.7463698148861</v>
      </c>
      <c r="U799">
        <f>ROUNDDOWN(R799*몬스터!$H$20, 0)*몬스터!$G$20*(1+몬스터!$I$20)</f>
        <v>1195.92</v>
      </c>
      <c r="V799" s="2">
        <f t="shared" si="356"/>
        <v>1.0616150766526704</v>
      </c>
    </row>
    <row r="800" spans="1:22" x14ac:dyDescent="0.4">
      <c r="A800">
        <v>61</v>
      </c>
      <c r="B800" s="4">
        <f>160*A800-320</f>
        <v>9440</v>
      </c>
      <c r="C800">
        <f t="shared" si="361"/>
        <v>780</v>
      </c>
      <c r="D800">
        <f t="shared" si="362"/>
        <v>33</v>
      </c>
      <c r="E800" s="2">
        <v>0.1</v>
      </c>
      <c r="F800">
        <f t="shared" si="363"/>
        <v>100</v>
      </c>
      <c r="G800">
        <f t="shared" si="364"/>
        <v>0.78700000000000003</v>
      </c>
      <c r="H800" s="3">
        <f t="shared" si="354"/>
        <v>0.05</v>
      </c>
      <c r="I800" s="2">
        <v>2</v>
      </c>
      <c r="J800" s="2">
        <v>0</v>
      </c>
      <c r="K800" s="2">
        <v>1</v>
      </c>
      <c r="L800" s="16">
        <v>2</v>
      </c>
      <c r="M800" s="5">
        <f t="shared" si="365"/>
        <v>900</v>
      </c>
      <c r="N800" s="6">
        <f t="shared" si="366"/>
        <v>82.635000000000005</v>
      </c>
      <c r="O800">
        <f t="shared" si="367"/>
        <v>1141.1400000000001</v>
      </c>
      <c r="P800" s="7">
        <f t="shared" si="355"/>
        <v>13.809402795425667</v>
      </c>
      <c r="Q800">
        <f>ROUNDUP(몬스터!$P$23/F800, 0)</f>
        <v>14</v>
      </c>
      <c r="R800" s="6">
        <f t="shared" si="368"/>
        <v>17.789072426937736</v>
      </c>
      <c r="S800" s="7">
        <f>B800/몬스터!$C$23*R800</f>
        <v>266.55372017506704</v>
      </c>
      <c r="U800">
        <f>ROUNDDOWN(R800*몬스터!$H$23, 0)*몬스터!$G$23*(1+몬스터!$I$23)</f>
        <v>1532.16</v>
      </c>
      <c r="V800" s="2">
        <f t="shared" si="356"/>
        <v>1.3426573426573427</v>
      </c>
    </row>
    <row r="801" spans="1:22" x14ac:dyDescent="0.4">
      <c r="A801">
        <v>62</v>
      </c>
      <c r="B801" s="4">
        <f>160*A801</f>
        <v>9920</v>
      </c>
      <c r="C801">
        <f t="shared" si="361"/>
        <v>790</v>
      </c>
      <c r="D801">
        <f t="shared" si="362"/>
        <v>33</v>
      </c>
      <c r="E801" s="2">
        <v>0.1</v>
      </c>
      <c r="F801">
        <f t="shared" si="363"/>
        <v>101</v>
      </c>
      <c r="G801">
        <f t="shared" si="364"/>
        <v>0.78900000000000003</v>
      </c>
      <c r="H801" s="3">
        <f t="shared" si="354"/>
        <v>0.05</v>
      </c>
      <c r="I801" s="2">
        <v>2</v>
      </c>
      <c r="J801" s="2">
        <v>0</v>
      </c>
      <c r="K801" s="2">
        <v>1</v>
      </c>
      <c r="L801" s="16">
        <v>2</v>
      </c>
      <c r="M801" s="5">
        <f t="shared" si="365"/>
        <v>910</v>
      </c>
      <c r="N801" s="6">
        <f t="shared" si="366"/>
        <v>83.673450000000017</v>
      </c>
      <c r="O801">
        <f t="shared" si="367"/>
        <v>1155.7700000000002</v>
      </c>
      <c r="P801" s="7">
        <f t="shared" si="355"/>
        <v>13.812864176151455</v>
      </c>
      <c r="Q801">
        <f>ROUNDUP(몬스터!$P$23/F801, 0)</f>
        <v>14</v>
      </c>
      <c r="R801" s="6">
        <f t="shared" si="368"/>
        <v>17.743979721166031</v>
      </c>
      <c r="S801" s="7">
        <f>B801/몬스터!$C$23*R801</f>
        <v>279.39726799042387</v>
      </c>
      <c r="U801">
        <f>ROUNDDOWN(R801*몬스터!$H$23, 0)*몬스터!$G$23*(1+몬스터!$I$23)</f>
        <v>1532.16</v>
      </c>
      <c r="V801" s="2">
        <f t="shared" si="356"/>
        <v>1.3256616800920598</v>
      </c>
    </row>
    <row r="802" spans="1:22" x14ac:dyDescent="0.4">
      <c r="A802">
        <v>63</v>
      </c>
      <c r="B802" s="4">
        <f>160*A802</f>
        <v>10080</v>
      </c>
      <c r="C802">
        <f t="shared" si="361"/>
        <v>800</v>
      </c>
      <c r="D802">
        <f t="shared" si="362"/>
        <v>33</v>
      </c>
      <c r="E802" s="2">
        <v>0.1</v>
      </c>
      <c r="F802">
        <f t="shared" si="363"/>
        <v>103</v>
      </c>
      <c r="G802">
        <f t="shared" si="364"/>
        <v>0.79100000000000004</v>
      </c>
      <c r="H802" s="3">
        <f t="shared" si="354"/>
        <v>0.05</v>
      </c>
      <c r="I802" s="2">
        <v>2</v>
      </c>
      <c r="J802" s="2">
        <v>0</v>
      </c>
      <c r="K802" s="2">
        <v>1</v>
      </c>
      <c r="L802" s="16">
        <v>2</v>
      </c>
      <c r="M802" s="5">
        <f t="shared" si="365"/>
        <v>920</v>
      </c>
      <c r="N802" s="6">
        <f t="shared" si="366"/>
        <v>85.54665</v>
      </c>
      <c r="O802">
        <f t="shared" si="367"/>
        <v>1170.4000000000001</v>
      </c>
      <c r="P802" s="7">
        <f t="shared" si="355"/>
        <v>13.681424111873465</v>
      </c>
      <c r="Q802">
        <f>ROUNDUP(몬스터!$P$23/F802, 0)</f>
        <v>14</v>
      </c>
      <c r="R802" s="6">
        <f t="shared" si="368"/>
        <v>17.699115044247787</v>
      </c>
      <c r="S802" s="7">
        <f>B802/몬스터!$C$23*R802</f>
        <v>283.18584070796459</v>
      </c>
      <c r="U802">
        <f>ROUNDDOWN(R802*몬스터!$H$23, 0)*몬스터!$G$23*(1+몬스터!$I$23)</f>
        <v>1532.16</v>
      </c>
      <c r="V802" s="2">
        <f t="shared" si="356"/>
        <v>1.3090909090909091</v>
      </c>
    </row>
    <row r="803" spans="1:22" x14ac:dyDescent="0.4">
      <c r="A803">
        <v>64</v>
      </c>
      <c r="B803" s="4">
        <f>160*A803</f>
        <v>10240</v>
      </c>
      <c r="C803">
        <f t="shared" si="361"/>
        <v>810</v>
      </c>
      <c r="D803">
        <f t="shared" si="362"/>
        <v>34</v>
      </c>
      <c r="E803" s="2">
        <v>0.1</v>
      </c>
      <c r="F803">
        <f t="shared" si="363"/>
        <v>104</v>
      </c>
      <c r="G803">
        <f t="shared" si="364"/>
        <v>0.79300000000000004</v>
      </c>
      <c r="H803" s="3">
        <f t="shared" si="354"/>
        <v>0.05</v>
      </c>
      <c r="I803" s="2">
        <v>2</v>
      </c>
      <c r="J803" s="2">
        <v>0</v>
      </c>
      <c r="K803" s="2">
        <v>1</v>
      </c>
      <c r="L803" s="16">
        <v>2</v>
      </c>
      <c r="M803" s="5">
        <f t="shared" si="365"/>
        <v>930</v>
      </c>
      <c r="N803" s="6">
        <f t="shared" si="366"/>
        <v>86.595600000000019</v>
      </c>
      <c r="O803">
        <f t="shared" si="367"/>
        <v>1193.9400000000003</v>
      </c>
      <c r="P803" s="7">
        <f t="shared" si="355"/>
        <v>13.787536549201114</v>
      </c>
      <c r="Q803">
        <f>ROUNDUP(몬스터!$P$23/F803, 0)</f>
        <v>13</v>
      </c>
      <c r="R803" s="6">
        <f t="shared" si="368"/>
        <v>16.393442622950818</v>
      </c>
      <c r="S803" s="7">
        <f>B803/몬스터!$C$23*R803</f>
        <v>266.45849596669262</v>
      </c>
      <c r="U803">
        <f>ROUNDDOWN(R803*몬스터!$H$23, 0)*몬스터!$G$23*(1+몬스터!$I$23)</f>
        <v>1313.2800000000002</v>
      </c>
      <c r="V803" s="2">
        <f t="shared" si="356"/>
        <v>1.0999547715965625</v>
      </c>
    </row>
    <row r="804" spans="1:22" x14ac:dyDescent="0.4">
      <c r="A804">
        <v>65</v>
      </c>
      <c r="B804" s="4">
        <f>160*A804</f>
        <v>10400</v>
      </c>
      <c r="C804">
        <f t="shared" ref="C804:C839" si="375">MROUND((150+A804*11)*0.95,5)</f>
        <v>820</v>
      </c>
      <c r="D804">
        <f t="shared" ref="D804:D839" si="376">ROUNDDOWN((15+A804*0.3), 0)</f>
        <v>34</v>
      </c>
      <c r="E804" s="2">
        <v>0.1</v>
      </c>
      <c r="F804">
        <f t="shared" ref="F804:F839" si="377">ROUND((28+A804*2)*2/3, 0)</f>
        <v>105</v>
      </c>
      <c r="G804">
        <f t="shared" ref="G804:G839" si="378">0.665+0.002*A804</f>
        <v>0.79500000000000004</v>
      </c>
      <c r="H804" s="3">
        <f t="shared" si="354"/>
        <v>0.05</v>
      </c>
      <c r="I804" s="2">
        <v>2</v>
      </c>
      <c r="J804" s="2">
        <v>0</v>
      </c>
      <c r="K804" s="2">
        <v>1</v>
      </c>
      <c r="L804" s="16">
        <v>2</v>
      </c>
      <c r="M804" s="5">
        <f t="shared" ref="M804:M839" si="379">290+10*A804</f>
        <v>940</v>
      </c>
      <c r="N804" s="6">
        <f t="shared" ref="N804:N839" si="380">F804*G804*(1+H804)</f>
        <v>87.648750000000007</v>
      </c>
      <c r="O804">
        <f t="shared" ref="O804:O839" si="381">C804*(1+D804/100)*(1+E804)</f>
        <v>1208.68</v>
      </c>
      <c r="P804" s="7">
        <f t="shared" si="355"/>
        <v>13.790042641794663</v>
      </c>
      <c r="Q804">
        <f>ROUNDUP(몬스터!$P$23/F804, 0)</f>
        <v>13</v>
      </c>
      <c r="R804" s="6">
        <f t="shared" ref="R804:R835" si="382">Q804/G804</f>
        <v>16.352201257861633</v>
      </c>
      <c r="S804" s="7">
        <f>B804/몬스터!$C$23*R804</f>
        <v>269.94110012977939</v>
      </c>
      <c r="T804" s="7">
        <f t="shared" ref="T804" si="383">SUM(S800:S804)</f>
        <v>1365.5364249699276</v>
      </c>
      <c r="U804">
        <f>ROUNDDOWN(R804*몬스터!$H$23, 0)*몬스터!$G$23*(1+몬스터!$I$23)</f>
        <v>1313.2800000000002</v>
      </c>
      <c r="V804" s="2">
        <f t="shared" si="356"/>
        <v>1.0865406890161169</v>
      </c>
    </row>
    <row r="805" spans="1:22" x14ac:dyDescent="0.4">
      <c r="A805">
        <v>66</v>
      </c>
      <c r="B805" s="4">
        <f>170*A805-680</f>
        <v>10540</v>
      </c>
      <c r="C805">
        <f t="shared" si="375"/>
        <v>830</v>
      </c>
      <c r="D805">
        <f t="shared" si="376"/>
        <v>34</v>
      </c>
      <c r="E805" s="2">
        <v>0.1</v>
      </c>
      <c r="F805">
        <f t="shared" si="377"/>
        <v>107</v>
      </c>
      <c r="G805">
        <f t="shared" si="378"/>
        <v>0.79700000000000004</v>
      </c>
      <c r="H805" s="3">
        <f t="shared" ref="H805:H839" si="384">0.05</f>
        <v>0.05</v>
      </c>
      <c r="I805" s="2">
        <v>2</v>
      </c>
      <c r="J805" s="2">
        <v>0</v>
      </c>
      <c r="K805" s="2">
        <v>1</v>
      </c>
      <c r="L805" s="16">
        <v>2</v>
      </c>
      <c r="M805" s="5">
        <f t="shared" si="379"/>
        <v>950</v>
      </c>
      <c r="N805" s="6">
        <f t="shared" si="380"/>
        <v>89.542950000000019</v>
      </c>
      <c r="O805">
        <f t="shared" si="381"/>
        <v>1223.42</v>
      </c>
      <c r="P805" s="7">
        <f t="shared" ref="P805:P839" si="385">O805/N805</f>
        <v>13.662940521838959</v>
      </c>
      <c r="Q805">
        <f>ROUNDUP(몬스터!$P$24/F805, 0)</f>
        <v>14</v>
      </c>
      <c r="R805" s="6">
        <f t="shared" si="382"/>
        <v>17.565872020075282</v>
      </c>
      <c r="S805" s="7">
        <f>B805/몬스터!$C$24*R805</f>
        <v>272.27101631116687</v>
      </c>
      <c r="U805">
        <f>ROUNDDOWN(R805*몬스터!$H$24, 0)*몬스터!$G$24*(1+몬스터!$I$24)</f>
        <v>1654.6949999999999</v>
      </c>
      <c r="V805" s="2">
        <f t="shared" ref="V805:V839" si="386">U805/O805</f>
        <v>1.3525158980562684</v>
      </c>
    </row>
    <row r="806" spans="1:22" x14ac:dyDescent="0.4">
      <c r="A806">
        <v>67</v>
      </c>
      <c r="B806" s="4">
        <f>170*A806</f>
        <v>11390</v>
      </c>
      <c r="C806">
        <f t="shared" si="375"/>
        <v>845</v>
      </c>
      <c r="D806">
        <f t="shared" si="376"/>
        <v>35</v>
      </c>
      <c r="E806" s="2">
        <v>0.1</v>
      </c>
      <c r="F806">
        <f t="shared" si="377"/>
        <v>108</v>
      </c>
      <c r="G806">
        <f t="shared" si="378"/>
        <v>0.79900000000000004</v>
      </c>
      <c r="H806" s="3">
        <f t="shared" si="384"/>
        <v>0.05</v>
      </c>
      <c r="I806" s="2">
        <v>2</v>
      </c>
      <c r="J806" s="2">
        <v>0</v>
      </c>
      <c r="K806" s="2">
        <v>1</v>
      </c>
      <c r="L806" s="16">
        <v>2</v>
      </c>
      <c r="M806" s="5">
        <f t="shared" si="379"/>
        <v>960</v>
      </c>
      <c r="N806" s="6">
        <f t="shared" si="380"/>
        <v>90.6066</v>
      </c>
      <c r="O806">
        <f t="shared" si="381"/>
        <v>1254.825</v>
      </c>
      <c r="P806" s="7">
        <f t="shared" si="385"/>
        <v>13.849156683950175</v>
      </c>
      <c r="Q806">
        <f>ROUNDUP(몬스터!$P$24/F806, 0)</f>
        <v>14</v>
      </c>
      <c r="R806" s="6">
        <f t="shared" si="382"/>
        <v>17.521902377972463</v>
      </c>
      <c r="S806" s="7">
        <f>B806/몬스터!$C$24*R806</f>
        <v>293.49186483103875</v>
      </c>
      <c r="U806">
        <f>ROUNDDOWN(R806*몬스터!$H$24, 0)*몬스터!$G$24*(1+몬스터!$I$24)</f>
        <v>1654.6949999999999</v>
      </c>
      <c r="V806" s="2">
        <f t="shared" si="386"/>
        <v>1.31866594943518</v>
      </c>
    </row>
    <row r="807" spans="1:22" x14ac:dyDescent="0.4">
      <c r="A807">
        <v>68</v>
      </c>
      <c r="B807" s="4">
        <f>170*A807</f>
        <v>11560</v>
      </c>
      <c r="C807">
        <f t="shared" si="375"/>
        <v>855</v>
      </c>
      <c r="D807">
        <f t="shared" si="376"/>
        <v>35</v>
      </c>
      <c r="E807" s="2">
        <v>0.1</v>
      </c>
      <c r="F807">
        <f t="shared" si="377"/>
        <v>109</v>
      </c>
      <c r="G807">
        <f t="shared" si="378"/>
        <v>0.80100000000000005</v>
      </c>
      <c r="H807" s="3">
        <f t="shared" si="384"/>
        <v>0.05</v>
      </c>
      <c r="I807" s="2">
        <v>2</v>
      </c>
      <c r="J807" s="2">
        <v>0</v>
      </c>
      <c r="K807" s="2">
        <v>1</v>
      </c>
      <c r="L807" s="16">
        <v>2</v>
      </c>
      <c r="M807" s="5">
        <f t="shared" si="379"/>
        <v>970</v>
      </c>
      <c r="N807" s="6">
        <f t="shared" si="380"/>
        <v>91.674450000000022</v>
      </c>
      <c r="O807">
        <f t="shared" si="381"/>
        <v>1269.6750000000002</v>
      </c>
      <c r="P807" s="7">
        <f t="shared" si="385"/>
        <v>13.849824024032868</v>
      </c>
      <c r="Q807">
        <f>ROUNDUP(몬스터!$P$24/F807, 0)</f>
        <v>14</v>
      </c>
      <c r="R807" s="6">
        <f t="shared" si="382"/>
        <v>17.478152309612984</v>
      </c>
      <c r="S807" s="7">
        <f>B807/몬스터!$C$24*R807</f>
        <v>297.12858926342074</v>
      </c>
      <c r="U807">
        <f>ROUNDDOWN(R807*몬스터!$H$24, 0)*몬스터!$G$24*(1+몬스터!$I$24)</f>
        <v>1654.6949999999999</v>
      </c>
      <c r="V807" s="2">
        <f t="shared" si="386"/>
        <v>1.3032429558745346</v>
      </c>
    </row>
    <row r="808" spans="1:22" x14ac:dyDescent="0.4">
      <c r="A808">
        <v>69</v>
      </c>
      <c r="B808" s="4">
        <f>170*A808</f>
        <v>11730</v>
      </c>
      <c r="C808">
        <f t="shared" si="375"/>
        <v>865</v>
      </c>
      <c r="D808">
        <f t="shared" si="376"/>
        <v>35</v>
      </c>
      <c r="E808" s="2">
        <v>0.1</v>
      </c>
      <c r="F808">
        <f t="shared" si="377"/>
        <v>111</v>
      </c>
      <c r="G808">
        <f t="shared" si="378"/>
        <v>0.80300000000000005</v>
      </c>
      <c r="H808" s="3">
        <f t="shared" si="384"/>
        <v>0.05</v>
      </c>
      <c r="I808" s="2">
        <v>2</v>
      </c>
      <c r="J808" s="2">
        <v>0</v>
      </c>
      <c r="K808" s="2">
        <v>1</v>
      </c>
      <c r="L808" s="16">
        <v>2</v>
      </c>
      <c r="M808" s="5">
        <f t="shared" si="379"/>
        <v>980</v>
      </c>
      <c r="N808" s="6">
        <f t="shared" si="380"/>
        <v>93.58965000000002</v>
      </c>
      <c r="O808">
        <f t="shared" si="381"/>
        <v>1284.5250000000001</v>
      </c>
      <c r="P808" s="7">
        <f t="shared" si="385"/>
        <v>13.725075368910984</v>
      </c>
      <c r="Q808">
        <f>ROUNDUP(몬스터!$P$24/F808, 0)</f>
        <v>14</v>
      </c>
      <c r="R808" s="6">
        <f t="shared" si="382"/>
        <v>17.4346201743462</v>
      </c>
      <c r="S808" s="7">
        <f>B808/몬스터!$C$24*R808</f>
        <v>300.74719800747198</v>
      </c>
      <c r="U808">
        <f>ROUNDDOWN(R808*몬스터!$H$24, 0)*몬스터!$G$24*(1+몬스터!$I$24)</f>
        <v>1654.6949999999999</v>
      </c>
      <c r="V808" s="2">
        <f t="shared" si="386"/>
        <v>1.2881765633210718</v>
      </c>
    </row>
    <row r="809" spans="1:22" x14ac:dyDescent="0.4">
      <c r="A809">
        <v>70</v>
      </c>
      <c r="B809" s="4">
        <f>170*A809</f>
        <v>11900</v>
      </c>
      <c r="C809">
        <f t="shared" si="375"/>
        <v>875</v>
      </c>
      <c r="D809">
        <f t="shared" si="376"/>
        <v>36</v>
      </c>
      <c r="E809" s="2">
        <v>0.1</v>
      </c>
      <c r="F809">
        <f t="shared" si="377"/>
        <v>112</v>
      </c>
      <c r="G809">
        <f t="shared" si="378"/>
        <v>0.80500000000000005</v>
      </c>
      <c r="H809" s="3">
        <f t="shared" si="384"/>
        <v>0.05</v>
      </c>
      <c r="I809" s="2">
        <v>2</v>
      </c>
      <c r="J809" s="2">
        <v>0</v>
      </c>
      <c r="K809" s="2">
        <v>1</v>
      </c>
      <c r="L809" s="16">
        <v>2</v>
      </c>
      <c r="M809" s="5">
        <f t="shared" si="379"/>
        <v>990</v>
      </c>
      <c r="N809" s="6">
        <f t="shared" si="380"/>
        <v>94.668000000000021</v>
      </c>
      <c r="O809">
        <f t="shared" si="381"/>
        <v>1309</v>
      </c>
      <c r="P809" s="7">
        <f t="shared" si="385"/>
        <v>13.827270038450159</v>
      </c>
      <c r="Q809">
        <f>ROUNDUP(몬스터!$P$24/F809, 0)</f>
        <v>14</v>
      </c>
      <c r="R809" s="6">
        <f t="shared" si="382"/>
        <v>17.391304347826086</v>
      </c>
      <c r="S809" s="7">
        <f>B809/몬스터!$C$24*R809</f>
        <v>304.3478260869565</v>
      </c>
      <c r="T809" s="7">
        <f t="shared" ref="T809" si="387">SUM(S805:S809)</f>
        <v>1467.986494500055</v>
      </c>
      <c r="U809">
        <f>ROUNDDOWN(R809*몬스터!$H$24, 0)*몬스터!$G$24*(1+몬스터!$I$24)</f>
        <v>1654.6949999999999</v>
      </c>
      <c r="V809" s="2">
        <f t="shared" si="386"/>
        <v>1.2640909090909089</v>
      </c>
    </row>
    <row r="810" spans="1:22" x14ac:dyDescent="0.4">
      <c r="A810">
        <v>71</v>
      </c>
      <c r="B810" s="4">
        <f>160*A810</f>
        <v>11360</v>
      </c>
      <c r="C810">
        <f t="shared" si="375"/>
        <v>885</v>
      </c>
      <c r="D810">
        <f t="shared" si="376"/>
        <v>36</v>
      </c>
      <c r="E810" s="2">
        <v>0.1</v>
      </c>
      <c r="F810">
        <f t="shared" si="377"/>
        <v>113</v>
      </c>
      <c r="G810">
        <f t="shared" si="378"/>
        <v>0.80700000000000005</v>
      </c>
      <c r="H810" s="3">
        <f t="shared" si="384"/>
        <v>0.05</v>
      </c>
      <c r="I810" s="2">
        <v>2</v>
      </c>
      <c r="J810" s="2">
        <v>0</v>
      </c>
      <c r="K810" s="2">
        <v>1</v>
      </c>
      <c r="L810" s="16">
        <v>2</v>
      </c>
      <c r="M810" s="5">
        <f t="shared" si="379"/>
        <v>1000</v>
      </c>
      <c r="N810" s="6">
        <f t="shared" si="380"/>
        <v>95.750550000000004</v>
      </c>
      <c r="O810">
        <f t="shared" si="381"/>
        <v>1323.96</v>
      </c>
      <c r="P810" s="7">
        <f t="shared" si="385"/>
        <v>13.827179060590252</v>
      </c>
      <c r="Q810">
        <f>ROUNDUP(몬스터!$P$25/F810, 0)</f>
        <v>15</v>
      </c>
      <c r="R810" s="6">
        <f t="shared" si="382"/>
        <v>18.587360594795538</v>
      </c>
      <c r="S810" s="7">
        <f>B810/몬스터!$C$25*R810</f>
        <v>289.24988542037988</v>
      </c>
      <c r="U810">
        <f>ROUNDDOWN(R810*몬스터!$H$25, 0)*몬스터!$G$25*(1+몬스터!$I$25)</f>
        <v>1923.075</v>
      </c>
      <c r="V810" s="2">
        <f t="shared" si="386"/>
        <v>1.4525174476570288</v>
      </c>
    </row>
    <row r="811" spans="1:22" x14ac:dyDescent="0.4">
      <c r="A811">
        <v>72</v>
      </c>
      <c r="B811" s="4">
        <f>160*A811</f>
        <v>11520</v>
      </c>
      <c r="C811">
        <f t="shared" si="375"/>
        <v>895</v>
      </c>
      <c r="D811">
        <f t="shared" si="376"/>
        <v>36</v>
      </c>
      <c r="E811" s="2">
        <v>0.1</v>
      </c>
      <c r="F811">
        <f t="shared" si="377"/>
        <v>115</v>
      </c>
      <c r="G811">
        <f t="shared" si="378"/>
        <v>0.80900000000000005</v>
      </c>
      <c r="H811" s="3">
        <f t="shared" si="384"/>
        <v>0.05</v>
      </c>
      <c r="I811" s="2">
        <v>2</v>
      </c>
      <c r="J811" s="2">
        <v>0</v>
      </c>
      <c r="K811" s="2">
        <v>1</v>
      </c>
      <c r="L811" s="16">
        <v>2</v>
      </c>
      <c r="M811" s="5">
        <f t="shared" si="379"/>
        <v>1010</v>
      </c>
      <c r="N811" s="6">
        <f t="shared" si="380"/>
        <v>97.686750000000018</v>
      </c>
      <c r="O811">
        <f t="shared" si="381"/>
        <v>1338.9199999999998</v>
      </c>
      <c r="P811" s="7">
        <f t="shared" si="385"/>
        <v>13.706260060857788</v>
      </c>
      <c r="Q811">
        <f>ROUNDUP(몬스터!$P$25/F811, 0)</f>
        <v>15</v>
      </c>
      <c r="R811" s="6">
        <f t="shared" si="382"/>
        <v>18.541409147095177</v>
      </c>
      <c r="S811" s="7">
        <f>B811/몬스터!$C$25*R811</f>
        <v>292.59867585552934</v>
      </c>
      <c r="U811">
        <f>ROUNDDOWN(R811*몬스터!$H$25, 0)*몬스터!$G$25*(1+몬스터!$I$25)</f>
        <v>1923.075</v>
      </c>
      <c r="V811" s="2">
        <f t="shared" si="386"/>
        <v>1.4362882024318109</v>
      </c>
    </row>
    <row r="812" spans="1:22" x14ac:dyDescent="0.4">
      <c r="A812">
        <v>73</v>
      </c>
      <c r="B812" s="4">
        <f>160*A812</f>
        <v>11680</v>
      </c>
      <c r="C812">
        <f t="shared" si="375"/>
        <v>905</v>
      </c>
      <c r="D812">
        <f t="shared" si="376"/>
        <v>36</v>
      </c>
      <c r="E812" s="2">
        <v>0.1</v>
      </c>
      <c r="F812">
        <f t="shared" si="377"/>
        <v>116</v>
      </c>
      <c r="G812">
        <f t="shared" si="378"/>
        <v>0.81100000000000005</v>
      </c>
      <c r="H812" s="3">
        <f t="shared" si="384"/>
        <v>0.05</v>
      </c>
      <c r="I812" s="2">
        <v>2</v>
      </c>
      <c r="J812" s="2">
        <v>0</v>
      </c>
      <c r="K812" s="2">
        <v>1</v>
      </c>
      <c r="L812" s="16">
        <v>2</v>
      </c>
      <c r="M812" s="5">
        <f t="shared" si="379"/>
        <v>1020</v>
      </c>
      <c r="N812" s="6">
        <f t="shared" si="380"/>
        <v>98.779800000000009</v>
      </c>
      <c r="O812">
        <f t="shared" si="381"/>
        <v>1353.88</v>
      </c>
      <c r="P812" s="7">
        <f t="shared" si="385"/>
        <v>13.70604111366899</v>
      </c>
      <c r="Q812">
        <f>ROUNDUP(몬스터!$P$25/F812, 0)</f>
        <v>15</v>
      </c>
      <c r="R812" s="6">
        <f t="shared" si="382"/>
        <v>18.49568434032059</v>
      </c>
      <c r="S812" s="7">
        <f>B812/몬스터!$C$25*R812</f>
        <v>295.93094944512944</v>
      </c>
      <c r="U812">
        <f>ROUNDDOWN(R812*몬스터!$H$25, 0)*몬스터!$G$25*(1+몬스터!$I$25)</f>
        <v>1923.075</v>
      </c>
      <c r="V812" s="2">
        <f t="shared" si="386"/>
        <v>1.4204176145596359</v>
      </c>
    </row>
    <row r="813" spans="1:22" x14ac:dyDescent="0.4">
      <c r="A813">
        <v>74</v>
      </c>
      <c r="B813" s="4">
        <f>160*A813</f>
        <v>11840</v>
      </c>
      <c r="C813">
        <f t="shared" si="375"/>
        <v>915</v>
      </c>
      <c r="D813">
        <f t="shared" si="376"/>
        <v>37</v>
      </c>
      <c r="E813" s="2">
        <v>0.1</v>
      </c>
      <c r="F813">
        <f t="shared" si="377"/>
        <v>117</v>
      </c>
      <c r="G813">
        <f t="shared" si="378"/>
        <v>0.81300000000000006</v>
      </c>
      <c r="H813" s="3">
        <f t="shared" si="384"/>
        <v>0.05</v>
      </c>
      <c r="I813" s="2">
        <v>2</v>
      </c>
      <c r="J813" s="2">
        <v>0</v>
      </c>
      <c r="K813" s="2">
        <v>1</v>
      </c>
      <c r="L813" s="16">
        <v>2</v>
      </c>
      <c r="M813" s="5">
        <f t="shared" si="379"/>
        <v>1030</v>
      </c>
      <c r="N813" s="6">
        <f t="shared" si="380"/>
        <v>99.877050000000011</v>
      </c>
      <c r="O813">
        <f t="shared" si="381"/>
        <v>1378.9050000000002</v>
      </c>
      <c r="P813" s="7">
        <f t="shared" si="385"/>
        <v>13.806024507131518</v>
      </c>
      <c r="Q813">
        <f>ROUNDUP(몬스터!$P$25/F813, 0)</f>
        <v>15</v>
      </c>
      <c r="R813" s="6">
        <f t="shared" si="382"/>
        <v>18.450184501845015</v>
      </c>
      <c r="S813" s="7">
        <f>B813/몬스터!$C$25*R813</f>
        <v>299.2468280847192</v>
      </c>
      <c r="U813">
        <f>ROUNDDOWN(R813*몬스터!$H$25, 0)*몬스터!$G$25*(1+몬스터!$I$25)</f>
        <v>1923.075</v>
      </c>
      <c r="V813" s="2">
        <f t="shared" si="386"/>
        <v>1.3946392246021297</v>
      </c>
    </row>
    <row r="814" spans="1:22" x14ac:dyDescent="0.4">
      <c r="A814">
        <v>75</v>
      </c>
      <c r="B814" s="4">
        <f>160*A814</f>
        <v>12000</v>
      </c>
      <c r="C814">
        <f t="shared" si="375"/>
        <v>925</v>
      </c>
      <c r="D814">
        <f t="shared" si="376"/>
        <v>37</v>
      </c>
      <c r="E814" s="2">
        <v>0.1</v>
      </c>
      <c r="F814">
        <f t="shared" si="377"/>
        <v>119</v>
      </c>
      <c r="G814">
        <f t="shared" si="378"/>
        <v>0.81500000000000006</v>
      </c>
      <c r="H814" s="3">
        <f t="shared" si="384"/>
        <v>0.05</v>
      </c>
      <c r="I814" s="2">
        <v>2</v>
      </c>
      <c r="J814" s="2">
        <v>0</v>
      </c>
      <c r="K814" s="2">
        <v>1</v>
      </c>
      <c r="L814" s="16">
        <v>2</v>
      </c>
      <c r="M814" s="5">
        <f t="shared" si="379"/>
        <v>1040</v>
      </c>
      <c r="N814" s="6">
        <f t="shared" si="380"/>
        <v>101.83425000000003</v>
      </c>
      <c r="O814">
        <f t="shared" si="381"/>
        <v>1393.9750000000001</v>
      </c>
      <c r="P814" s="7">
        <f t="shared" si="385"/>
        <v>13.688665650309201</v>
      </c>
      <c r="Q814">
        <f>ROUNDUP(몬스터!$P$25/F814, 0)</f>
        <v>14</v>
      </c>
      <c r="R814" s="6">
        <f t="shared" si="382"/>
        <v>17.177914110429448</v>
      </c>
      <c r="S814" s="7">
        <f>B814/몬스터!$C$25*R814</f>
        <v>282.37667030842931</v>
      </c>
      <c r="T814" s="7">
        <f t="shared" ref="T814" si="388">SUM(S810:S814)</f>
        <v>1459.4030091141872</v>
      </c>
      <c r="U814">
        <f>ROUNDDOWN(R814*몬스터!$H$25, 0)*몬스터!$G$25*(1+몬스터!$I$25)</f>
        <v>1794.8700000000001</v>
      </c>
      <c r="V814" s="2">
        <f t="shared" si="386"/>
        <v>1.2875912408759123</v>
      </c>
    </row>
    <row r="815" spans="1:22" x14ac:dyDescent="0.4">
      <c r="A815">
        <v>76</v>
      </c>
      <c r="B815" s="4">
        <f>170*A815</f>
        <v>12920</v>
      </c>
      <c r="C815">
        <f t="shared" si="375"/>
        <v>935</v>
      </c>
      <c r="D815">
        <f t="shared" si="376"/>
        <v>37</v>
      </c>
      <c r="E815" s="2">
        <v>0.1</v>
      </c>
      <c r="F815">
        <f t="shared" si="377"/>
        <v>120</v>
      </c>
      <c r="G815">
        <f t="shared" si="378"/>
        <v>0.81700000000000006</v>
      </c>
      <c r="H815" s="3">
        <f t="shared" si="384"/>
        <v>0.05</v>
      </c>
      <c r="I815" s="2">
        <v>2</v>
      </c>
      <c r="J815" s="2">
        <v>0</v>
      </c>
      <c r="K815" s="2">
        <v>1</v>
      </c>
      <c r="L815" s="16">
        <v>2</v>
      </c>
      <c r="M815" s="5">
        <f t="shared" si="379"/>
        <v>1050</v>
      </c>
      <c r="N815" s="6">
        <f t="shared" si="380"/>
        <v>102.94200000000001</v>
      </c>
      <c r="O815">
        <f t="shared" si="381"/>
        <v>1409.0450000000001</v>
      </c>
      <c r="P815" s="7">
        <f t="shared" si="385"/>
        <v>13.687756212236016</v>
      </c>
      <c r="Q815">
        <f>ROUNDUP(몬스터!$P$26/F815, 0)</f>
        <v>16</v>
      </c>
      <c r="R815" s="6">
        <f t="shared" si="382"/>
        <v>19.583843329253366</v>
      </c>
      <c r="S815" s="7">
        <f>B815/몬스터!$C$26*R815</f>
        <v>324.38878950506859</v>
      </c>
      <c r="U815">
        <f>ROUNDDOWN(R815*몬스터!$H$26, 0)*몬스터!$G$26*(1+몬스터!$I$26)</f>
        <v>2194.8000000000002</v>
      </c>
      <c r="V815" s="2">
        <f t="shared" si="386"/>
        <v>1.5576507492663472</v>
      </c>
    </row>
    <row r="816" spans="1:22" x14ac:dyDescent="0.4">
      <c r="A816">
        <v>77</v>
      </c>
      <c r="B816" s="4">
        <f>170*A816</f>
        <v>13090</v>
      </c>
      <c r="C816">
        <f t="shared" si="375"/>
        <v>945</v>
      </c>
      <c r="D816">
        <f t="shared" si="376"/>
        <v>38</v>
      </c>
      <c r="E816" s="2">
        <v>0.1</v>
      </c>
      <c r="F816">
        <f t="shared" si="377"/>
        <v>121</v>
      </c>
      <c r="G816">
        <f t="shared" si="378"/>
        <v>0.81900000000000006</v>
      </c>
      <c r="H816" s="3">
        <f t="shared" si="384"/>
        <v>0.05</v>
      </c>
      <c r="I816" s="2">
        <v>2</v>
      </c>
      <c r="J816" s="2">
        <v>0</v>
      </c>
      <c r="K816" s="2">
        <v>1</v>
      </c>
      <c r="L816" s="16">
        <v>2</v>
      </c>
      <c r="M816" s="5">
        <f t="shared" si="379"/>
        <v>1060</v>
      </c>
      <c r="N816" s="6">
        <f t="shared" si="380"/>
        <v>104.05395000000001</v>
      </c>
      <c r="O816">
        <f t="shared" si="381"/>
        <v>1434.51</v>
      </c>
      <c r="P816" s="7">
        <f t="shared" si="385"/>
        <v>13.786213786213784</v>
      </c>
      <c r="Q816">
        <f>ROUNDUP(몬스터!$P$26/F816, 0)</f>
        <v>15</v>
      </c>
      <c r="R816" s="6">
        <f t="shared" si="382"/>
        <v>18.315018315018314</v>
      </c>
      <c r="S816" s="7">
        <f>B816/몬스터!$C$26*R816</f>
        <v>307.36357659434577</v>
      </c>
      <c r="U816">
        <f>ROUNDDOWN(R816*몬스터!$H$26, 0)*몬스터!$G$26*(1+몬스터!$I$26)</f>
        <v>2057.625</v>
      </c>
      <c r="V816" s="2">
        <f t="shared" si="386"/>
        <v>1.4343748039400213</v>
      </c>
    </row>
    <row r="817" spans="1:22" x14ac:dyDescent="0.4">
      <c r="A817">
        <v>78</v>
      </c>
      <c r="B817" s="4">
        <f>170*A817</f>
        <v>13260</v>
      </c>
      <c r="C817">
        <f t="shared" si="375"/>
        <v>960</v>
      </c>
      <c r="D817">
        <f t="shared" si="376"/>
        <v>38</v>
      </c>
      <c r="E817" s="2">
        <v>0.1</v>
      </c>
      <c r="F817">
        <f t="shared" si="377"/>
        <v>123</v>
      </c>
      <c r="G817">
        <f t="shared" si="378"/>
        <v>0.82100000000000006</v>
      </c>
      <c r="H817" s="3">
        <f t="shared" si="384"/>
        <v>0.05</v>
      </c>
      <c r="I817" s="2">
        <v>2</v>
      </c>
      <c r="J817" s="2">
        <v>0</v>
      </c>
      <c r="K817" s="2">
        <v>1</v>
      </c>
      <c r="L817" s="16">
        <v>2</v>
      </c>
      <c r="M817" s="5">
        <f t="shared" si="379"/>
        <v>1070</v>
      </c>
      <c r="N817" s="6">
        <f t="shared" si="380"/>
        <v>106.03215000000002</v>
      </c>
      <c r="O817">
        <f t="shared" si="381"/>
        <v>1457.28</v>
      </c>
      <c r="P817" s="7">
        <f t="shared" si="385"/>
        <v>13.743756021169048</v>
      </c>
      <c r="Q817">
        <f>ROUNDUP(몬스터!$P$26/F817, 0)</f>
        <v>15</v>
      </c>
      <c r="R817" s="6">
        <f t="shared" si="382"/>
        <v>18.270401948842874</v>
      </c>
      <c r="S817" s="7">
        <f>B817/몬스터!$C$26*R817</f>
        <v>310.59683313032883</v>
      </c>
      <c r="U817">
        <f>ROUNDDOWN(R817*몬스터!$H$26, 0)*몬스터!$G$26*(1+몬스터!$I$26)</f>
        <v>2057.625</v>
      </c>
      <c r="V817" s="2">
        <f t="shared" si="386"/>
        <v>1.4119626976284585</v>
      </c>
    </row>
    <row r="818" spans="1:22" x14ac:dyDescent="0.4">
      <c r="A818">
        <v>79</v>
      </c>
      <c r="B818" s="4">
        <f>170*A818</f>
        <v>13430</v>
      </c>
      <c r="C818">
        <f t="shared" si="375"/>
        <v>970</v>
      </c>
      <c r="D818">
        <f t="shared" si="376"/>
        <v>38</v>
      </c>
      <c r="E818" s="2">
        <v>0.1</v>
      </c>
      <c r="F818">
        <f t="shared" si="377"/>
        <v>124</v>
      </c>
      <c r="G818">
        <f t="shared" si="378"/>
        <v>0.82300000000000006</v>
      </c>
      <c r="H818" s="3">
        <f t="shared" si="384"/>
        <v>0.05</v>
      </c>
      <c r="I818" s="2">
        <v>2</v>
      </c>
      <c r="J818" s="2">
        <v>0</v>
      </c>
      <c r="K818" s="2">
        <v>1</v>
      </c>
      <c r="L818" s="16">
        <v>2</v>
      </c>
      <c r="M818" s="5">
        <f t="shared" si="379"/>
        <v>1080</v>
      </c>
      <c r="N818" s="6">
        <f t="shared" si="380"/>
        <v>107.15460000000002</v>
      </c>
      <c r="O818">
        <f t="shared" si="381"/>
        <v>1472.46</v>
      </c>
      <c r="P818" s="7">
        <f t="shared" si="385"/>
        <v>13.741453936648542</v>
      </c>
      <c r="Q818">
        <f>ROUNDUP(몬스터!$P$26/F818, 0)</f>
        <v>15</v>
      </c>
      <c r="R818" s="6">
        <f t="shared" si="382"/>
        <v>18.226002430133654</v>
      </c>
      <c r="S818" s="7">
        <f>B818/몬스터!$C$26*R818</f>
        <v>313.81437517525001</v>
      </c>
      <c r="U818">
        <f>ROUNDDOWN(R818*몬스터!$H$26, 0)*몬스터!$G$26*(1+몬스터!$I$26)</f>
        <v>2057.625</v>
      </c>
      <c r="V818" s="2">
        <f t="shared" si="386"/>
        <v>1.3974063811580619</v>
      </c>
    </row>
    <row r="819" spans="1:22" x14ac:dyDescent="0.4">
      <c r="A819">
        <v>80</v>
      </c>
      <c r="B819" s="4">
        <f>170*A819</f>
        <v>13600</v>
      </c>
      <c r="C819">
        <f t="shared" si="375"/>
        <v>980</v>
      </c>
      <c r="D819">
        <f t="shared" si="376"/>
        <v>39</v>
      </c>
      <c r="E819" s="2">
        <v>0.1</v>
      </c>
      <c r="F819">
        <f t="shared" si="377"/>
        <v>125</v>
      </c>
      <c r="G819">
        <f t="shared" si="378"/>
        <v>0.82500000000000007</v>
      </c>
      <c r="H819" s="3">
        <f t="shared" si="384"/>
        <v>0.05</v>
      </c>
      <c r="I819" s="2">
        <v>2</v>
      </c>
      <c r="J819" s="2">
        <v>0</v>
      </c>
      <c r="K819" s="2">
        <v>1</v>
      </c>
      <c r="L819" s="16">
        <v>2</v>
      </c>
      <c r="M819" s="5">
        <f t="shared" si="379"/>
        <v>1090</v>
      </c>
      <c r="N819" s="6">
        <f t="shared" si="380"/>
        <v>108.28125000000001</v>
      </c>
      <c r="O819">
        <f t="shared" si="381"/>
        <v>1498.42</v>
      </c>
      <c r="P819" s="7">
        <f t="shared" si="385"/>
        <v>13.838222222222221</v>
      </c>
      <c r="Q819">
        <f>ROUNDUP(몬스터!$P$26/F819, 0)</f>
        <v>15</v>
      </c>
      <c r="R819" s="6">
        <f t="shared" si="382"/>
        <v>18.18181818181818</v>
      </c>
      <c r="S819" s="7">
        <f>B819/몬스터!$C$26*R819</f>
        <v>317.01631701631698</v>
      </c>
      <c r="T819" s="7">
        <f t="shared" ref="T819" si="389">SUM(S815:S819)</f>
        <v>1573.17989142131</v>
      </c>
      <c r="U819">
        <f>ROUNDDOWN(R819*몬스터!$H$26, 0)*몬스터!$G$26*(1+몬스터!$I$26)</f>
        <v>2057.625</v>
      </c>
      <c r="V819" s="2">
        <f t="shared" si="386"/>
        <v>1.3731964335767006</v>
      </c>
    </row>
    <row r="820" spans="1:22" x14ac:dyDescent="0.4">
      <c r="A820">
        <v>81</v>
      </c>
      <c r="B820" s="4">
        <f>160*A820</f>
        <v>12960</v>
      </c>
      <c r="C820">
        <f t="shared" si="375"/>
        <v>990</v>
      </c>
      <c r="D820">
        <f t="shared" si="376"/>
        <v>39</v>
      </c>
      <c r="E820" s="2">
        <v>0.1</v>
      </c>
      <c r="F820">
        <f t="shared" si="377"/>
        <v>127</v>
      </c>
      <c r="G820">
        <f t="shared" si="378"/>
        <v>0.82700000000000007</v>
      </c>
      <c r="H820" s="3">
        <f t="shared" si="384"/>
        <v>0.05</v>
      </c>
      <c r="I820" s="2">
        <v>2</v>
      </c>
      <c r="J820" s="2">
        <v>0</v>
      </c>
      <c r="K820" s="2">
        <v>1</v>
      </c>
      <c r="L820" s="16">
        <v>2</v>
      </c>
      <c r="M820" s="5">
        <f t="shared" si="379"/>
        <v>1100</v>
      </c>
      <c r="N820" s="6">
        <f t="shared" si="380"/>
        <v>110.28045000000002</v>
      </c>
      <c r="O820">
        <f t="shared" si="381"/>
        <v>1513.7100000000003</v>
      </c>
      <c r="P820" s="7">
        <f t="shared" si="385"/>
        <v>13.726004926530496</v>
      </c>
      <c r="Q820">
        <f>ROUNDUP(몬스터!$P$29/F820, 0)</f>
        <v>16</v>
      </c>
      <c r="R820" s="6">
        <f t="shared" si="382"/>
        <v>19.347037484885124</v>
      </c>
      <c r="S820" s="7">
        <f>B820/몬스터!$C$29*R820</f>
        <v>302.09350096880871</v>
      </c>
      <c r="U820">
        <f>ROUNDDOWN(R820*몬스터!$H$29, 0)*몬스터!$G$29*(1+몬스터!$I$29)</f>
        <v>2358.7199999999998</v>
      </c>
      <c r="V820" s="2">
        <f t="shared" si="386"/>
        <v>1.5582377073547768</v>
      </c>
    </row>
    <row r="821" spans="1:22" x14ac:dyDescent="0.4">
      <c r="A821">
        <v>82</v>
      </c>
      <c r="B821" s="4">
        <f>160*A821</f>
        <v>13120</v>
      </c>
      <c r="C821">
        <f t="shared" si="375"/>
        <v>1000</v>
      </c>
      <c r="D821">
        <f t="shared" si="376"/>
        <v>39</v>
      </c>
      <c r="E821" s="2">
        <v>0.1</v>
      </c>
      <c r="F821">
        <f t="shared" si="377"/>
        <v>128</v>
      </c>
      <c r="G821">
        <f t="shared" si="378"/>
        <v>0.82900000000000007</v>
      </c>
      <c r="H821" s="3">
        <f t="shared" si="384"/>
        <v>0.05</v>
      </c>
      <c r="I821" s="2">
        <v>2</v>
      </c>
      <c r="J821" s="2">
        <v>0</v>
      </c>
      <c r="K821" s="2">
        <v>1</v>
      </c>
      <c r="L821" s="16">
        <v>2</v>
      </c>
      <c r="M821" s="5">
        <f t="shared" si="379"/>
        <v>1110</v>
      </c>
      <c r="N821" s="6">
        <f t="shared" si="380"/>
        <v>111.41760000000001</v>
      </c>
      <c r="O821">
        <f t="shared" si="381"/>
        <v>1529.0000000000005</v>
      </c>
      <c r="P821" s="7">
        <f t="shared" si="385"/>
        <v>13.72314607386984</v>
      </c>
      <c r="Q821">
        <f>ROUNDUP(몬스터!$P$29/F821, 0)</f>
        <v>16</v>
      </c>
      <c r="R821" s="6">
        <f t="shared" si="382"/>
        <v>19.300361881785282</v>
      </c>
      <c r="S821" s="7">
        <f>B821/몬스터!$C$29*R821</f>
        <v>305.08523842050948</v>
      </c>
      <c r="U821">
        <f>ROUNDDOWN(R821*몬스터!$H$29, 0)*몬스터!$G$29*(1+몬스터!$I$29)</f>
        <v>2358.7199999999998</v>
      </c>
      <c r="V821" s="2">
        <f t="shared" si="386"/>
        <v>1.5426553302812289</v>
      </c>
    </row>
    <row r="822" spans="1:22" x14ac:dyDescent="0.4">
      <c r="A822">
        <v>83</v>
      </c>
      <c r="B822" s="4">
        <f>160*A822</f>
        <v>13280</v>
      </c>
      <c r="C822">
        <f t="shared" si="375"/>
        <v>1010</v>
      </c>
      <c r="D822">
        <f t="shared" si="376"/>
        <v>39</v>
      </c>
      <c r="E822" s="2">
        <v>0.1</v>
      </c>
      <c r="F822">
        <f t="shared" si="377"/>
        <v>129</v>
      </c>
      <c r="G822">
        <f t="shared" si="378"/>
        <v>0.83100000000000007</v>
      </c>
      <c r="H822" s="3">
        <f t="shared" si="384"/>
        <v>0.05</v>
      </c>
      <c r="I822" s="2">
        <v>2</v>
      </c>
      <c r="J822" s="2">
        <v>0</v>
      </c>
      <c r="K822" s="2">
        <v>1</v>
      </c>
      <c r="L822" s="16">
        <v>2</v>
      </c>
      <c r="M822" s="5">
        <f t="shared" si="379"/>
        <v>1120</v>
      </c>
      <c r="N822" s="6">
        <f t="shared" si="380"/>
        <v>112.55895000000002</v>
      </c>
      <c r="O822">
        <f t="shared" si="381"/>
        <v>1544.2900000000002</v>
      </c>
      <c r="P822" s="7">
        <f t="shared" si="385"/>
        <v>13.71983302971465</v>
      </c>
      <c r="Q822">
        <f>ROUNDUP(몬스터!$P$29/F822, 0)</f>
        <v>16</v>
      </c>
      <c r="R822" s="6">
        <f t="shared" si="382"/>
        <v>19.253910950661851</v>
      </c>
      <c r="S822" s="7">
        <f>B822/몬스터!$C$29*R822</f>
        <v>308.06257521058961</v>
      </c>
      <c r="U822">
        <f>ROUNDDOWN(R822*몬스터!$H$29, 0)*몬스터!$G$29*(1+몬스터!$I$29)</f>
        <v>2358.7199999999998</v>
      </c>
      <c r="V822" s="2">
        <f t="shared" si="386"/>
        <v>1.5273815151299299</v>
      </c>
    </row>
    <row r="823" spans="1:22" x14ac:dyDescent="0.4">
      <c r="A823">
        <v>84</v>
      </c>
      <c r="B823" s="4">
        <f>160*A823</f>
        <v>13440</v>
      </c>
      <c r="C823">
        <f t="shared" si="375"/>
        <v>1020</v>
      </c>
      <c r="D823">
        <f t="shared" si="376"/>
        <v>40</v>
      </c>
      <c r="E823" s="2">
        <v>0.1</v>
      </c>
      <c r="F823">
        <f t="shared" si="377"/>
        <v>131</v>
      </c>
      <c r="G823">
        <f t="shared" si="378"/>
        <v>0.83300000000000007</v>
      </c>
      <c r="H823" s="3">
        <f t="shared" si="384"/>
        <v>0.05</v>
      </c>
      <c r="I823" s="2">
        <v>2</v>
      </c>
      <c r="J823" s="2">
        <v>0</v>
      </c>
      <c r="K823" s="2">
        <v>1</v>
      </c>
      <c r="L823" s="16">
        <v>2</v>
      </c>
      <c r="M823" s="5">
        <f t="shared" si="379"/>
        <v>1130</v>
      </c>
      <c r="N823" s="6">
        <f t="shared" si="380"/>
        <v>114.57915000000001</v>
      </c>
      <c r="O823">
        <f t="shared" si="381"/>
        <v>1570.8000000000002</v>
      </c>
      <c r="P823" s="7">
        <f t="shared" si="385"/>
        <v>13.70930051409877</v>
      </c>
      <c r="Q823">
        <f>ROUNDUP(몬스터!$P$29/F823, 0)</f>
        <v>16</v>
      </c>
      <c r="R823" s="6">
        <f t="shared" si="382"/>
        <v>19.20768307322929</v>
      </c>
      <c r="S823" s="7">
        <f>B823/몬스터!$C$29*R823</f>
        <v>311.02561506530321</v>
      </c>
      <c r="U823">
        <f>ROUNDDOWN(R823*몬스터!$H$29, 0)*몬스터!$G$29*(1+몬스터!$I$29)</f>
        <v>2358.7199999999998</v>
      </c>
      <c r="V823" s="2">
        <f t="shared" si="386"/>
        <v>1.501604278074866</v>
      </c>
    </row>
    <row r="824" spans="1:22" x14ac:dyDescent="0.4">
      <c r="A824">
        <v>85</v>
      </c>
      <c r="B824" s="4">
        <f>160*A824</f>
        <v>13600</v>
      </c>
      <c r="C824">
        <f t="shared" si="375"/>
        <v>1030</v>
      </c>
      <c r="D824">
        <f t="shared" si="376"/>
        <v>40</v>
      </c>
      <c r="E824" s="2">
        <v>0.1</v>
      </c>
      <c r="F824">
        <f t="shared" si="377"/>
        <v>132</v>
      </c>
      <c r="G824">
        <f t="shared" si="378"/>
        <v>0.83500000000000008</v>
      </c>
      <c r="H824" s="3">
        <f t="shared" si="384"/>
        <v>0.05</v>
      </c>
      <c r="I824" s="2">
        <v>2</v>
      </c>
      <c r="J824" s="2">
        <v>0</v>
      </c>
      <c r="K824" s="2">
        <v>1</v>
      </c>
      <c r="L824" s="16">
        <v>2</v>
      </c>
      <c r="M824" s="5">
        <f t="shared" si="379"/>
        <v>1140</v>
      </c>
      <c r="N824" s="6">
        <f t="shared" si="380"/>
        <v>115.73100000000002</v>
      </c>
      <c r="O824">
        <f t="shared" si="381"/>
        <v>1586.2</v>
      </c>
      <c r="P824" s="7">
        <f t="shared" si="385"/>
        <v>13.705921490352626</v>
      </c>
      <c r="Q824">
        <f>ROUNDUP(몬스터!$P$29/F824, 0)</f>
        <v>15</v>
      </c>
      <c r="R824" s="6">
        <f t="shared" si="382"/>
        <v>17.964071856287422</v>
      </c>
      <c r="S824" s="7">
        <f>B824/몬스터!$C$29*R824</f>
        <v>294.35105692229996</v>
      </c>
      <c r="T824" s="7">
        <f t="shared" ref="T824" si="390">SUM(S820:S824)</f>
        <v>1520.617986587511</v>
      </c>
      <c r="U824">
        <f>ROUNDDOWN(R824*몬스터!$H$29, 0)*몬스터!$G$29*(1+몬스터!$I$29)</f>
        <v>2211.2999999999997</v>
      </c>
      <c r="V824" s="2">
        <f t="shared" si="386"/>
        <v>1.3940864960282433</v>
      </c>
    </row>
    <row r="825" spans="1:22" x14ac:dyDescent="0.4">
      <c r="A825">
        <v>86</v>
      </c>
      <c r="B825" s="4">
        <f>170*A825</f>
        <v>14620</v>
      </c>
      <c r="C825">
        <f t="shared" si="375"/>
        <v>1040</v>
      </c>
      <c r="D825">
        <f t="shared" si="376"/>
        <v>40</v>
      </c>
      <c r="E825" s="2">
        <v>0.1</v>
      </c>
      <c r="F825">
        <f t="shared" si="377"/>
        <v>133</v>
      </c>
      <c r="G825">
        <f t="shared" si="378"/>
        <v>0.83700000000000008</v>
      </c>
      <c r="H825" s="3">
        <f t="shared" si="384"/>
        <v>0.05</v>
      </c>
      <c r="I825" s="2">
        <v>2</v>
      </c>
      <c r="J825" s="2">
        <v>0</v>
      </c>
      <c r="K825" s="2">
        <v>1</v>
      </c>
      <c r="L825" s="16">
        <v>2</v>
      </c>
      <c r="M825" s="5">
        <f t="shared" si="379"/>
        <v>1150</v>
      </c>
      <c r="N825" s="6">
        <f t="shared" si="380"/>
        <v>116.88705000000002</v>
      </c>
      <c r="O825">
        <f t="shared" si="381"/>
        <v>1601.6000000000001</v>
      </c>
      <c r="P825" s="7">
        <f t="shared" si="385"/>
        <v>13.70211670155077</v>
      </c>
      <c r="Q825">
        <f>ROUNDUP(몬스터!$P$30/F825, 0)</f>
        <v>17</v>
      </c>
      <c r="R825" s="6">
        <f t="shared" si="382"/>
        <v>20.310633213859017</v>
      </c>
      <c r="S825" s="7">
        <f>B825/몬스터!$C$30*R825</f>
        <v>337.43347453024865</v>
      </c>
      <c r="U825">
        <f>ROUNDDOWN(R825*몬스터!$H$30, 0)*몬스터!$G$30*(1+몬스터!$I$30)</f>
        <v>2662.3274999999999</v>
      </c>
      <c r="V825" s="2">
        <f t="shared" si="386"/>
        <v>1.6622923951048949</v>
      </c>
    </row>
    <row r="826" spans="1:22" x14ac:dyDescent="0.4">
      <c r="A826">
        <v>87</v>
      </c>
      <c r="B826" s="4">
        <f>170*A826</f>
        <v>14790</v>
      </c>
      <c r="C826">
        <f t="shared" si="375"/>
        <v>1050</v>
      </c>
      <c r="D826">
        <f t="shared" si="376"/>
        <v>41</v>
      </c>
      <c r="E826" s="2">
        <v>0.1</v>
      </c>
      <c r="F826">
        <f t="shared" si="377"/>
        <v>135</v>
      </c>
      <c r="G826">
        <f t="shared" si="378"/>
        <v>0.83900000000000008</v>
      </c>
      <c r="H826" s="3">
        <f t="shared" si="384"/>
        <v>0.05</v>
      </c>
      <c r="I826" s="2">
        <v>2</v>
      </c>
      <c r="J826" s="2">
        <v>0</v>
      </c>
      <c r="K826" s="2">
        <v>1</v>
      </c>
      <c r="L826" s="16">
        <v>2</v>
      </c>
      <c r="M826" s="5">
        <f t="shared" si="379"/>
        <v>1160</v>
      </c>
      <c r="N826" s="6">
        <f t="shared" si="380"/>
        <v>118.92825000000002</v>
      </c>
      <c r="O826">
        <f t="shared" si="381"/>
        <v>1628.5500000000002</v>
      </c>
      <c r="P826" s="7">
        <f t="shared" si="385"/>
        <v>13.693550523109522</v>
      </c>
      <c r="Q826">
        <f>ROUNDUP(몬스터!$P$30/F826, 0)</f>
        <v>16</v>
      </c>
      <c r="R826" s="6">
        <f t="shared" si="382"/>
        <v>19.070321811680571</v>
      </c>
      <c r="S826" s="7">
        <f>B826/몬스터!$C$30*R826</f>
        <v>320.51143135767688</v>
      </c>
      <c r="U826">
        <f>ROUNDDOWN(R826*몬스터!$H$30, 0)*몬스터!$G$30*(1+몬스터!$I$30)</f>
        <v>2505.7199999999998</v>
      </c>
      <c r="V826" s="2">
        <f t="shared" si="386"/>
        <v>1.5386202450032234</v>
      </c>
    </row>
    <row r="827" spans="1:22" x14ac:dyDescent="0.4">
      <c r="A827">
        <v>88</v>
      </c>
      <c r="B827" s="4">
        <f>170*A827</f>
        <v>14960</v>
      </c>
      <c r="C827">
        <f t="shared" si="375"/>
        <v>1060</v>
      </c>
      <c r="D827">
        <f t="shared" si="376"/>
        <v>41</v>
      </c>
      <c r="E827" s="2">
        <v>0.1</v>
      </c>
      <c r="F827">
        <f t="shared" si="377"/>
        <v>136</v>
      </c>
      <c r="G827">
        <f t="shared" si="378"/>
        <v>0.84099999999999997</v>
      </c>
      <c r="H827" s="3">
        <f t="shared" si="384"/>
        <v>0.05</v>
      </c>
      <c r="I827" s="2">
        <v>2</v>
      </c>
      <c r="J827" s="2">
        <v>0</v>
      </c>
      <c r="K827" s="2">
        <v>1</v>
      </c>
      <c r="L827" s="16">
        <v>2</v>
      </c>
      <c r="M827" s="5">
        <f t="shared" si="379"/>
        <v>1170</v>
      </c>
      <c r="N827" s="6">
        <f t="shared" si="380"/>
        <v>120.09479999999999</v>
      </c>
      <c r="O827">
        <f t="shared" si="381"/>
        <v>1644.06</v>
      </c>
      <c r="P827" s="7">
        <f t="shared" si="385"/>
        <v>13.689685148732503</v>
      </c>
      <c r="Q827">
        <f>ROUNDUP(몬스터!$P$30/F827, 0)</f>
        <v>16</v>
      </c>
      <c r="R827" s="6">
        <f t="shared" si="382"/>
        <v>19.024970273483948</v>
      </c>
      <c r="S827" s="7">
        <f>B827/몬스터!$C$30*R827</f>
        <v>323.42449464922714</v>
      </c>
      <c r="U827">
        <f>ROUNDDOWN(R827*몬스터!$H$30, 0)*몬스터!$G$30*(1+몬스터!$I$30)</f>
        <v>2505.7199999999998</v>
      </c>
      <c r="V827" s="2">
        <f t="shared" si="386"/>
        <v>1.5241049596730045</v>
      </c>
    </row>
    <row r="828" spans="1:22" x14ac:dyDescent="0.4">
      <c r="A828">
        <v>89</v>
      </c>
      <c r="B828" s="4">
        <f>170*A828</f>
        <v>15130</v>
      </c>
      <c r="C828">
        <f t="shared" si="375"/>
        <v>1075</v>
      </c>
      <c r="D828">
        <f t="shared" si="376"/>
        <v>41</v>
      </c>
      <c r="E828" s="2">
        <v>0.1</v>
      </c>
      <c r="F828">
        <f t="shared" si="377"/>
        <v>137</v>
      </c>
      <c r="G828">
        <f t="shared" si="378"/>
        <v>0.84299999999999997</v>
      </c>
      <c r="H828" s="3">
        <f t="shared" si="384"/>
        <v>0.05</v>
      </c>
      <c r="I828" s="2">
        <v>2</v>
      </c>
      <c r="J828" s="2">
        <v>0</v>
      </c>
      <c r="K828" s="2">
        <v>1</v>
      </c>
      <c r="L828" s="16">
        <v>2</v>
      </c>
      <c r="M828" s="5">
        <f t="shared" si="379"/>
        <v>1180</v>
      </c>
      <c r="N828" s="6">
        <f t="shared" si="380"/>
        <v>121.26555</v>
      </c>
      <c r="O828">
        <f t="shared" si="381"/>
        <v>1667.325</v>
      </c>
      <c r="P828" s="7">
        <f t="shared" si="385"/>
        <v>13.749370699262899</v>
      </c>
      <c r="Q828">
        <f>ROUNDUP(몬스터!$P$30/F828, 0)</f>
        <v>16</v>
      </c>
      <c r="R828" s="6">
        <f t="shared" si="382"/>
        <v>18.979833926453143</v>
      </c>
      <c r="S828" s="7">
        <f>B828/몬스터!$C$30*R828</f>
        <v>326.32373557640454</v>
      </c>
      <c r="U828">
        <f>ROUNDDOWN(R828*몬스터!$H$30, 0)*몬스터!$G$30*(1+몬스터!$I$30)</f>
        <v>2505.7199999999998</v>
      </c>
      <c r="V828" s="2">
        <f t="shared" si="386"/>
        <v>1.5028383788403579</v>
      </c>
    </row>
    <row r="829" spans="1:22" x14ac:dyDescent="0.4">
      <c r="A829">
        <v>90</v>
      </c>
      <c r="B829" s="4">
        <f>170*A829</f>
        <v>15300</v>
      </c>
      <c r="C829">
        <f t="shared" si="375"/>
        <v>1085</v>
      </c>
      <c r="D829">
        <f t="shared" si="376"/>
        <v>42</v>
      </c>
      <c r="E829" s="2">
        <v>0.1</v>
      </c>
      <c r="F829">
        <f t="shared" si="377"/>
        <v>139</v>
      </c>
      <c r="G829">
        <f t="shared" si="378"/>
        <v>0.84499999999999997</v>
      </c>
      <c r="H829" s="3">
        <f t="shared" si="384"/>
        <v>0.05</v>
      </c>
      <c r="I829" s="2">
        <v>2</v>
      </c>
      <c r="J829" s="2">
        <v>0</v>
      </c>
      <c r="K829" s="2">
        <v>1</v>
      </c>
      <c r="L829" s="16">
        <v>2</v>
      </c>
      <c r="M829" s="5">
        <f t="shared" si="379"/>
        <v>1190</v>
      </c>
      <c r="N829" s="6">
        <f t="shared" si="380"/>
        <v>123.32775000000001</v>
      </c>
      <c r="O829">
        <f t="shared" si="381"/>
        <v>1694.77</v>
      </c>
      <c r="P829" s="7">
        <f t="shared" si="385"/>
        <v>13.742000482454273</v>
      </c>
      <c r="Q829">
        <f>ROUNDUP(몬스터!$P$30/F829, 0)</f>
        <v>16</v>
      </c>
      <c r="R829" s="6">
        <f t="shared" si="382"/>
        <v>18.934911242603551</v>
      </c>
      <c r="S829" s="7">
        <f>B829/몬스터!$C$30*R829</f>
        <v>329.2092522861754</v>
      </c>
      <c r="T829" s="7">
        <f t="shared" ref="T829" si="391">SUM(S825:S829)</f>
        <v>1636.9023883997324</v>
      </c>
      <c r="U829">
        <f>ROUNDDOWN(R829*몬스터!$H$30, 0)*몬스터!$G$30*(1+몬스터!$I$30)</f>
        <v>2505.7199999999998</v>
      </c>
      <c r="V829" s="2">
        <f t="shared" si="386"/>
        <v>1.4785015075791994</v>
      </c>
    </row>
    <row r="830" spans="1:22" x14ac:dyDescent="0.4">
      <c r="A830">
        <v>91</v>
      </c>
      <c r="B830" s="4">
        <f>160*A830</f>
        <v>14560</v>
      </c>
      <c r="C830">
        <f t="shared" si="375"/>
        <v>1095</v>
      </c>
      <c r="D830">
        <f t="shared" si="376"/>
        <v>42</v>
      </c>
      <c r="E830" s="2">
        <v>0.1</v>
      </c>
      <c r="F830">
        <f t="shared" si="377"/>
        <v>140</v>
      </c>
      <c r="G830">
        <f t="shared" si="378"/>
        <v>0.84699999999999998</v>
      </c>
      <c r="H830" s="3">
        <f t="shared" si="384"/>
        <v>0.05</v>
      </c>
      <c r="I830" s="2">
        <v>2</v>
      </c>
      <c r="J830" s="2">
        <v>0</v>
      </c>
      <c r="K830" s="2">
        <v>1</v>
      </c>
      <c r="L830" s="16">
        <v>2</v>
      </c>
      <c r="M830" s="5">
        <f t="shared" si="379"/>
        <v>1200</v>
      </c>
      <c r="N830" s="6">
        <f t="shared" si="380"/>
        <v>124.509</v>
      </c>
      <c r="O830">
        <f t="shared" si="381"/>
        <v>1710.39</v>
      </c>
      <c r="P830" s="7">
        <f t="shared" si="385"/>
        <v>13.737079247283329</v>
      </c>
      <c r="Q830">
        <f>ROUNDUP(몬스터!$P$31/F830, 0)</f>
        <v>17</v>
      </c>
      <c r="R830" s="6">
        <f t="shared" si="382"/>
        <v>20.070838252656436</v>
      </c>
      <c r="S830" s="7">
        <f>B830/몬스터!$C$31*R830</f>
        <v>314.22731715986851</v>
      </c>
      <c r="U830">
        <f>ROUNDDOWN(R830*몬스터!$H$31, 0)*몬스터!$G$31*(1+몬스터!$I$31)</f>
        <v>2840.4450000000002</v>
      </c>
      <c r="V830" s="2">
        <f t="shared" si="386"/>
        <v>1.6607001911844668</v>
      </c>
    </row>
    <row r="831" spans="1:22" x14ac:dyDescent="0.4">
      <c r="A831">
        <v>92</v>
      </c>
      <c r="B831" s="4">
        <f>160*A831</f>
        <v>14720</v>
      </c>
      <c r="C831">
        <f t="shared" si="375"/>
        <v>1105</v>
      </c>
      <c r="D831">
        <f t="shared" si="376"/>
        <v>42</v>
      </c>
      <c r="E831" s="2">
        <v>0.1</v>
      </c>
      <c r="F831">
        <f t="shared" si="377"/>
        <v>141</v>
      </c>
      <c r="G831">
        <f t="shared" si="378"/>
        <v>0.84899999999999998</v>
      </c>
      <c r="H831" s="3">
        <f t="shared" si="384"/>
        <v>0.05</v>
      </c>
      <c r="I831" s="2">
        <v>2</v>
      </c>
      <c r="J831" s="2">
        <v>0</v>
      </c>
      <c r="K831" s="2">
        <v>1</v>
      </c>
      <c r="L831" s="16">
        <v>2</v>
      </c>
      <c r="M831" s="5">
        <f t="shared" si="379"/>
        <v>1210</v>
      </c>
      <c r="N831" s="6">
        <f t="shared" si="380"/>
        <v>125.69445</v>
      </c>
      <c r="O831">
        <f t="shared" si="381"/>
        <v>1726.01</v>
      </c>
      <c r="P831" s="7">
        <f t="shared" si="385"/>
        <v>13.731791658263351</v>
      </c>
      <c r="Q831">
        <f>ROUNDUP(몬스터!$P$31/F831, 0)</f>
        <v>17</v>
      </c>
      <c r="R831" s="6">
        <f t="shared" si="382"/>
        <v>20.023557126030624</v>
      </c>
      <c r="S831" s="7">
        <f>B831/몬스터!$C$31*R831</f>
        <v>316.93200096254924</v>
      </c>
      <c r="U831">
        <f>ROUNDDOWN(R831*몬스터!$H$31, 0)*몬스터!$G$31*(1+몬스터!$I$31)</f>
        <v>2840.4450000000002</v>
      </c>
      <c r="V831" s="2">
        <f t="shared" si="386"/>
        <v>1.6456712301782725</v>
      </c>
    </row>
    <row r="832" spans="1:22" x14ac:dyDescent="0.4">
      <c r="A832">
        <v>93</v>
      </c>
      <c r="B832" s="4">
        <f>160*A832</f>
        <v>14880</v>
      </c>
      <c r="C832">
        <f t="shared" si="375"/>
        <v>1115</v>
      </c>
      <c r="D832">
        <f t="shared" si="376"/>
        <v>42</v>
      </c>
      <c r="E832" s="2">
        <v>0.1</v>
      </c>
      <c r="F832">
        <f t="shared" si="377"/>
        <v>143</v>
      </c>
      <c r="G832">
        <f t="shared" si="378"/>
        <v>0.85099999999999998</v>
      </c>
      <c r="H832" s="3">
        <f t="shared" si="384"/>
        <v>0.05</v>
      </c>
      <c r="I832" s="2">
        <v>2</v>
      </c>
      <c r="J832" s="2">
        <v>0</v>
      </c>
      <c r="K832" s="2">
        <v>1</v>
      </c>
      <c r="L832" s="16">
        <v>2</v>
      </c>
      <c r="M832" s="5">
        <f t="shared" si="379"/>
        <v>1220</v>
      </c>
      <c r="N832" s="6">
        <f t="shared" si="380"/>
        <v>127.77765000000001</v>
      </c>
      <c r="O832">
        <f t="shared" si="381"/>
        <v>1741.63</v>
      </c>
      <c r="P832" s="7">
        <f t="shared" si="385"/>
        <v>13.630161456248413</v>
      </c>
      <c r="Q832">
        <f>ROUNDUP(몬스터!$P$31/F832, 0)</f>
        <v>17</v>
      </c>
      <c r="R832" s="6">
        <f t="shared" si="382"/>
        <v>19.976498237367803</v>
      </c>
      <c r="S832" s="7">
        <f>B832/몬스터!$C$31*R832</f>
        <v>319.62397179788485</v>
      </c>
      <c r="U832">
        <f>ROUNDDOWN(R832*몬스터!$H$31, 0)*몬스터!$G$31*(1+몬스터!$I$31)</f>
        <v>2840.4450000000002</v>
      </c>
      <c r="V832" s="2">
        <f t="shared" si="386"/>
        <v>1.630911846947974</v>
      </c>
    </row>
    <row r="833" spans="1:22" x14ac:dyDescent="0.4">
      <c r="A833">
        <v>94</v>
      </c>
      <c r="B833" s="4">
        <f>160*A833</f>
        <v>15040</v>
      </c>
      <c r="C833">
        <f t="shared" si="375"/>
        <v>1125</v>
      </c>
      <c r="D833">
        <f t="shared" si="376"/>
        <v>43</v>
      </c>
      <c r="E833" s="2">
        <v>0.1</v>
      </c>
      <c r="F833">
        <f t="shared" si="377"/>
        <v>144</v>
      </c>
      <c r="G833">
        <f t="shared" si="378"/>
        <v>0.85299999999999998</v>
      </c>
      <c r="H833" s="3">
        <f t="shared" si="384"/>
        <v>0.05</v>
      </c>
      <c r="I833" s="2">
        <v>2</v>
      </c>
      <c r="J833" s="2">
        <v>0</v>
      </c>
      <c r="K833" s="2">
        <v>1</v>
      </c>
      <c r="L833" s="16">
        <v>2</v>
      </c>
      <c r="M833" s="5">
        <f t="shared" si="379"/>
        <v>1230</v>
      </c>
      <c r="N833" s="6">
        <f t="shared" si="380"/>
        <v>128.9736</v>
      </c>
      <c r="O833">
        <f t="shared" si="381"/>
        <v>1769.6250000000002</v>
      </c>
      <c r="P833" s="7">
        <f t="shared" si="385"/>
        <v>13.720831239881651</v>
      </c>
      <c r="Q833">
        <f>ROUNDUP(몬스터!$P$31/F833, 0)</f>
        <v>17</v>
      </c>
      <c r="R833" s="6">
        <f t="shared" si="382"/>
        <v>19.929660023446658</v>
      </c>
      <c r="S833" s="7">
        <f>B833/몬스터!$C$31*R833</f>
        <v>322.30331908885779</v>
      </c>
      <c r="U833">
        <f>ROUNDDOWN(R833*몬스터!$H$31, 0)*몬스터!$G$31*(1+몬스터!$I$31)</f>
        <v>2840.4450000000002</v>
      </c>
      <c r="V833" s="2">
        <f t="shared" si="386"/>
        <v>1.6051112523839794</v>
      </c>
    </row>
    <row r="834" spans="1:22" x14ac:dyDescent="0.4">
      <c r="A834">
        <v>95</v>
      </c>
      <c r="B834" s="4">
        <f>160*A834</f>
        <v>15200</v>
      </c>
      <c r="C834">
        <f t="shared" si="375"/>
        <v>1135</v>
      </c>
      <c r="D834">
        <f t="shared" si="376"/>
        <v>43</v>
      </c>
      <c r="E834" s="2">
        <v>0.1</v>
      </c>
      <c r="F834">
        <f t="shared" si="377"/>
        <v>145</v>
      </c>
      <c r="G834">
        <f t="shared" si="378"/>
        <v>0.85499999999999998</v>
      </c>
      <c r="H834" s="3">
        <f t="shared" si="384"/>
        <v>0.05</v>
      </c>
      <c r="I834" s="2">
        <v>2</v>
      </c>
      <c r="J834" s="2">
        <v>0</v>
      </c>
      <c r="K834" s="2">
        <v>1</v>
      </c>
      <c r="L834" s="16">
        <v>2</v>
      </c>
      <c r="M834" s="5">
        <f t="shared" si="379"/>
        <v>1240</v>
      </c>
      <c r="N834" s="6">
        <f t="shared" si="380"/>
        <v>130.17375000000001</v>
      </c>
      <c r="O834">
        <f t="shared" si="381"/>
        <v>1785.355</v>
      </c>
      <c r="P834" s="7">
        <f t="shared" si="385"/>
        <v>13.715169148925954</v>
      </c>
      <c r="Q834">
        <f>ROUNDUP(몬스터!$P$31/F834, 0)</f>
        <v>17</v>
      </c>
      <c r="R834" s="6">
        <f t="shared" si="382"/>
        <v>19.883040935672515</v>
      </c>
      <c r="S834" s="7">
        <f>B834/몬스터!$C$31*R834</f>
        <v>324.97013142174433</v>
      </c>
      <c r="T834" s="7">
        <f t="shared" ref="T834" si="392">SUM(S830:S834)</f>
        <v>1598.0567404309047</v>
      </c>
      <c r="U834">
        <f>ROUNDDOWN(R834*몬스터!$H$31, 0)*몬스터!$G$31*(1+몬스터!$I$31)</f>
        <v>2840.4450000000002</v>
      </c>
      <c r="V834" s="2">
        <f t="shared" si="386"/>
        <v>1.5909693030237684</v>
      </c>
    </row>
    <row r="835" spans="1:22" x14ac:dyDescent="0.4">
      <c r="A835">
        <v>96</v>
      </c>
      <c r="B835" s="4">
        <f>170*A835</f>
        <v>16320</v>
      </c>
      <c r="C835">
        <f t="shared" si="375"/>
        <v>1145</v>
      </c>
      <c r="D835">
        <f t="shared" si="376"/>
        <v>43</v>
      </c>
      <c r="E835" s="2">
        <v>0.1</v>
      </c>
      <c r="F835">
        <f t="shared" si="377"/>
        <v>147</v>
      </c>
      <c r="G835">
        <f t="shared" si="378"/>
        <v>0.85699999999999998</v>
      </c>
      <c r="H835" s="3">
        <f t="shared" si="384"/>
        <v>0.05</v>
      </c>
      <c r="I835" s="2">
        <v>2</v>
      </c>
      <c r="J835" s="2">
        <v>0</v>
      </c>
      <c r="K835" s="2">
        <v>1</v>
      </c>
      <c r="L835" s="16">
        <v>2</v>
      </c>
      <c r="M835" s="5">
        <f t="shared" si="379"/>
        <v>1250</v>
      </c>
      <c r="N835" s="6">
        <f t="shared" si="380"/>
        <v>132.27795</v>
      </c>
      <c r="O835">
        <f t="shared" si="381"/>
        <v>1801.085</v>
      </c>
      <c r="P835" s="7">
        <f t="shared" si="385"/>
        <v>13.615912553830778</v>
      </c>
      <c r="Q835">
        <f>ROUNDUP(몬스터!$P$32/F835, 0)</f>
        <v>18</v>
      </c>
      <c r="R835" s="6">
        <f t="shared" si="382"/>
        <v>21.003500583430572</v>
      </c>
      <c r="S835" s="7">
        <f>B835/몬스터!$C$32*R835</f>
        <v>349.77258114447648</v>
      </c>
      <c r="U835">
        <f>ROUNDDOWN(R835*몬스터!$H$32, 0)*몬스터!$G$32*(1+몬스터!$I$32)</f>
        <v>3176.8199999999997</v>
      </c>
      <c r="V835" s="2">
        <f t="shared" si="386"/>
        <v>1.7638367983743131</v>
      </c>
    </row>
    <row r="836" spans="1:22" x14ac:dyDescent="0.4">
      <c r="A836">
        <v>97</v>
      </c>
      <c r="B836" s="4">
        <f>170*A836</f>
        <v>16490</v>
      </c>
      <c r="C836">
        <f t="shared" si="375"/>
        <v>1155</v>
      </c>
      <c r="D836">
        <f t="shared" si="376"/>
        <v>44</v>
      </c>
      <c r="E836" s="2">
        <v>0.1</v>
      </c>
      <c r="F836">
        <f t="shared" si="377"/>
        <v>148</v>
      </c>
      <c r="G836">
        <f t="shared" si="378"/>
        <v>0.85899999999999999</v>
      </c>
      <c r="H836" s="3">
        <f t="shared" si="384"/>
        <v>0.05</v>
      </c>
      <c r="I836" s="2">
        <v>2</v>
      </c>
      <c r="J836" s="2">
        <v>0</v>
      </c>
      <c r="K836" s="2">
        <v>1</v>
      </c>
      <c r="L836" s="16">
        <v>2</v>
      </c>
      <c r="M836" s="5">
        <f t="shared" si="379"/>
        <v>1260</v>
      </c>
      <c r="N836" s="6">
        <f t="shared" si="380"/>
        <v>133.48860000000002</v>
      </c>
      <c r="O836">
        <f t="shared" si="381"/>
        <v>1829.5200000000002</v>
      </c>
      <c r="P836" s="7">
        <f t="shared" si="385"/>
        <v>13.705440015102413</v>
      </c>
      <c r="Q836">
        <f>ROUNDUP(몬스터!$P$32/F836, 0)</f>
        <v>17</v>
      </c>
      <c r="R836" s="6">
        <f t="shared" ref="R836:R839" si="393">Q836/G836</f>
        <v>19.790454016298021</v>
      </c>
      <c r="S836" s="7">
        <f>B836/몬스터!$C$32*R836</f>
        <v>333.00468033546366</v>
      </c>
      <c r="U836">
        <f>ROUNDDOWN(R836*몬스터!$H$32, 0)*몬스터!$G$32*(1+몬스터!$I$32)</f>
        <v>3000.33</v>
      </c>
      <c r="V836" s="2">
        <f t="shared" si="386"/>
        <v>1.6399547422274692</v>
      </c>
    </row>
    <row r="837" spans="1:22" x14ac:dyDescent="0.4">
      <c r="A837">
        <v>98</v>
      </c>
      <c r="B837" s="4">
        <f>170*A837</f>
        <v>16660</v>
      </c>
      <c r="C837">
        <f t="shared" si="375"/>
        <v>1165</v>
      </c>
      <c r="D837">
        <f t="shared" si="376"/>
        <v>44</v>
      </c>
      <c r="E837" s="2">
        <v>0.1</v>
      </c>
      <c r="F837">
        <f t="shared" si="377"/>
        <v>149</v>
      </c>
      <c r="G837">
        <f t="shared" si="378"/>
        <v>0.86099999999999999</v>
      </c>
      <c r="H837" s="3">
        <f t="shared" si="384"/>
        <v>0.05</v>
      </c>
      <c r="I837" s="2">
        <v>2</v>
      </c>
      <c r="J837" s="2">
        <v>0</v>
      </c>
      <c r="K837" s="2">
        <v>1</v>
      </c>
      <c r="L837" s="16">
        <v>2</v>
      </c>
      <c r="M837" s="5">
        <f t="shared" si="379"/>
        <v>1270</v>
      </c>
      <c r="N837" s="6">
        <f t="shared" si="380"/>
        <v>134.70345</v>
      </c>
      <c r="O837">
        <f t="shared" si="381"/>
        <v>1845.3600000000001</v>
      </c>
      <c r="P837" s="7">
        <f t="shared" si="385"/>
        <v>13.699426406673327</v>
      </c>
      <c r="Q837">
        <f>ROUNDUP(몬스터!$P$32/F837, 0)</f>
        <v>17</v>
      </c>
      <c r="R837" s="6">
        <f t="shared" si="393"/>
        <v>19.744483159117305</v>
      </c>
      <c r="S837" s="7">
        <f>B837/몬스터!$C$32*R837</f>
        <v>335.65621370499417</v>
      </c>
      <c r="U837">
        <f>ROUNDDOWN(R837*몬스터!$H$32, 0)*몬스터!$G$32*(1+몬스터!$I$32)</f>
        <v>3000.33</v>
      </c>
      <c r="V837" s="2">
        <f t="shared" si="386"/>
        <v>1.6258778774873195</v>
      </c>
    </row>
    <row r="838" spans="1:22" x14ac:dyDescent="0.4">
      <c r="A838">
        <v>99</v>
      </c>
      <c r="B838" s="4">
        <f>170*A838</f>
        <v>16830</v>
      </c>
      <c r="C838">
        <f t="shared" si="375"/>
        <v>1175</v>
      </c>
      <c r="D838">
        <f t="shared" si="376"/>
        <v>44</v>
      </c>
      <c r="E838" s="2">
        <v>0.1</v>
      </c>
      <c r="F838">
        <f t="shared" si="377"/>
        <v>151</v>
      </c>
      <c r="G838">
        <f t="shared" si="378"/>
        <v>0.86299999999999999</v>
      </c>
      <c r="H838" s="3">
        <f t="shared" si="384"/>
        <v>0.05</v>
      </c>
      <c r="I838" s="2">
        <v>2</v>
      </c>
      <c r="J838" s="2">
        <v>0</v>
      </c>
      <c r="K838" s="2">
        <v>1</v>
      </c>
      <c r="L838" s="16">
        <v>2</v>
      </c>
      <c r="M838" s="5">
        <f t="shared" si="379"/>
        <v>1280</v>
      </c>
      <c r="N838" s="6">
        <f t="shared" si="380"/>
        <v>136.82864999999998</v>
      </c>
      <c r="O838">
        <f t="shared" si="381"/>
        <v>1861.2</v>
      </c>
      <c r="P838" s="7">
        <f t="shared" si="385"/>
        <v>13.602414406631947</v>
      </c>
      <c r="Q838">
        <f>ROUNDUP(몬스터!$P$32/F838, 0)</f>
        <v>17</v>
      </c>
      <c r="R838" s="6">
        <f t="shared" si="393"/>
        <v>19.698725376593281</v>
      </c>
      <c r="S838" s="7">
        <f>B838/몬스터!$C$32*R838</f>
        <v>338.29545723271929</v>
      </c>
      <c r="U838">
        <f>ROUNDDOWN(R838*몬스터!$H$32, 0)*몬스터!$G$32*(1+몬스터!$I$32)</f>
        <v>3000.33</v>
      </c>
      <c r="V838" s="2">
        <f t="shared" si="386"/>
        <v>1.6120406189555125</v>
      </c>
    </row>
    <row r="839" spans="1:22" x14ac:dyDescent="0.4">
      <c r="A839">
        <v>100</v>
      </c>
      <c r="B839" s="4">
        <f>170*A839</f>
        <v>17000</v>
      </c>
      <c r="C839">
        <f t="shared" si="375"/>
        <v>1190</v>
      </c>
      <c r="D839">
        <f t="shared" si="376"/>
        <v>45</v>
      </c>
      <c r="E839" s="2">
        <v>0.1</v>
      </c>
      <c r="F839">
        <f t="shared" si="377"/>
        <v>152</v>
      </c>
      <c r="G839">
        <f t="shared" si="378"/>
        <v>0.86499999999999999</v>
      </c>
      <c r="H839" s="3">
        <f t="shared" si="384"/>
        <v>0.05</v>
      </c>
      <c r="I839" s="2">
        <v>2</v>
      </c>
      <c r="J839" s="2">
        <v>0</v>
      </c>
      <c r="K839" s="2">
        <v>1</v>
      </c>
      <c r="L839" s="16">
        <v>2</v>
      </c>
      <c r="M839" s="5">
        <f t="shared" si="379"/>
        <v>1290</v>
      </c>
      <c r="N839" s="6">
        <f t="shared" si="380"/>
        <v>138.054</v>
      </c>
      <c r="O839">
        <f t="shared" si="381"/>
        <v>1898.0500000000002</v>
      </c>
      <c r="P839" s="7">
        <f t="shared" si="385"/>
        <v>13.748605618091473</v>
      </c>
      <c r="Q839">
        <f>ROUNDUP(몬스터!$P$32/F839, 0)</f>
        <v>17</v>
      </c>
      <c r="R839" s="6">
        <f t="shared" si="393"/>
        <v>19.653179190751445</v>
      </c>
      <c r="S839" s="7">
        <f>B839/몬스터!$C$32*R839</f>
        <v>340.92249616609649</v>
      </c>
      <c r="T839" s="7">
        <f t="shared" ref="T839" si="394">SUM(S835:S839)</f>
        <v>1697.6514285837502</v>
      </c>
      <c r="U839">
        <f>ROUNDDOWN(R839*몬스터!$H$32, 0)*몬스터!$G$32*(1+몬스터!$I$32)</f>
        <v>3000.33</v>
      </c>
      <c r="V839" s="2">
        <f t="shared" si="386"/>
        <v>1.5807433945364977</v>
      </c>
    </row>
    <row r="841" spans="1:22" x14ac:dyDescent="0.4">
      <c r="A841" t="s">
        <v>282</v>
      </c>
      <c r="B841" t="s">
        <v>293</v>
      </c>
    </row>
    <row r="843" spans="1:22" ht="19.8" thickBot="1" x14ac:dyDescent="0.45">
      <c r="B843" s="49" t="s">
        <v>294</v>
      </c>
    </row>
    <row r="844" spans="1:22" ht="18" thickBot="1" x14ac:dyDescent="0.45">
      <c r="A844" s="36" t="s">
        <v>18</v>
      </c>
      <c r="B844" s="36" t="s">
        <v>300</v>
      </c>
      <c r="C844" s="28" t="s">
        <v>301</v>
      </c>
      <c r="D844" s="28" t="s">
        <v>302</v>
      </c>
      <c r="E844" s="28" t="s">
        <v>303</v>
      </c>
      <c r="F844" s="37" t="s">
        <v>305</v>
      </c>
      <c r="G844" s="37" t="s">
        <v>306</v>
      </c>
      <c r="H844" s="37" t="s">
        <v>307</v>
      </c>
      <c r="I844" s="37" t="s">
        <v>308</v>
      </c>
      <c r="J844" s="37" t="s">
        <v>309</v>
      </c>
      <c r="K844" s="38" t="s">
        <v>310</v>
      </c>
      <c r="L844" s="38" t="s">
        <v>312</v>
      </c>
      <c r="M844" s="38" t="s">
        <v>311</v>
      </c>
      <c r="N844" s="23" t="s">
        <v>313</v>
      </c>
      <c r="O844" s="23" t="s">
        <v>314</v>
      </c>
      <c r="P844" s="23" t="s">
        <v>315</v>
      </c>
      <c r="Q844" s="39" t="s">
        <v>316</v>
      </c>
      <c r="R844" s="39" t="s">
        <v>317</v>
      </c>
      <c r="S844" s="39" t="s">
        <v>318</v>
      </c>
      <c r="T844" s="39" t="s">
        <v>319</v>
      </c>
      <c r="U844" s="39" t="s">
        <v>320</v>
      </c>
      <c r="V844" s="39" t="s">
        <v>321</v>
      </c>
    </row>
    <row r="845" spans="1:22" ht="18" thickTop="1" x14ac:dyDescent="0.4">
      <c r="A845">
        <v>1</v>
      </c>
      <c r="B845" s="4">
        <f>150*A845</f>
        <v>150</v>
      </c>
      <c r="C845">
        <f t="shared" ref="C845:C876" si="395">MROUND((150+A845*11)*0.92,5)</f>
        <v>150</v>
      </c>
      <c r="D845">
        <f t="shared" ref="D845:D876" si="396">ROUNDDOWN((20+A845*0.3), 0)</f>
        <v>20</v>
      </c>
      <c r="E845" s="2">
        <v>0</v>
      </c>
      <c r="F845">
        <f t="shared" ref="F845:F876" si="397">ROUND((28+A845*2)*2/3, 0)</f>
        <v>20</v>
      </c>
      <c r="G845">
        <f t="shared" ref="G845:G876" si="398">0.665+0.002*A845</f>
        <v>0.66700000000000004</v>
      </c>
      <c r="H845" s="3">
        <f>0.05</f>
        <v>0.05</v>
      </c>
      <c r="I845" s="2">
        <v>2</v>
      </c>
      <c r="J845" s="2">
        <v>0</v>
      </c>
      <c r="K845" s="2">
        <v>1</v>
      </c>
      <c r="L845" s="16">
        <v>3</v>
      </c>
      <c r="M845" s="5">
        <f t="shared" ref="M845:M876" si="399">290+10*A845</f>
        <v>300</v>
      </c>
      <c r="N845" s="6">
        <f t="shared" ref="N845:N876" si="400">F845*G845*(1+H845)</f>
        <v>14.007</v>
      </c>
      <c r="O845">
        <f t="shared" ref="O845:O876" si="401">C845*(1+D845/100)*(1+E845)</f>
        <v>180</v>
      </c>
      <c r="P845" s="7">
        <f>O845/N845</f>
        <v>12.85071749839366</v>
      </c>
      <c r="Q845">
        <f>ROUNDUP(몬스터!$P$5/F845, 0)</f>
        <v>7</v>
      </c>
      <c r="R845" s="6">
        <f t="shared" ref="R845:R876" si="402">Q845/G845</f>
        <v>10.494752623688155</v>
      </c>
      <c r="S845" s="7">
        <f>B845/몬스터!$C$5*R845</f>
        <v>52.473763118440779</v>
      </c>
      <c r="U845">
        <f>ROUNDDOWN(R845*몬스터!$H$5, 0)*몬스터!$G$5*(1+몬스터!$I$5)</f>
        <v>37.800000000000004</v>
      </c>
      <c r="V845" s="2">
        <f>U845/O845</f>
        <v>0.21000000000000002</v>
      </c>
    </row>
    <row r="846" spans="1:22" x14ac:dyDescent="0.4">
      <c r="A846">
        <v>2</v>
      </c>
      <c r="B846" s="4">
        <f>150*A846</f>
        <v>300</v>
      </c>
      <c r="C846">
        <f t="shared" si="395"/>
        <v>160</v>
      </c>
      <c r="D846">
        <f t="shared" si="396"/>
        <v>20</v>
      </c>
      <c r="E846" s="2">
        <v>0</v>
      </c>
      <c r="F846">
        <f t="shared" si="397"/>
        <v>21</v>
      </c>
      <c r="G846">
        <f t="shared" si="398"/>
        <v>0.66900000000000004</v>
      </c>
      <c r="H846" s="3">
        <f t="shared" ref="H846:H909" si="403">0.05</f>
        <v>0.05</v>
      </c>
      <c r="I846" s="2">
        <v>2</v>
      </c>
      <c r="J846" s="2">
        <v>0</v>
      </c>
      <c r="K846" s="2">
        <v>1</v>
      </c>
      <c r="L846" s="16">
        <v>3</v>
      </c>
      <c r="M846" s="5">
        <f t="shared" si="399"/>
        <v>310</v>
      </c>
      <c r="N846" s="6">
        <f t="shared" si="400"/>
        <v>14.751450000000002</v>
      </c>
      <c r="O846">
        <f t="shared" si="401"/>
        <v>192</v>
      </c>
      <c r="P846" s="7">
        <f t="shared" ref="P846:P909" si="404">O846/N846</f>
        <v>13.015669646034794</v>
      </c>
      <c r="Q846">
        <f>ROUNDUP(몬스터!$P$5/F846, 0)</f>
        <v>7</v>
      </c>
      <c r="R846" s="6">
        <f t="shared" si="402"/>
        <v>10.46337817638266</v>
      </c>
      <c r="S846" s="7">
        <f>B846/몬스터!$C$5*R846</f>
        <v>104.6337817638266</v>
      </c>
      <c r="U846">
        <f>ROUNDDOWN(R846*몬스터!$H$5, 0)*몬스터!$G$5*(1+몬스터!$I$5)</f>
        <v>37.800000000000004</v>
      </c>
      <c r="V846" s="2">
        <f t="shared" ref="V846:V909" si="405">U846/O846</f>
        <v>0.19687500000000002</v>
      </c>
    </row>
    <row r="847" spans="1:22" x14ac:dyDescent="0.4">
      <c r="A847">
        <v>3</v>
      </c>
      <c r="B847" s="4">
        <f>150*A847</f>
        <v>450</v>
      </c>
      <c r="C847">
        <f t="shared" si="395"/>
        <v>170</v>
      </c>
      <c r="D847">
        <f t="shared" si="396"/>
        <v>20</v>
      </c>
      <c r="E847" s="2">
        <v>0</v>
      </c>
      <c r="F847">
        <f t="shared" si="397"/>
        <v>23</v>
      </c>
      <c r="G847">
        <f t="shared" si="398"/>
        <v>0.67100000000000004</v>
      </c>
      <c r="H847" s="3">
        <f t="shared" si="403"/>
        <v>0.05</v>
      </c>
      <c r="I847" s="2">
        <v>2</v>
      </c>
      <c r="J847" s="2">
        <v>0</v>
      </c>
      <c r="K847" s="2">
        <v>1</v>
      </c>
      <c r="L847" s="16">
        <v>3</v>
      </c>
      <c r="M847" s="5">
        <f t="shared" si="399"/>
        <v>320</v>
      </c>
      <c r="N847" s="6">
        <f t="shared" si="400"/>
        <v>16.204650000000001</v>
      </c>
      <c r="O847">
        <f t="shared" si="401"/>
        <v>204</v>
      </c>
      <c r="P847" s="7">
        <f t="shared" si="404"/>
        <v>12.588979089335467</v>
      </c>
      <c r="Q847">
        <f>ROUNDUP(몬스터!$P$5/F847, 0)</f>
        <v>6</v>
      </c>
      <c r="R847" s="6">
        <f t="shared" si="402"/>
        <v>8.9418777943368095</v>
      </c>
      <c r="S847" s="7">
        <f>B847/몬스터!$C$5*R847</f>
        <v>134.12816691505213</v>
      </c>
      <c r="U847">
        <f>ROUNDDOWN(R847*몬스터!$H$5, 0)*몬스터!$G$5*(1+몬스터!$I$5)</f>
        <v>31.5</v>
      </c>
      <c r="V847" s="2">
        <f t="shared" si="405"/>
        <v>0.15441176470588236</v>
      </c>
    </row>
    <row r="848" spans="1:22" x14ac:dyDescent="0.4">
      <c r="A848">
        <v>4</v>
      </c>
      <c r="B848" s="4">
        <f>150*A848+50</f>
        <v>650</v>
      </c>
      <c r="C848">
        <f t="shared" si="395"/>
        <v>180</v>
      </c>
      <c r="D848">
        <f t="shared" si="396"/>
        <v>21</v>
      </c>
      <c r="E848" s="2">
        <v>0</v>
      </c>
      <c r="F848">
        <f t="shared" si="397"/>
        <v>24</v>
      </c>
      <c r="G848">
        <f t="shared" si="398"/>
        <v>0.67300000000000004</v>
      </c>
      <c r="H848" s="3">
        <f t="shared" si="403"/>
        <v>0.05</v>
      </c>
      <c r="I848" s="2">
        <v>2</v>
      </c>
      <c r="J848" s="2">
        <v>0</v>
      </c>
      <c r="K848" s="2">
        <v>1</v>
      </c>
      <c r="L848" s="16">
        <v>3</v>
      </c>
      <c r="M848" s="5">
        <f t="shared" si="399"/>
        <v>330</v>
      </c>
      <c r="N848" s="6">
        <f t="shared" si="400"/>
        <v>16.959600000000002</v>
      </c>
      <c r="O848">
        <f t="shared" si="401"/>
        <v>217.79999999999998</v>
      </c>
      <c r="P848" s="7">
        <f t="shared" si="404"/>
        <v>12.842284016132453</v>
      </c>
      <c r="Q848">
        <f>ROUNDUP(몬스터!$P$5/F848, 0)</f>
        <v>6</v>
      </c>
      <c r="R848" s="6">
        <f t="shared" si="402"/>
        <v>8.9153046062407135</v>
      </c>
      <c r="S848" s="7">
        <f>B848/몬스터!$C$5*R848</f>
        <v>193.16493313521548</v>
      </c>
      <c r="U848">
        <f>ROUNDDOWN(R848*몬스터!$H$5, 0)*몬스터!$G$5*(1+몬스터!$I$5)</f>
        <v>31.5</v>
      </c>
      <c r="V848" s="2">
        <f t="shared" si="405"/>
        <v>0.14462809917355374</v>
      </c>
    </row>
    <row r="849" spans="1:22" x14ac:dyDescent="0.4">
      <c r="A849">
        <v>5</v>
      </c>
      <c r="B849" s="4">
        <f>150*A849+75</f>
        <v>825</v>
      </c>
      <c r="C849">
        <f t="shared" si="395"/>
        <v>190</v>
      </c>
      <c r="D849">
        <f t="shared" si="396"/>
        <v>21</v>
      </c>
      <c r="E849" s="2">
        <v>0</v>
      </c>
      <c r="F849">
        <f t="shared" si="397"/>
        <v>25</v>
      </c>
      <c r="G849">
        <f t="shared" si="398"/>
        <v>0.67500000000000004</v>
      </c>
      <c r="H849" s="3">
        <f t="shared" si="403"/>
        <v>0.05</v>
      </c>
      <c r="I849" s="2">
        <v>2</v>
      </c>
      <c r="J849" s="2">
        <v>0</v>
      </c>
      <c r="K849" s="2">
        <v>1</v>
      </c>
      <c r="L849" s="16">
        <v>3</v>
      </c>
      <c r="M849" s="5">
        <f t="shared" si="399"/>
        <v>340</v>
      </c>
      <c r="N849" s="6">
        <f t="shared" si="400"/>
        <v>17.71875</v>
      </c>
      <c r="O849">
        <f t="shared" si="401"/>
        <v>229.9</v>
      </c>
      <c r="P849" s="7">
        <f t="shared" si="404"/>
        <v>12.974955908289243</v>
      </c>
      <c r="Q849">
        <f>ROUNDUP(몬스터!$P$5/F849, 0)</f>
        <v>6</v>
      </c>
      <c r="R849" s="6">
        <f t="shared" si="402"/>
        <v>8.8888888888888875</v>
      </c>
      <c r="S849" s="7">
        <f>B849/몬스터!$C$5*R849</f>
        <v>244.4444444444444</v>
      </c>
      <c r="T849" s="7">
        <f>SUM(S845:S849)</f>
        <v>728.84508937697933</v>
      </c>
      <c r="U849">
        <f>ROUNDDOWN(R849*몬스터!$H$5, 0)*몬스터!$G$5*(1+몬스터!$I$5)</f>
        <v>31.5</v>
      </c>
      <c r="V849" s="2">
        <f t="shared" si="405"/>
        <v>0.137016093953893</v>
      </c>
    </row>
    <row r="850" spans="1:22" x14ac:dyDescent="0.4">
      <c r="A850">
        <v>6</v>
      </c>
      <c r="B850" s="4">
        <f>150*A850</f>
        <v>900</v>
      </c>
      <c r="C850">
        <f t="shared" si="395"/>
        <v>200</v>
      </c>
      <c r="D850">
        <f t="shared" si="396"/>
        <v>21</v>
      </c>
      <c r="E850" s="2">
        <v>0</v>
      </c>
      <c r="F850">
        <f t="shared" si="397"/>
        <v>27</v>
      </c>
      <c r="G850">
        <f t="shared" si="398"/>
        <v>0.67700000000000005</v>
      </c>
      <c r="H850" s="3">
        <f t="shared" si="403"/>
        <v>0.05</v>
      </c>
      <c r="I850" s="2">
        <v>2</v>
      </c>
      <c r="J850" s="2">
        <v>0</v>
      </c>
      <c r="K850" s="2">
        <v>1</v>
      </c>
      <c r="L850" s="16">
        <v>3</v>
      </c>
      <c r="M850" s="5">
        <f t="shared" si="399"/>
        <v>350</v>
      </c>
      <c r="N850" s="6">
        <f t="shared" si="400"/>
        <v>19.19295</v>
      </c>
      <c r="O850">
        <f t="shared" si="401"/>
        <v>242</v>
      </c>
      <c r="P850" s="7">
        <f t="shared" si="404"/>
        <v>12.608796459116499</v>
      </c>
      <c r="Q850">
        <f>ROUNDUP(몬스터!$P$6/F850, 0)</f>
        <v>9</v>
      </c>
      <c r="R850" s="6">
        <f t="shared" si="402"/>
        <v>13.29394387001477</v>
      </c>
      <c r="S850" s="7">
        <f>B850/몬스터!$C$6*R850</f>
        <v>149.55686853766616</v>
      </c>
      <c r="U850">
        <f>ROUNDDOWN(R850*몬스터!$H$6, 0)*몬스터!$G$6*(1+몬스터!$I$6)</f>
        <v>109.98000000000002</v>
      </c>
      <c r="V850" s="2">
        <f t="shared" si="405"/>
        <v>0.45446280991735544</v>
      </c>
    </row>
    <row r="851" spans="1:22" x14ac:dyDescent="0.4">
      <c r="A851">
        <v>7</v>
      </c>
      <c r="B851" s="4">
        <f>150*A851</f>
        <v>1050</v>
      </c>
      <c r="C851">
        <f t="shared" si="395"/>
        <v>210</v>
      </c>
      <c r="D851">
        <f t="shared" si="396"/>
        <v>22</v>
      </c>
      <c r="E851" s="2">
        <v>0</v>
      </c>
      <c r="F851">
        <f t="shared" si="397"/>
        <v>28</v>
      </c>
      <c r="G851">
        <f t="shared" si="398"/>
        <v>0.67900000000000005</v>
      </c>
      <c r="H851" s="3">
        <f t="shared" si="403"/>
        <v>0.05</v>
      </c>
      <c r="I851" s="2">
        <v>2</v>
      </c>
      <c r="J851" s="2">
        <v>0</v>
      </c>
      <c r="K851" s="2">
        <v>1</v>
      </c>
      <c r="L851" s="16">
        <v>3</v>
      </c>
      <c r="M851" s="5">
        <f t="shared" si="399"/>
        <v>360</v>
      </c>
      <c r="N851" s="6">
        <f t="shared" si="400"/>
        <v>19.962600000000002</v>
      </c>
      <c r="O851">
        <f t="shared" si="401"/>
        <v>256.2</v>
      </c>
      <c r="P851" s="7">
        <f t="shared" si="404"/>
        <v>12.833999579213128</v>
      </c>
      <c r="Q851">
        <f>ROUNDUP(몬스터!$P$6/F851, 0)</f>
        <v>8</v>
      </c>
      <c r="R851" s="6">
        <f t="shared" si="402"/>
        <v>11.782032400589101</v>
      </c>
      <c r="S851" s="7">
        <f>B851/몬스터!$C$6*R851</f>
        <v>154.63917525773195</v>
      </c>
      <c r="U851">
        <f>ROUNDDOWN(R851*몬스터!$H$6, 0)*몬스터!$G$6*(1+몬스터!$I$6)</f>
        <v>96.232500000000016</v>
      </c>
      <c r="V851" s="2">
        <f t="shared" si="405"/>
        <v>0.37561475409836076</v>
      </c>
    </row>
    <row r="852" spans="1:22" x14ac:dyDescent="0.4">
      <c r="A852">
        <v>8</v>
      </c>
      <c r="B852" s="4">
        <f>150*A852+50</f>
        <v>1250</v>
      </c>
      <c r="C852">
        <f t="shared" si="395"/>
        <v>220</v>
      </c>
      <c r="D852">
        <f t="shared" si="396"/>
        <v>22</v>
      </c>
      <c r="E852" s="2">
        <v>0</v>
      </c>
      <c r="F852">
        <f t="shared" si="397"/>
        <v>29</v>
      </c>
      <c r="G852">
        <f t="shared" si="398"/>
        <v>0.68100000000000005</v>
      </c>
      <c r="H852" s="3">
        <f t="shared" si="403"/>
        <v>0.05</v>
      </c>
      <c r="I852" s="2">
        <v>2</v>
      </c>
      <c r="J852" s="2">
        <v>0</v>
      </c>
      <c r="K852" s="2">
        <v>1</v>
      </c>
      <c r="L852" s="16">
        <v>3</v>
      </c>
      <c r="M852" s="5">
        <f t="shared" si="399"/>
        <v>370</v>
      </c>
      <c r="N852" s="6">
        <f t="shared" si="400"/>
        <v>20.736450000000005</v>
      </c>
      <c r="O852">
        <f t="shared" si="401"/>
        <v>268.39999999999998</v>
      </c>
      <c r="P852" s="7">
        <f t="shared" si="404"/>
        <v>12.943391949923923</v>
      </c>
      <c r="Q852">
        <f>ROUNDUP(몬스터!$P$6/F852, 0)</f>
        <v>8</v>
      </c>
      <c r="R852" s="6">
        <f t="shared" si="402"/>
        <v>11.747430249632892</v>
      </c>
      <c r="S852" s="7">
        <f>B852/몬스터!$C$6*R852</f>
        <v>183.55359765051392</v>
      </c>
      <c r="U852">
        <f>ROUNDDOWN(R852*몬스터!$H$6, 0)*몬스터!$G$6*(1+몬스터!$I$6)</f>
        <v>96.232500000000016</v>
      </c>
      <c r="V852" s="2">
        <f t="shared" si="405"/>
        <v>0.35854135618479888</v>
      </c>
    </row>
    <row r="853" spans="1:22" x14ac:dyDescent="0.4">
      <c r="A853">
        <v>9</v>
      </c>
      <c r="B853" s="4">
        <f>150*A853+50</f>
        <v>1400</v>
      </c>
      <c r="C853">
        <f t="shared" si="395"/>
        <v>230</v>
      </c>
      <c r="D853">
        <f t="shared" si="396"/>
        <v>22</v>
      </c>
      <c r="E853" s="2">
        <v>0</v>
      </c>
      <c r="F853">
        <f t="shared" si="397"/>
        <v>31</v>
      </c>
      <c r="G853">
        <f t="shared" si="398"/>
        <v>0.68300000000000005</v>
      </c>
      <c r="H853" s="3">
        <f t="shared" si="403"/>
        <v>0.05</v>
      </c>
      <c r="I853" s="2">
        <v>2</v>
      </c>
      <c r="J853" s="2">
        <v>0</v>
      </c>
      <c r="K853" s="2">
        <v>1</v>
      </c>
      <c r="L853" s="16">
        <v>3</v>
      </c>
      <c r="M853" s="5">
        <f t="shared" si="399"/>
        <v>380</v>
      </c>
      <c r="N853" s="6">
        <f t="shared" si="400"/>
        <v>22.231650000000002</v>
      </c>
      <c r="O853">
        <f t="shared" si="401"/>
        <v>280.59999999999997</v>
      </c>
      <c r="P853" s="7">
        <f t="shared" si="404"/>
        <v>12.621645266995474</v>
      </c>
      <c r="Q853">
        <f>ROUNDUP(몬스터!$P$6/F853, 0)</f>
        <v>8</v>
      </c>
      <c r="R853" s="6">
        <f t="shared" si="402"/>
        <v>11.713030746705709</v>
      </c>
      <c r="S853" s="7">
        <f>B853/몬스터!$C$6*R853</f>
        <v>204.9780380673499</v>
      </c>
      <c r="U853">
        <f>ROUNDDOWN(R853*몬스터!$H$6, 0)*몬스터!$G$6*(1+몬스터!$I$6)</f>
        <v>96.232500000000016</v>
      </c>
      <c r="V853" s="2">
        <f t="shared" si="405"/>
        <v>0.3429526015680685</v>
      </c>
    </row>
    <row r="854" spans="1:22" x14ac:dyDescent="0.4">
      <c r="A854">
        <v>10</v>
      </c>
      <c r="B854" s="4">
        <f>150*A854+50</f>
        <v>1550</v>
      </c>
      <c r="C854">
        <f t="shared" si="395"/>
        <v>240</v>
      </c>
      <c r="D854">
        <f t="shared" si="396"/>
        <v>23</v>
      </c>
      <c r="E854" s="2">
        <v>0</v>
      </c>
      <c r="F854">
        <f t="shared" si="397"/>
        <v>32</v>
      </c>
      <c r="G854">
        <f t="shared" si="398"/>
        <v>0.68500000000000005</v>
      </c>
      <c r="H854" s="3">
        <f t="shared" si="403"/>
        <v>0.05</v>
      </c>
      <c r="I854" s="2">
        <v>2</v>
      </c>
      <c r="J854" s="2">
        <v>0</v>
      </c>
      <c r="K854" s="2">
        <v>1</v>
      </c>
      <c r="L854" s="16">
        <v>3</v>
      </c>
      <c r="M854" s="5">
        <f t="shared" si="399"/>
        <v>390</v>
      </c>
      <c r="N854" s="6">
        <f t="shared" si="400"/>
        <v>23.016000000000002</v>
      </c>
      <c r="O854">
        <f t="shared" si="401"/>
        <v>295.2</v>
      </c>
      <c r="P854" s="7">
        <f t="shared" si="404"/>
        <v>12.825860271115744</v>
      </c>
      <c r="Q854">
        <f>ROUNDUP(몬스터!$P$6/F854, 0)</f>
        <v>7</v>
      </c>
      <c r="R854" s="6">
        <f t="shared" si="402"/>
        <v>10.21897810218978</v>
      </c>
      <c r="S854" s="7">
        <f>B854/몬스터!$C$6*R854</f>
        <v>197.99270072992698</v>
      </c>
      <c r="T854" s="7">
        <f>SUM(S850:S854)</f>
        <v>890.72038024318886</v>
      </c>
      <c r="U854">
        <f>ROUNDDOWN(R854*몬스터!$H$6, 0)*몬스터!$G$6*(1+몬스터!$I$6)</f>
        <v>82.485000000000014</v>
      </c>
      <c r="V854" s="2">
        <f t="shared" si="405"/>
        <v>0.27942073170731713</v>
      </c>
    </row>
    <row r="855" spans="1:22" x14ac:dyDescent="0.4">
      <c r="A855">
        <v>11</v>
      </c>
      <c r="B855" s="4">
        <f>160*A855</f>
        <v>1760</v>
      </c>
      <c r="C855">
        <f t="shared" si="395"/>
        <v>250</v>
      </c>
      <c r="D855">
        <f t="shared" si="396"/>
        <v>23</v>
      </c>
      <c r="E855" s="2">
        <v>0</v>
      </c>
      <c r="F855">
        <f t="shared" si="397"/>
        <v>33</v>
      </c>
      <c r="G855">
        <f t="shared" si="398"/>
        <v>0.68700000000000006</v>
      </c>
      <c r="H855" s="3">
        <f t="shared" si="403"/>
        <v>0.05</v>
      </c>
      <c r="I855" s="2">
        <v>2</v>
      </c>
      <c r="J855" s="2">
        <v>0</v>
      </c>
      <c r="K855" s="2">
        <v>1</v>
      </c>
      <c r="L855" s="16">
        <v>3</v>
      </c>
      <c r="M855" s="5">
        <f t="shared" si="399"/>
        <v>400</v>
      </c>
      <c r="N855" s="6">
        <f t="shared" si="400"/>
        <v>23.804550000000003</v>
      </c>
      <c r="O855">
        <f t="shared" si="401"/>
        <v>307.5</v>
      </c>
      <c r="P855" s="7">
        <f t="shared" si="404"/>
        <v>12.917698507218157</v>
      </c>
      <c r="Q855">
        <f>ROUNDUP(몬스터!$P$7/F855, 0)</f>
        <v>8</v>
      </c>
      <c r="R855" s="6">
        <f t="shared" si="402"/>
        <v>11.644832605531295</v>
      </c>
      <c r="S855" s="7">
        <f>B855/몬스터!$C$7*R855</f>
        <v>157.6531183518083</v>
      </c>
      <c r="U855">
        <f>ROUNDDOWN(R855*몬스터!$H$7, 0)*몬스터!$G$7*(1+몬스터!$I$7)</f>
        <v>156.55499999999998</v>
      </c>
      <c r="V855" s="2">
        <f t="shared" si="405"/>
        <v>0.50912195121951209</v>
      </c>
    </row>
    <row r="856" spans="1:22" x14ac:dyDescent="0.4">
      <c r="A856">
        <v>12</v>
      </c>
      <c r="B856" s="4">
        <f>160*A856</f>
        <v>1920</v>
      </c>
      <c r="C856">
        <f t="shared" si="395"/>
        <v>260</v>
      </c>
      <c r="D856">
        <f t="shared" si="396"/>
        <v>23</v>
      </c>
      <c r="E856" s="2">
        <v>0</v>
      </c>
      <c r="F856">
        <f t="shared" si="397"/>
        <v>35</v>
      </c>
      <c r="G856">
        <f t="shared" si="398"/>
        <v>0.68900000000000006</v>
      </c>
      <c r="H856" s="3">
        <f t="shared" si="403"/>
        <v>0.05</v>
      </c>
      <c r="I856" s="2">
        <v>2</v>
      </c>
      <c r="J856" s="2">
        <v>0</v>
      </c>
      <c r="K856" s="2">
        <v>1</v>
      </c>
      <c r="L856" s="16">
        <v>3</v>
      </c>
      <c r="M856" s="5">
        <f t="shared" si="399"/>
        <v>410</v>
      </c>
      <c r="N856" s="6">
        <f t="shared" si="400"/>
        <v>25.320750000000004</v>
      </c>
      <c r="O856">
        <f t="shared" si="401"/>
        <v>319.8</v>
      </c>
      <c r="P856" s="7">
        <f t="shared" si="404"/>
        <v>12.62995764343473</v>
      </c>
      <c r="Q856">
        <f>ROUNDUP(몬스터!$P$7/F856, 0)</f>
        <v>8</v>
      </c>
      <c r="R856" s="6">
        <f t="shared" si="402"/>
        <v>11.611030478955007</v>
      </c>
      <c r="S856" s="7">
        <f>B856/몬스터!$C$7*R856</f>
        <v>171.48598861225858</v>
      </c>
      <c r="U856">
        <f>ROUNDDOWN(R856*몬스터!$H$7, 0)*몬스터!$G$7*(1+몬스터!$I$7)</f>
        <v>156.55499999999998</v>
      </c>
      <c r="V856" s="2">
        <f t="shared" si="405"/>
        <v>0.48954033771106931</v>
      </c>
    </row>
    <row r="857" spans="1:22" x14ac:dyDescent="0.4">
      <c r="A857">
        <v>13</v>
      </c>
      <c r="B857" s="4">
        <f>160*A857+40</f>
        <v>2120</v>
      </c>
      <c r="C857">
        <f t="shared" si="395"/>
        <v>270</v>
      </c>
      <c r="D857">
        <f t="shared" si="396"/>
        <v>23</v>
      </c>
      <c r="E857" s="2">
        <v>0</v>
      </c>
      <c r="F857">
        <f t="shared" si="397"/>
        <v>36</v>
      </c>
      <c r="G857">
        <f t="shared" si="398"/>
        <v>0.69100000000000006</v>
      </c>
      <c r="H857" s="3">
        <f t="shared" si="403"/>
        <v>0.05</v>
      </c>
      <c r="I857" s="2">
        <v>2</v>
      </c>
      <c r="J857" s="2">
        <v>0</v>
      </c>
      <c r="K857" s="2">
        <v>1</v>
      </c>
      <c r="L857" s="16">
        <v>3</v>
      </c>
      <c r="M857" s="5">
        <f t="shared" si="399"/>
        <v>420</v>
      </c>
      <c r="N857" s="6">
        <f t="shared" si="400"/>
        <v>26.119800000000001</v>
      </c>
      <c r="O857">
        <f t="shared" si="401"/>
        <v>332.1</v>
      </c>
      <c r="P857" s="7">
        <f t="shared" si="404"/>
        <v>12.714492454000414</v>
      </c>
      <c r="Q857">
        <f>ROUNDUP(몬스터!$P$7/F857, 0)</f>
        <v>8</v>
      </c>
      <c r="R857" s="6">
        <f t="shared" si="402"/>
        <v>11.577424023154848</v>
      </c>
      <c r="S857" s="7">
        <f>B857/몬스터!$C$7*R857</f>
        <v>188.80106868529441</v>
      </c>
      <c r="U857">
        <f>ROUNDDOWN(R857*몬스터!$H$7, 0)*몬스터!$G$7*(1+몬스터!$I$7)</f>
        <v>156.55499999999998</v>
      </c>
      <c r="V857" s="2">
        <f t="shared" si="405"/>
        <v>0.47140921409214082</v>
      </c>
    </row>
    <row r="858" spans="1:22" x14ac:dyDescent="0.4">
      <c r="A858">
        <v>14</v>
      </c>
      <c r="B858" s="4">
        <f>160*A858+120</f>
        <v>2360</v>
      </c>
      <c r="C858">
        <f t="shared" si="395"/>
        <v>280</v>
      </c>
      <c r="D858">
        <f t="shared" si="396"/>
        <v>24</v>
      </c>
      <c r="E858" s="2">
        <v>0</v>
      </c>
      <c r="F858">
        <f t="shared" si="397"/>
        <v>37</v>
      </c>
      <c r="G858">
        <f t="shared" si="398"/>
        <v>0.69300000000000006</v>
      </c>
      <c r="H858" s="3">
        <f t="shared" si="403"/>
        <v>0.05</v>
      </c>
      <c r="I858" s="2">
        <v>2</v>
      </c>
      <c r="J858" s="2">
        <v>0</v>
      </c>
      <c r="K858" s="2">
        <v>1</v>
      </c>
      <c r="L858" s="16">
        <v>3</v>
      </c>
      <c r="M858" s="5">
        <f t="shared" si="399"/>
        <v>430</v>
      </c>
      <c r="N858" s="6">
        <f t="shared" si="400"/>
        <v>26.923050000000003</v>
      </c>
      <c r="O858">
        <f t="shared" si="401"/>
        <v>347.2</v>
      </c>
      <c r="P858" s="7">
        <f t="shared" si="404"/>
        <v>12.896012896012895</v>
      </c>
      <c r="Q858">
        <f>ROUNDUP(몬스터!$P$7/F858, 0)</f>
        <v>7</v>
      </c>
      <c r="R858" s="6">
        <f t="shared" si="402"/>
        <v>10.1010101010101</v>
      </c>
      <c r="S858" s="7">
        <f>B858/몬스터!$C$7*R858</f>
        <v>183.37218337218334</v>
      </c>
      <c r="U858">
        <f>ROUNDDOWN(R858*몬스터!$H$7, 0)*몬스터!$G$7*(1+몬스터!$I$7)</f>
        <v>134.19</v>
      </c>
      <c r="V858" s="2">
        <f t="shared" si="405"/>
        <v>0.38649193548387095</v>
      </c>
    </row>
    <row r="859" spans="1:22" x14ac:dyDescent="0.4">
      <c r="A859">
        <v>15</v>
      </c>
      <c r="B859" s="4">
        <f>160*A859+100</f>
        <v>2500</v>
      </c>
      <c r="C859">
        <f t="shared" si="395"/>
        <v>290</v>
      </c>
      <c r="D859">
        <f t="shared" si="396"/>
        <v>24</v>
      </c>
      <c r="E859" s="2">
        <v>0</v>
      </c>
      <c r="F859">
        <f t="shared" si="397"/>
        <v>39</v>
      </c>
      <c r="G859">
        <f t="shared" si="398"/>
        <v>0.69500000000000006</v>
      </c>
      <c r="H859" s="3">
        <f t="shared" si="403"/>
        <v>0.05</v>
      </c>
      <c r="I859" s="2">
        <v>2</v>
      </c>
      <c r="J859" s="2">
        <v>0</v>
      </c>
      <c r="K859" s="2">
        <v>1</v>
      </c>
      <c r="L859" s="16">
        <v>3</v>
      </c>
      <c r="M859" s="5">
        <f t="shared" si="399"/>
        <v>440</v>
      </c>
      <c r="N859" s="6">
        <f t="shared" si="400"/>
        <v>28.460250000000006</v>
      </c>
      <c r="O859">
        <f t="shared" si="401"/>
        <v>359.6</v>
      </c>
      <c r="P859" s="7">
        <f t="shared" si="404"/>
        <v>12.635166592001124</v>
      </c>
      <c r="Q859">
        <f>ROUNDUP(몬스터!$P$7/F859, 0)</f>
        <v>7</v>
      </c>
      <c r="R859" s="6">
        <f t="shared" si="402"/>
        <v>10.071942446043165</v>
      </c>
      <c r="S859" s="7">
        <f>B859/몬스터!$C$7*R859</f>
        <v>193.69120088544548</v>
      </c>
      <c r="T859" s="7">
        <f t="shared" ref="T859" si="406">SUM(S855:S859)</f>
        <v>895.00355990699006</v>
      </c>
      <c r="U859">
        <f>ROUNDDOWN(R859*몬스터!$H$7, 0)*몬스터!$G$7*(1+몬스터!$I$7)</f>
        <v>134.19</v>
      </c>
      <c r="V859" s="2">
        <f t="shared" si="405"/>
        <v>0.37316462736373746</v>
      </c>
    </row>
    <row r="860" spans="1:22" x14ac:dyDescent="0.4">
      <c r="A860">
        <v>16</v>
      </c>
      <c r="B860" s="4">
        <f>160*A860</f>
        <v>2560</v>
      </c>
      <c r="C860">
        <f t="shared" si="395"/>
        <v>300</v>
      </c>
      <c r="D860">
        <f t="shared" si="396"/>
        <v>24</v>
      </c>
      <c r="E860" s="2">
        <v>0</v>
      </c>
      <c r="F860">
        <f t="shared" si="397"/>
        <v>40</v>
      </c>
      <c r="G860">
        <f t="shared" si="398"/>
        <v>0.69700000000000006</v>
      </c>
      <c r="H860" s="3">
        <f t="shared" si="403"/>
        <v>0.05</v>
      </c>
      <c r="I860" s="2">
        <v>2</v>
      </c>
      <c r="J860" s="2">
        <v>0</v>
      </c>
      <c r="K860" s="2">
        <v>1</v>
      </c>
      <c r="L860" s="16">
        <v>3</v>
      </c>
      <c r="M860" s="5">
        <f t="shared" si="399"/>
        <v>450</v>
      </c>
      <c r="N860" s="6">
        <f t="shared" si="400"/>
        <v>29.274000000000004</v>
      </c>
      <c r="O860">
        <f t="shared" si="401"/>
        <v>372</v>
      </c>
      <c r="P860" s="7">
        <f t="shared" si="404"/>
        <v>12.707522033203523</v>
      </c>
      <c r="Q860">
        <f>ROUNDUP(몬스터!$P$8/F860, 0)</f>
        <v>9</v>
      </c>
      <c r="R860" s="6">
        <f t="shared" si="402"/>
        <v>12.91248206599713</v>
      </c>
      <c r="S860" s="7">
        <f>B860/몬스터!$C$8*R860</f>
        <v>183.64418938307028</v>
      </c>
      <c r="U860">
        <f>ROUNDDOWN(R860*몬스터!$H$8, 0)*몬스터!$G$8*(1+몬스터!$I$8)</f>
        <v>240.24</v>
      </c>
      <c r="V860" s="2">
        <f t="shared" si="405"/>
        <v>0.64580645161290329</v>
      </c>
    </row>
    <row r="861" spans="1:22" x14ac:dyDescent="0.4">
      <c r="A861">
        <v>17</v>
      </c>
      <c r="B861" s="4">
        <f>160*A861</f>
        <v>2720</v>
      </c>
      <c r="C861">
        <f t="shared" si="395"/>
        <v>310</v>
      </c>
      <c r="D861">
        <f t="shared" si="396"/>
        <v>25</v>
      </c>
      <c r="E861" s="2">
        <v>0</v>
      </c>
      <c r="F861">
        <f t="shared" si="397"/>
        <v>41</v>
      </c>
      <c r="G861">
        <f t="shared" si="398"/>
        <v>0.69900000000000007</v>
      </c>
      <c r="H861" s="3">
        <f t="shared" si="403"/>
        <v>0.05</v>
      </c>
      <c r="I861" s="2">
        <v>2</v>
      </c>
      <c r="J861" s="2">
        <v>0</v>
      </c>
      <c r="K861" s="2">
        <v>1</v>
      </c>
      <c r="L861" s="16">
        <v>3</v>
      </c>
      <c r="M861" s="5">
        <f t="shared" si="399"/>
        <v>460</v>
      </c>
      <c r="N861" s="6">
        <f t="shared" si="400"/>
        <v>30.091950000000004</v>
      </c>
      <c r="O861">
        <f t="shared" si="401"/>
        <v>387.5</v>
      </c>
      <c r="P861" s="7">
        <f t="shared" si="404"/>
        <v>12.877198054629226</v>
      </c>
      <c r="Q861">
        <f>ROUNDUP(몬스터!$P$8/F861, 0)</f>
        <v>9</v>
      </c>
      <c r="R861" s="6">
        <f t="shared" si="402"/>
        <v>12.875536480686694</v>
      </c>
      <c r="S861" s="7">
        <f>B861/몬스터!$C$8*R861</f>
        <v>194.56366237482115</v>
      </c>
      <c r="U861">
        <f>ROUNDDOWN(R861*몬스터!$H$8, 0)*몬스터!$G$8*(1+몬스터!$I$8)</f>
        <v>240.24</v>
      </c>
      <c r="V861" s="2">
        <f t="shared" si="405"/>
        <v>0.61997419354838712</v>
      </c>
    </row>
    <row r="862" spans="1:22" x14ac:dyDescent="0.4">
      <c r="A862">
        <v>18</v>
      </c>
      <c r="B862" s="4">
        <f>160*A862</f>
        <v>2880</v>
      </c>
      <c r="C862">
        <f t="shared" si="395"/>
        <v>320</v>
      </c>
      <c r="D862">
        <f t="shared" si="396"/>
        <v>25</v>
      </c>
      <c r="E862" s="2">
        <v>0</v>
      </c>
      <c r="F862">
        <f t="shared" si="397"/>
        <v>43</v>
      </c>
      <c r="G862">
        <f t="shared" si="398"/>
        <v>0.70100000000000007</v>
      </c>
      <c r="H862" s="3">
        <f t="shared" si="403"/>
        <v>0.05</v>
      </c>
      <c r="I862" s="2">
        <v>2</v>
      </c>
      <c r="J862" s="2">
        <v>0</v>
      </c>
      <c r="K862" s="2">
        <v>1</v>
      </c>
      <c r="L862" s="16">
        <v>3</v>
      </c>
      <c r="M862" s="5">
        <f t="shared" si="399"/>
        <v>470</v>
      </c>
      <c r="N862" s="6">
        <f t="shared" si="400"/>
        <v>31.650150000000007</v>
      </c>
      <c r="O862">
        <f t="shared" si="401"/>
        <v>400</v>
      </c>
      <c r="P862" s="7">
        <f t="shared" si="404"/>
        <v>12.638170751165474</v>
      </c>
      <c r="Q862">
        <f>ROUNDUP(몬스터!$P$8/F862, 0)</f>
        <v>8</v>
      </c>
      <c r="R862" s="6">
        <f t="shared" si="402"/>
        <v>11.412268188302424</v>
      </c>
      <c r="S862" s="7">
        <f>B862/몬스터!$C$8*R862</f>
        <v>182.59629101283878</v>
      </c>
      <c r="U862">
        <f>ROUNDDOWN(R862*몬스터!$H$8, 0)*몬스터!$G$8*(1+몬스터!$I$8)</f>
        <v>210.21</v>
      </c>
      <c r="V862" s="2">
        <f t="shared" si="405"/>
        <v>0.52552500000000002</v>
      </c>
    </row>
    <row r="863" spans="1:22" x14ac:dyDescent="0.4">
      <c r="A863">
        <v>19</v>
      </c>
      <c r="B863" s="4">
        <f>160*A863</f>
        <v>3040</v>
      </c>
      <c r="C863">
        <f t="shared" si="395"/>
        <v>330</v>
      </c>
      <c r="D863">
        <f t="shared" si="396"/>
        <v>25</v>
      </c>
      <c r="E863" s="2">
        <v>0</v>
      </c>
      <c r="F863">
        <f t="shared" si="397"/>
        <v>44</v>
      </c>
      <c r="G863">
        <f t="shared" si="398"/>
        <v>0.70300000000000007</v>
      </c>
      <c r="H863" s="3">
        <f t="shared" si="403"/>
        <v>0.05</v>
      </c>
      <c r="I863" s="2">
        <v>2</v>
      </c>
      <c r="J863" s="2">
        <v>0</v>
      </c>
      <c r="K863" s="2">
        <v>1</v>
      </c>
      <c r="L863" s="16">
        <v>3</v>
      </c>
      <c r="M863" s="5">
        <f t="shared" si="399"/>
        <v>480</v>
      </c>
      <c r="N863" s="6">
        <f t="shared" si="400"/>
        <v>32.4786</v>
      </c>
      <c r="O863">
        <f t="shared" si="401"/>
        <v>412.5</v>
      </c>
      <c r="P863" s="7">
        <f t="shared" si="404"/>
        <v>12.700670595407438</v>
      </c>
      <c r="Q863">
        <f>ROUNDUP(몬스터!$P$8/F863, 0)</f>
        <v>8</v>
      </c>
      <c r="R863" s="6">
        <f t="shared" si="402"/>
        <v>11.379800853485063</v>
      </c>
      <c r="S863" s="7">
        <f>B863/몬스터!$C$8*R863</f>
        <v>192.19219219219218</v>
      </c>
      <c r="U863">
        <f>ROUNDDOWN(R863*몬스터!$H$8, 0)*몬스터!$G$8*(1+몬스터!$I$8)</f>
        <v>210.21</v>
      </c>
      <c r="V863" s="2">
        <f t="shared" si="405"/>
        <v>0.50960000000000005</v>
      </c>
    </row>
    <row r="864" spans="1:22" x14ac:dyDescent="0.4">
      <c r="A864">
        <v>20</v>
      </c>
      <c r="B864" s="4">
        <f>160*A864+80</f>
        <v>3280</v>
      </c>
      <c r="C864">
        <f t="shared" si="395"/>
        <v>340</v>
      </c>
      <c r="D864">
        <f t="shared" si="396"/>
        <v>26</v>
      </c>
      <c r="E864" s="2">
        <v>0</v>
      </c>
      <c r="F864">
        <f t="shared" si="397"/>
        <v>45</v>
      </c>
      <c r="G864">
        <f t="shared" si="398"/>
        <v>0.70500000000000007</v>
      </c>
      <c r="H864" s="3">
        <f t="shared" si="403"/>
        <v>0.05</v>
      </c>
      <c r="I864" s="2">
        <v>2</v>
      </c>
      <c r="J864" s="2">
        <v>0</v>
      </c>
      <c r="K864" s="2">
        <v>1</v>
      </c>
      <c r="L864" s="16">
        <v>3</v>
      </c>
      <c r="M864" s="5">
        <f t="shared" si="399"/>
        <v>490</v>
      </c>
      <c r="N864" s="6">
        <f t="shared" si="400"/>
        <v>33.311250000000001</v>
      </c>
      <c r="O864">
        <f t="shared" si="401"/>
        <v>428.4</v>
      </c>
      <c r="P864" s="7">
        <f t="shared" si="404"/>
        <v>12.860520094562647</v>
      </c>
      <c r="Q864">
        <f>ROUNDUP(몬스터!$P$8/F864, 0)</f>
        <v>8</v>
      </c>
      <c r="R864" s="6">
        <f t="shared" si="402"/>
        <v>11.347517730496453</v>
      </c>
      <c r="S864" s="7">
        <f>B864/몬스터!$C$8*R864</f>
        <v>206.77698975571312</v>
      </c>
      <c r="T864" s="7">
        <f t="shared" ref="T864" si="407">SUM(S860:S864)</f>
        <v>959.77332471863554</v>
      </c>
      <c r="U864">
        <f>ROUNDDOWN(R864*몬스터!$H$8, 0)*몬스터!$G$8*(1+몬스터!$I$8)</f>
        <v>210.21</v>
      </c>
      <c r="V864" s="2">
        <f t="shared" si="405"/>
        <v>0.49068627450980395</v>
      </c>
    </row>
    <row r="865" spans="1:22" x14ac:dyDescent="0.4">
      <c r="A865">
        <v>21</v>
      </c>
      <c r="B865" s="4">
        <f>160*A865</f>
        <v>3360</v>
      </c>
      <c r="C865">
        <f t="shared" si="395"/>
        <v>350</v>
      </c>
      <c r="D865">
        <f t="shared" si="396"/>
        <v>26</v>
      </c>
      <c r="E865" s="2">
        <v>0</v>
      </c>
      <c r="F865">
        <f t="shared" si="397"/>
        <v>47</v>
      </c>
      <c r="G865">
        <f t="shared" si="398"/>
        <v>0.70700000000000007</v>
      </c>
      <c r="H865" s="3">
        <f t="shared" si="403"/>
        <v>0.05</v>
      </c>
      <c r="I865" s="2">
        <v>2</v>
      </c>
      <c r="J865" s="2">
        <v>0</v>
      </c>
      <c r="K865" s="2">
        <v>1</v>
      </c>
      <c r="L865" s="16">
        <v>3</v>
      </c>
      <c r="M865" s="5">
        <f t="shared" si="399"/>
        <v>500</v>
      </c>
      <c r="N865" s="6">
        <f t="shared" si="400"/>
        <v>34.890450000000008</v>
      </c>
      <c r="O865">
        <f t="shared" si="401"/>
        <v>441</v>
      </c>
      <c r="P865" s="7">
        <f t="shared" si="404"/>
        <v>12.639561828523275</v>
      </c>
      <c r="Q865">
        <f>ROUNDUP(몬스터!$P$11/F865, 0)</f>
        <v>10</v>
      </c>
      <c r="R865" s="6">
        <f t="shared" si="402"/>
        <v>14.144271570014142</v>
      </c>
      <c r="S865" s="7">
        <f>B865/몬스터!$C$11*R865</f>
        <v>206.62935858803269</v>
      </c>
      <c r="U865">
        <f>ROUNDDOWN(R865*몬스터!$H$11, 0)*몬스터!$G$11*(1+몬스터!$I$11)</f>
        <v>349.92</v>
      </c>
      <c r="V865" s="2">
        <f t="shared" si="405"/>
        <v>0.79346938775510212</v>
      </c>
    </row>
    <row r="866" spans="1:22" x14ac:dyDescent="0.4">
      <c r="A866">
        <v>22</v>
      </c>
      <c r="B866" s="4">
        <f>160*A866</f>
        <v>3520</v>
      </c>
      <c r="C866">
        <f t="shared" si="395"/>
        <v>360</v>
      </c>
      <c r="D866">
        <f t="shared" si="396"/>
        <v>26</v>
      </c>
      <c r="E866" s="2">
        <v>0</v>
      </c>
      <c r="F866">
        <f t="shared" si="397"/>
        <v>48</v>
      </c>
      <c r="G866">
        <f t="shared" si="398"/>
        <v>0.70900000000000007</v>
      </c>
      <c r="H866" s="3">
        <f t="shared" si="403"/>
        <v>0.05</v>
      </c>
      <c r="I866" s="2">
        <v>2</v>
      </c>
      <c r="J866" s="2">
        <v>0</v>
      </c>
      <c r="K866" s="2">
        <v>1</v>
      </c>
      <c r="L866" s="16">
        <v>3</v>
      </c>
      <c r="M866" s="5">
        <f t="shared" si="399"/>
        <v>510</v>
      </c>
      <c r="N866" s="6">
        <f t="shared" si="400"/>
        <v>35.733600000000003</v>
      </c>
      <c r="O866">
        <f t="shared" si="401"/>
        <v>453.6</v>
      </c>
      <c r="P866" s="7">
        <f t="shared" si="404"/>
        <v>12.693935119887165</v>
      </c>
      <c r="Q866">
        <f>ROUNDUP(몬스터!$P$11/F866, 0)</f>
        <v>9</v>
      </c>
      <c r="R866" s="6">
        <f t="shared" si="402"/>
        <v>12.693935119887163</v>
      </c>
      <c r="S866" s="7">
        <f>B866/몬스터!$C$11*R866</f>
        <v>194.27239835653398</v>
      </c>
      <c r="U866">
        <f>ROUNDDOWN(R866*몬스터!$H$11, 0)*몬스터!$G$11*(1+몬스터!$I$11)</f>
        <v>311.04000000000002</v>
      </c>
      <c r="V866" s="2">
        <f t="shared" si="405"/>
        <v>0.68571428571428572</v>
      </c>
    </row>
    <row r="867" spans="1:22" x14ac:dyDescent="0.4">
      <c r="A867">
        <v>23</v>
      </c>
      <c r="B867" s="4">
        <f>160*A867</f>
        <v>3680</v>
      </c>
      <c r="C867">
        <f t="shared" si="395"/>
        <v>370</v>
      </c>
      <c r="D867">
        <f t="shared" si="396"/>
        <v>26</v>
      </c>
      <c r="E867" s="2">
        <v>0</v>
      </c>
      <c r="F867">
        <f t="shared" si="397"/>
        <v>49</v>
      </c>
      <c r="G867">
        <f t="shared" si="398"/>
        <v>0.71100000000000008</v>
      </c>
      <c r="H867" s="3">
        <f t="shared" si="403"/>
        <v>0.05</v>
      </c>
      <c r="I867" s="2">
        <v>2</v>
      </c>
      <c r="J867" s="2">
        <v>0</v>
      </c>
      <c r="K867" s="2">
        <v>1</v>
      </c>
      <c r="L867" s="16">
        <v>3</v>
      </c>
      <c r="M867" s="5">
        <f t="shared" si="399"/>
        <v>520</v>
      </c>
      <c r="N867" s="6">
        <f t="shared" si="400"/>
        <v>36.580950000000009</v>
      </c>
      <c r="O867">
        <f t="shared" si="401"/>
        <v>466.2</v>
      </c>
      <c r="P867" s="7">
        <f t="shared" si="404"/>
        <v>12.74433824162576</v>
      </c>
      <c r="Q867">
        <f>ROUNDUP(몬스터!$P$11/F867, 0)</f>
        <v>9</v>
      </c>
      <c r="R867" s="6">
        <f t="shared" si="402"/>
        <v>12.658227848101264</v>
      </c>
      <c r="S867" s="7">
        <f>B867/몬스터!$C$11*R867</f>
        <v>202.53164556962022</v>
      </c>
      <c r="U867">
        <f>ROUNDDOWN(R867*몬스터!$H$11, 0)*몬스터!$G$11*(1+몬스터!$I$11)</f>
        <v>311.04000000000002</v>
      </c>
      <c r="V867" s="2">
        <f t="shared" si="405"/>
        <v>0.6671814671814672</v>
      </c>
    </row>
    <row r="868" spans="1:22" x14ac:dyDescent="0.4">
      <c r="A868">
        <v>24</v>
      </c>
      <c r="B868" s="4">
        <f>160*A868</f>
        <v>3840</v>
      </c>
      <c r="C868">
        <f t="shared" si="395"/>
        <v>380</v>
      </c>
      <c r="D868">
        <f t="shared" si="396"/>
        <v>27</v>
      </c>
      <c r="E868" s="2">
        <v>0</v>
      </c>
      <c r="F868">
        <f t="shared" si="397"/>
        <v>51</v>
      </c>
      <c r="G868">
        <f t="shared" si="398"/>
        <v>0.71300000000000008</v>
      </c>
      <c r="H868" s="3">
        <f t="shared" si="403"/>
        <v>0.05</v>
      </c>
      <c r="I868" s="2">
        <v>2</v>
      </c>
      <c r="J868" s="2">
        <v>0</v>
      </c>
      <c r="K868" s="2">
        <v>1</v>
      </c>
      <c r="L868" s="16">
        <v>3</v>
      </c>
      <c r="M868" s="5">
        <f t="shared" si="399"/>
        <v>530</v>
      </c>
      <c r="N868" s="6">
        <f t="shared" si="400"/>
        <v>38.181150000000009</v>
      </c>
      <c r="O868">
        <f t="shared" si="401"/>
        <v>482.6</v>
      </c>
      <c r="P868" s="7">
        <f t="shared" si="404"/>
        <v>12.639745005061396</v>
      </c>
      <c r="Q868">
        <f>ROUNDUP(몬스터!$P$11/F868, 0)</f>
        <v>9</v>
      </c>
      <c r="R868" s="6">
        <f t="shared" si="402"/>
        <v>12.622720897615707</v>
      </c>
      <c r="S868" s="7">
        <f>B868/몬스터!$C$11*R868</f>
        <v>210.74455759497528</v>
      </c>
      <c r="U868">
        <f>ROUNDDOWN(R868*몬스터!$H$11, 0)*몬스터!$G$11*(1+몬스터!$I$11)</f>
        <v>311.04000000000002</v>
      </c>
      <c r="V868" s="2">
        <f t="shared" si="405"/>
        <v>0.64450891007045175</v>
      </c>
    </row>
    <row r="869" spans="1:22" x14ac:dyDescent="0.4">
      <c r="A869">
        <v>25</v>
      </c>
      <c r="B869" s="4">
        <f>160*A869</f>
        <v>4000</v>
      </c>
      <c r="C869">
        <f t="shared" si="395"/>
        <v>390</v>
      </c>
      <c r="D869">
        <f t="shared" si="396"/>
        <v>27</v>
      </c>
      <c r="E869" s="2">
        <v>0</v>
      </c>
      <c r="F869">
        <f t="shared" si="397"/>
        <v>52</v>
      </c>
      <c r="G869">
        <f t="shared" si="398"/>
        <v>0.71500000000000008</v>
      </c>
      <c r="H869" s="3">
        <f t="shared" si="403"/>
        <v>0.05</v>
      </c>
      <c r="I869" s="2">
        <v>2</v>
      </c>
      <c r="J869" s="2">
        <v>0</v>
      </c>
      <c r="K869" s="2">
        <v>1</v>
      </c>
      <c r="L869" s="16">
        <v>3</v>
      </c>
      <c r="M869" s="5">
        <f t="shared" si="399"/>
        <v>540</v>
      </c>
      <c r="N869" s="6">
        <f t="shared" si="400"/>
        <v>39.039000000000009</v>
      </c>
      <c r="O869">
        <f t="shared" si="401"/>
        <v>495.3</v>
      </c>
      <c r="P869" s="7">
        <f t="shared" si="404"/>
        <v>12.687312687312685</v>
      </c>
      <c r="Q869">
        <f>ROUNDUP(몬스터!$P$11/F869, 0)</f>
        <v>9</v>
      </c>
      <c r="R869" s="6">
        <f t="shared" si="402"/>
        <v>12.587412587412587</v>
      </c>
      <c r="S869" s="7">
        <f>B869/몬스터!$C$11*R869</f>
        <v>218.91152325934931</v>
      </c>
      <c r="T869" s="7">
        <f t="shared" ref="T869" si="408">SUM(S865:S869)</f>
        <v>1033.0894833685115</v>
      </c>
      <c r="U869">
        <f>ROUNDDOWN(R869*몬스터!$H$11, 0)*몬스터!$G$11*(1+몬스터!$I$11)</f>
        <v>311.04000000000002</v>
      </c>
      <c r="V869" s="2">
        <f t="shared" si="405"/>
        <v>0.62798304058146581</v>
      </c>
    </row>
    <row r="870" spans="1:22" x14ac:dyDescent="0.4">
      <c r="A870">
        <v>26</v>
      </c>
      <c r="B870" s="4">
        <f>170*A870</f>
        <v>4420</v>
      </c>
      <c r="C870">
        <f t="shared" si="395"/>
        <v>400</v>
      </c>
      <c r="D870">
        <f t="shared" si="396"/>
        <v>27</v>
      </c>
      <c r="E870" s="2">
        <v>0</v>
      </c>
      <c r="F870">
        <f t="shared" si="397"/>
        <v>53</v>
      </c>
      <c r="G870">
        <f t="shared" si="398"/>
        <v>0.71700000000000008</v>
      </c>
      <c r="H870" s="3">
        <f t="shared" si="403"/>
        <v>0.05</v>
      </c>
      <c r="I870" s="2">
        <v>2</v>
      </c>
      <c r="J870" s="2">
        <v>0</v>
      </c>
      <c r="K870" s="2">
        <v>1</v>
      </c>
      <c r="L870" s="16">
        <v>3</v>
      </c>
      <c r="M870" s="5">
        <f t="shared" si="399"/>
        <v>550</v>
      </c>
      <c r="N870" s="6">
        <f t="shared" si="400"/>
        <v>39.901050000000005</v>
      </c>
      <c r="O870">
        <f t="shared" si="401"/>
        <v>508</v>
      </c>
      <c r="P870" s="7">
        <f t="shared" si="404"/>
        <v>12.731494534604977</v>
      </c>
      <c r="Q870">
        <f>ROUNDUP(몬스터!$P$12/F870, 0)</f>
        <v>10</v>
      </c>
      <c r="R870" s="6">
        <f t="shared" si="402"/>
        <v>13.947001394700138</v>
      </c>
      <c r="S870" s="7">
        <f>B870/몬스터!$C$12*R870</f>
        <v>220.16337915919505</v>
      </c>
      <c r="U870">
        <f>ROUNDDOWN(R870*몬스터!$H$12, 0)*몬스터!$G$12*(1+몬스터!$I$12)</f>
        <v>420.86249999999995</v>
      </c>
      <c r="V870" s="2">
        <f t="shared" si="405"/>
        <v>0.82846948818897626</v>
      </c>
    </row>
    <row r="871" spans="1:22" x14ac:dyDescent="0.4">
      <c r="A871">
        <v>27</v>
      </c>
      <c r="B871" s="4">
        <f>170*A871</f>
        <v>4590</v>
      </c>
      <c r="C871">
        <f t="shared" si="395"/>
        <v>410</v>
      </c>
      <c r="D871">
        <f t="shared" si="396"/>
        <v>28</v>
      </c>
      <c r="E871" s="2">
        <v>0</v>
      </c>
      <c r="F871">
        <f t="shared" si="397"/>
        <v>55</v>
      </c>
      <c r="G871">
        <f t="shared" si="398"/>
        <v>0.71900000000000008</v>
      </c>
      <c r="H871" s="3">
        <f t="shared" si="403"/>
        <v>0.05</v>
      </c>
      <c r="I871" s="2">
        <v>2</v>
      </c>
      <c r="J871" s="2">
        <v>0</v>
      </c>
      <c r="K871" s="2">
        <v>1</v>
      </c>
      <c r="L871" s="16">
        <v>3</v>
      </c>
      <c r="M871" s="5">
        <f t="shared" si="399"/>
        <v>560</v>
      </c>
      <c r="N871" s="6">
        <f t="shared" si="400"/>
        <v>41.522250000000007</v>
      </c>
      <c r="O871">
        <f t="shared" si="401"/>
        <v>524.79999999999995</v>
      </c>
      <c r="P871" s="7">
        <f t="shared" si="404"/>
        <v>12.639006797560342</v>
      </c>
      <c r="Q871">
        <f>ROUNDUP(몬스터!$P$12/F871, 0)</f>
        <v>10</v>
      </c>
      <c r="R871" s="6">
        <f t="shared" si="402"/>
        <v>13.908205841446453</v>
      </c>
      <c r="S871" s="7">
        <f>B871/몬스터!$C$12*R871</f>
        <v>227.99523147228291</v>
      </c>
      <c r="U871">
        <f>ROUNDDOWN(R871*몬스터!$H$12, 0)*몬스터!$G$12*(1+몬스터!$I$12)</f>
        <v>420.86249999999995</v>
      </c>
      <c r="V871" s="2">
        <f t="shared" si="405"/>
        <v>0.80194836128048774</v>
      </c>
    </row>
    <row r="872" spans="1:22" x14ac:dyDescent="0.4">
      <c r="A872">
        <v>28</v>
      </c>
      <c r="B872" s="4">
        <f>170*A872</f>
        <v>4760</v>
      </c>
      <c r="C872">
        <f t="shared" si="395"/>
        <v>420</v>
      </c>
      <c r="D872">
        <f t="shared" si="396"/>
        <v>28</v>
      </c>
      <c r="E872" s="2">
        <v>0</v>
      </c>
      <c r="F872">
        <f t="shared" si="397"/>
        <v>56</v>
      </c>
      <c r="G872">
        <f t="shared" si="398"/>
        <v>0.72100000000000009</v>
      </c>
      <c r="H872" s="3">
        <f t="shared" si="403"/>
        <v>0.05</v>
      </c>
      <c r="I872" s="2">
        <v>2</v>
      </c>
      <c r="J872" s="2">
        <v>0</v>
      </c>
      <c r="K872" s="2">
        <v>1</v>
      </c>
      <c r="L872" s="16">
        <v>3</v>
      </c>
      <c r="M872" s="5">
        <f t="shared" si="399"/>
        <v>570</v>
      </c>
      <c r="N872" s="6">
        <f t="shared" si="400"/>
        <v>42.394800000000004</v>
      </c>
      <c r="O872">
        <f t="shared" si="401"/>
        <v>537.6</v>
      </c>
      <c r="P872" s="7">
        <f t="shared" si="404"/>
        <v>12.680800475530017</v>
      </c>
      <c r="Q872">
        <f>ROUNDUP(몬스터!$P$12/F872, 0)</f>
        <v>10</v>
      </c>
      <c r="R872" s="6">
        <f t="shared" si="402"/>
        <v>13.869625520110956</v>
      </c>
      <c r="S872" s="7">
        <f>B872/몬스터!$C$12*R872</f>
        <v>235.78363384188626</v>
      </c>
      <c r="U872">
        <f>ROUNDDOWN(R872*몬스터!$H$12, 0)*몬스터!$G$12*(1+몬스터!$I$12)</f>
        <v>420.86249999999995</v>
      </c>
      <c r="V872" s="2">
        <f t="shared" si="405"/>
        <v>0.78285435267857129</v>
      </c>
    </row>
    <row r="873" spans="1:22" x14ac:dyDescent="0.4">
      <c r="A873">
        <v>29</v>
      </c>
      <c r="B873" s="4">
        <f>170*A873</f>
        <v>4930</v>
      </c>
      <c r="C873">
        <f t="shared" si="395"/>
        <v>430</v>
      </c>
      <c r="D873">
        <f t="shared" si="396"/>
        <v>28</v>
      </c>
      <c r="E873" s="2">
        <v>0</v>
      </c>
      <c r="F873">
        <f t="shared" si="397"/>
        <v>57</v>
      </c>
      <c r="G873">
        <f t="shared" si="398"/>
        <v>0.72300000000000009</v>
      </c>
      <c r="H873" s="3">
        <f t="shared" si="403"/>
        <v>0.05</v>
      </c>
      <c r="I873" s="2">
        <v>2</v>
      </c>
      <c r="J873" s="2">
        <v>0</v>
      </c>
      <c r="K873" s="2">
        <v>1</v>
      </c>
      <c r="L873" s="16">
        <v>3</v>
      </c>
      <c r="M873" s="5">
        <f t="shared" si="399"/>
        <v>580</v>
      </c>
      <c r="N873" s="6">
        <f t="shared" si="400"/>
        <v>43.271550000000005</v>
      </c>
      <c r="O873">
        <f t="shared" si="401"/>
        <v>550.4</v>
      </c>
      <c r="P873" s="7">
        <f t="shared" si="404"/>
        <v>12.719673781040889</v>
      </c>
      <c r="Q873">
        <f>ROUNDUP(몬스터!$P$12/F873, 0)</f>
        <v>10</v>
      </c>
      <c r="R873" s="6">
        <f t="shared" si="402"/>
        <v>13.831258644536652</v>
      </c>
      <c r="S873" s="7">
        <f>B873/몬스터!$C$12*R873</f>
        <v>243.5289468484489</v>
      </c>
      <c r="U873">
        <f>ROUNDDOWN(R873*몬스터!$H$12, 0)*몬스터!$G$12*(1+몬스터!$I$12)</f>
        <v>420.86249999999995</v>
      </c>
      <c r="V873" s="2">
        <f t="shared" si="405"/>
        <v>0.7646484375</v>
      </c>
    </row>
    <row r="874" spans="1:22" x14ac:dyDescent="0.4">
      <c r="A874">
        <v>30</v>
      </c>
      <c r="B874" s="4">
        <f>170*A874</f>
        <v>5100</v>
      </c>
      <c r="C874">
        <f t="shared" si="395"/>
        <v>440</v>
      </c>
      <c r="D874">
        <f t="shared" si="396"/>
        <v>29</v>
      </c>
      <c r="E874" s="2">
        <v>0</v>
      </c>
      <c r="F874">
        <f t="shared" si="397"/>
        <v>59</v>
      </c>
      <c r="G874">
        <f t="shared" si="398"/>
        <v>0.72500000000000009</v>
      </c>
      <c r="H874" s="3">
        <f t="shared" si="403"/>
        <v>0.05</v>
      </c>
      <c r="I874" s="2">
        <v>2</v>
      </c>
      <c r="J874" s="2">
        <v>0</v>
      </c>
      <c r="K874" s="2">
        <v>1</v>
      </c>
      <c r="L874" s="16">
        <v>3</v>
      </c>
      <c r="M874" s="5">
        <f t="shared" si="399"/>
        <v>590</v>
      </c>
      <c r="N874" s="6">
        <f t="shared" si="400"/>
        <v>44.913750000000007</v>
      </c>
      <c r="O874">
        <f t="shared" si="401"/>
        <v>567.6</v>
      </c>
      <c r="P874" s="7">
        <f t="shared" si="404"/>
        <v>12.637555314352507</v>
      </c>
      <c r="Q874">
        <f>ROUNDUP(몬스터!$P$12/F874, 0)</f>
        <v>9</v>
      </c>
      <c r="R874" s="6">
        <f t="shared" si="402"/>
        <v>12.413793103448274</v>
      </c>
      <c r="S874" s="7">
        <f>B874/몬스터!$C$12*R874</f>
        <v>226.10837438423644</v>
      </c>
      <c r="T874" s="7">
        <f t="shared" ref="T874" si="409">SUM(S870:S874)</f>
        <v>1153.5795657060496</v>
      </c>
      <c r="U874">
        <f>ROUNDDOWN(R874*몬스터!$H$12, 0)*몬스터!$G$12*(1+몬스터!$I$12)</f>
        <v>374.09999999999997</v>
      </c>
      <c r="V874" s="2">
        <f t="shared" si="405"/>
        <v>0.65909090909090895</v>
      </c>
    </row>
    <row r="875" spans="1:22" x14ac:dyDescent="0.4">
      <c r="A875">
        <v>31</v>
      </c>
      <c r="B875" s="4">
        <f>160*A875</f>
        <v>4960</v>
      </c>
      <c r="C875">
        <f t="shared" si="395"/>
        <v>450</v>
      </c>
      <c r="D875">
        <f t="shared" si="396"/>
        <v>29</v>
      </c>
      <c r="E875" s="2">
        <v>0</v>
      </c>
      <c r="F875">
        <f t="shared" si="397"/>
        <v>60</v>
      </c>
      <c r="G875">
        <f t="shared" si="398"/>
        <v>0.72700000000000009</v>
      </c>
      <c r="H875" s="3">
        <f t="shared" si="403"/>
        <v>0.05</v>
      </c>
      <c r="I875" s="2">
        <v>2</v>
      </c>
      <c r="J875" s="2">
        <v>0</v>
      </c>
      <c r="K875" s="2">
        <v>1</v>
      </c>
      <c r="L875" s="16">
        <v>3</v>
      </c>
      <c r="M875" s="5">
        <f t="shared" si="399"/>
        <v>600</v>
      </c>
      <c r="N875" s="6">
        <f t="shared" si="400"/>
        <v>45.801000000000009</v>
      </c>
      <c r="O875">
        <f t="shared" si="401"/>
        <v>580.5</v>
      </c>
      <c r="P875" s="7">
        <f t="shared" si="404"/>
        <v>12.674395755551187</v>
      </c>
      <c r="Q875">
        <f>ROUNDUP(몬스터!$P$13/F875, 0)</f>
        <v>11</v>
      </c>
      <c r="R875" s="6">
        <f t="shared" si="402"/>
        <v>15.13067400275103</v>
      </c>
      <c r="S875" s="7">
        <f>B875/몬스터!$C$13*R875</f>
        <v>227.41861531407611</v>
      </c>
      <c r="U875">
        <f>ROUNDDOWN(R875*몬스터!$H$13, 0)*몬스터!$G$13*(1+몬스터!$I$13)</f>
        <v>558.44999999999993</v>
      </c>
      <c r="V875" s="2">
        <f t="shared" si="405"/>
        <v>0.9620155038759689</v>
      </c>
    </row>
    <row r="876" spans="1:22" x14ac:dyDescent="0.4">
      <c r="A876">
        <v>32</v>
      </c>
      <c r="B876" s="4">
        <f>160*A876</f>
        <v>5120</v>
      </c>
      <c r="C876">
        <f t="shared" si="395"/>
        <v>460</v>
      </c>
      <c r="D876">
        <f t="shared" si="396"/>
        <v>29</v>
      </c>
      <c r="E876" s="2">
        <v>0</v>
      </c>
      <c r="F876">
        <f t="shared" si="397"/>
        <v>61</v>
      </c>
      <c r="G876">
        <f t="shared" si="398"/>
        <v>0.72900000000000009</v>
      </c>
      <c r="H876" s="3">
        <f t="shared" si="403"/>
        <v>0.05</v>
      </c>
      <c r="I876" s="2">
        <v>2</v>
      </c>
      <c r="J876" s="2">
        <v>0</v>
      </c>
      <c r="K876" s="2">
        <v>1</v>
      </c>
      <c r="L876" s="16">
        <v>3</v>
      </c>
      <c r="M876" s="5">
        <f t="shared" si="399"/>
        <v>610</v>
      </c>
      <c r="N876" s="6">
        <f t="shared" si="400"/>
        <v>46.692450000000008</v>
      </c>
      <c r="O876">
        <f t="shared" si="401"/>
        <v>593.4</v>
      </c>
      <c r="P876" s="7">
        <f t="shared" si="404"/>
        <v>12.708692732979312</v>
      </c>
      <c r="Q876">
        <f>ROUNDUP(몬스터!$P$13/F876, 0)</f>
        <v>11</v>
      </c>
      <c r="R876" s="6">
        <f t="shared" si="402"/>
        <v>15.089163237311384</v>
      </c>
      <c r="S876" s="7">
        <f>B876/몬스터!$C$13*R876</f>
        <v>234.11065386374025</v>
      </c>
      <c r="U876">
        <f>ROUNDDOWN(R876*몬스터!$H$13, 0)*몬스터!$G$13*(1+몬스터!$I$13)</f>
        <v>558.44999999999993</v>
      </c>
      <c r="V876" s="2">
        <f t="shared" si="405"/>
        <v>0.94110212335692611</v>
      </c>
    </row>
    <row r="877" spans="1:22" x14ac:dyDescent="0.4">
      <c r="A877">
        <v>33</v>
      </c>
      <c r="B877" s="4">
        <f>160*A877</f>
        <v>5280</v>
      </c>
      <c r="C877">
        <f t="shared" ref="C877:C908" si="410">MROUND((150+A877*11)*0.92,5)</f>
        <v>470</v>
      </c>
      <c r="D877">
        <f t="shared" ref="D877:D908" si="411">ROUNDDOWN((20+A877*0.3), 0)</f>
        <v>29</v>
      </c>
      <c r="E877" s="2">
        <v>0</v>
      </c>
      <c r="F877">
        <f t="shared" ref="F877:F908" si="412">ROUND((28+A877*2)*2/3, 0)</f>
        <v>63</v>
      </c>
      <c r="G877">
        <f t="shared" ref="G877:G908" si="413">0.665+0.002*A877</f>
        <v>0.73100000000000009</v>
      </c>
      <c r="H877" s="3">
        <f t="shared" si="403"/>
        <v>0.05</v>
      </c>
      <c r="I877" s="2">
        <v>2</v>
      </c>
      <c r="J877" s="2">
        <v>0</v>
      </c>
      <c r="K877" s="2">
        <v>1</v>
      </c>
      <c r="L877" s="16">
        <v>3</v>
      </c>
      <c r="M877" s="5">
        <f t="shared" ref="M877:M908" si="414">290+10*A877</f>
        <v>620</v>
      </c>
      <c r="N877" s="6">
        <f t="shared" ref="N877:N908" si="415">F877*G877*(1+H877)</f>
        <v>48.355650000000004</v>
      </c>
      <c r="O877">
        <f t="shared" ref="O877:O908" si="416">C877*(1+D877/100)*(1+E877)</f>
        <v>606.30000000000007</v>
      </c>
      <c r="P877" s="7">
        <f t="shared" si="404"/>
        <v>12.538348672802455</v>
      </c>
      <c r="Q877">
        <f>ROUNDUP(몬스터!$P$13/F877, 0)</f>
        <v>10</v>
      </c>
      <c r="R877" s="6">
        <f t="shared" ref="R877:R908" si="417">Q877/G877</f>
        <v>13.679890560875512</v>
      </c>
      <c r="S877" s="7">
        <f>B877/몬스터!$C$13*R877</f>
        <v>218.87824897400819</v>
      </c>
      <c r="U877">
        <f>ROUNDDOWN(R877*몬스터!$H$13, 0)*몬스터!$G$13*(1+몬스터!$I$13)</f>
        <v>502.60499999999996</v>
      </c>
      <c r="V877" s="2">
        <f t="shared" si="405"/>
        <v>0.82897080653141997</v>
      </c>
    </row>
    <row r="878" spans="1:22" x14ac:dyDescent="0.4">
      <c r="A878">
        <v>34</v>
      </c>
      <c r="B878" s="4">
        <f>160*A878</f>
        <v>5440</v>
      </c>
      <c r="C878">
        <f t="shared" si="410"/>
        <v>480</v>
      </c>
      <c r="D878">
        <f t="shared" si="411"/>
        <v>30</v>
      </c>
      <c r="E878" s="2">
        <v>0</v>
      </c>
      <c r="F878">
        <f t="shared" si="412"/>
        <v>64</v>
      </c>
      <c r="G878">
        <f t="shared" si="413"/>
        <v>0.7330000000000001</v>
      </c>
      <c r="H878" s="3">
        <f t="shared" si="403"/>
        <v>0.05</v>
      </c>
      <c r="I878" s="2">
        <v>2</v>
      </c>
      <c r="J878" s="2">
        <v>0</v>
      </c>
      <c r="K878" s="2">
        <v>1</v>
      </c>
      <c r="L878" s="16">
        <v>3</v>
      </c>
      <c r="M878" s="5">
        <f t="shared" si="414"/>
        <v>630</v>
      </c>
      <c r="N878" s="6">
        <f t="shared" si="415"/>
        <v>49.257600000000011</v>
      </c>
      <c r="O878">
        <f t="shared" si="416"/>
        <v>624</v>
      </c>
      <c r="P878" s="7">
        <f t="shared" si="404"/>
        <v>12.668095887741178</v>
      </c>
      <c r="Q878">
        <f>ROUNDUP(몬스터!$P$13/F878, 0)</f>
        <v>10</v>
      </c>
      <c r="R878" s="6">
        <f t="shared" si="417"/>
        <v>13.642564802182809</v>
      </c>
      <c r="S878" s="7">
        <f>B878/몬스터!$C$13*R878</f>
        <v>224.89561370871056</v>
      </c>
      <c r="U878">
        <f>ROUNDDOWN(R878*몬스터!$H$13, 0)*몬스터!$G$13*(1+몬스터!$I$13)</f>
        <v>502.60499999999996</v>
      </c>
      <c r="V878" s="2">
        <f t="shared" si="405"/>
        <v>0.80545673076923074</v>
      </c>
    </row>
    <row r="879" spans="1:22" x14ac:dyDescent="0.4">
      <c r="A879">
        <v>35</v>
      </c>
      <c r="B879" s="4">
        <f>160*A879</f>
        <v>5600</v>
      </c>
      <c r="C879">
        <f t="shared" si="410"/>
        <v>490</v>
      </c>
      <c r="D879">
        <f t="shared" si="411"/>
        <v>30</v>
      </c>
      <c r="E879" s="2">
        <v>0</v>
      </c>
      <c r="F879">
        <f t="shared" si="412"/>
        <v>65</v>
      </c>
      <c r="G879">
        <f t="shared" si="413"/>
        <v>0.7350000000000001</v>
      </c>
      <c r="H879" s="3">
        <f t="shared" si="403"/>
        <v>0.05</v>
      </c>
      <c r="I879" s="2">
        <v>2</v>
      </c>
      <c r="J879" s="2">
        <v>0</v>
      </c>
      <c r="K879" s="2">
        <v>1</v>
      </c>
      <c r="L879" s="16">
        <v>3</v>
      </c>
      <c r="M879" s="5">
        <f t="shared" si="414"/>
        <v>640</v>
      </c>
      <c r="N879" s="6">
        <f t="shared" si="415"/>
        <v>50.163750000000007</v>
      </c>
      <c r="O879">
        <f t="shared" si="416"/>
        <v>637</v>
      </c>
      <c r="P879" s="7">
        <f t="shared" si="404"/>
        <v>12.698412698412696</v>
      </c>
      <c r="Q879">
        <f>ROUNDUP(몬스터!$P$13/F879, 0)</f>
        <v>10</v>
      </c>
      <c r="R879" s="6">
        <f t="shared" si="417"/>
        <v>13.605442176870746</v>
      </c>
      <c r="S879" s="7">
        <f>B879/몬스터!$C$13*R879</f>
        <v>230.88023088023081</v>
      </c>
      <c r="T879" s="7">
        <f t="shared" ref="T879" si="418">SUM(S875:S879)</f>
        <v>1136.1833627407659</v>
      </c>
      <c r="U879">
        <f>ROUNDDOWN(R879*몬스터!$H$13, 0)*몬스터!$G$13*(1+몬스터!$I$13)</f>
        <v>502.60499999999996</v>
      </c>
      <c r="V879" s="2">
        <f t="shared" si="405"/>
        <v>0.78901883830455255</v>
      </c>
    </row>
    <row r="880" spans="1:22" x14ac:dyDescent="0.4">
      <c r="A880">
        <v>36</v>
      </c>
      <c r="B880" s="4">
        <f>170*A880</f>
        <v>6120</v>
      </c>
      <c r="C880">
        <f t="shared" si="410"/>
        <v>500</v>
      </c>
      <c r="D880">
        <f t="shared" si="411"/>
        <v>30</v>
      </c>
      <c r="E880" s="2">
        <v>0</v>
      </c>
      <c r="F880">
        <f t="shared" si="412"/>
        <v>67</v>
      </c>
      <c r="G880">
        <f t="shared" si="413"/>
        <v>0.7370000000000001</v>
      </c>
      <c r="H880" s="3">
        <f t="shared" si="403"/>
        <v>0.05</v>
      </c>
      <c r="I880" s="2">
        <v>2</v>
      </c>
      <c r="J880" s="2">
        <v>0</v>
      </c>
      <c r="K880" s="2">
        <v>1</v>
      </c>
      <c r="L880" s="16">
        <v>3</v>
      </c>
      <c r="M880" s="5">
        <f t="shared" si="414"/>
        <v>650</v>
      </c>
      <c r="N880" s="6">
        <f t="shared" si="415"/>
        <v>51.847950000000004</v>
      </c>
      <c r="O880">
        <f t="shared" si="416"/>
        <v>650</v>
      </c>
      <c r="P880" s="7">
        <f t="shared" si="404"/>
        <v>12.536657669203892</v>
      </c>
      <c r="Q880">
        <f>ROUNDUP(몬스터!$P$14/F880, 0)</f>
        <v>10</v>
      </c>
      <c r="R880" s="6">
        <f t="shared" si="417"/>
        <v>13.568521031207597</v>
      </c>
      <c r="S880" s="7">
        <f>B880/몬스터!$C$14*R880</f>
        <v>218.52460187102761</v>
      </c>
      <c r="U880">
        <f>ROUNDDOWN(R880*몬스터!$H$14, 0)*몬스터!$G$14*(1+몬스터!$I$14)</f>
        <v>575.505</v>
      </c>
      <c r="V880" s="2">
        <f t="shared" si="405"/>
        <v>0.8853923076923077</v>
      </c>
    </row>
    <row r="881" spans="1:22" x14ac:dyDescent="0.4">
      <c r="A881">
        <v>37</v>
      </c>
      <c r="B881" s="4">
        <f>170*A881</f>
        <v>6290</v>
      </c>
      <c r="C881">
        <f t="shared" si="410"/>
        <v>510</v>
      </c>
      <c r="D881">
        <f t="shared" si="411"/>
        <v>31</v>
      </c>
      <c r="E881" s="2">
        <v>0</v>
      </c>
      <c r="F881">
        <f t="shared" si="412"/>
        <v>68</v>
      </c>
      <c r="G881">
        <f t="shared" si="413"/>
        <v>0.73899999999999999</v>
      </c>
      <c r="H881" s="3">
        <f t="shared" si="403"/>
        <v>0.05</v>
      </c>
      <c r="I881" s="2">
        <v>2</v>
      </c>
      <c r="J881" s="2">
        <v>0</v>
      </c>
      <c r="K881" s="2">
        <v>1</v>
      </c>
      <c r="L881" s="16">
        <v>3</v>
      </c>
      <c r="M881" s="5">
        <f t="shared" si="414"/>
        <v>660</v>
      </c>
      <c r="N881" s="6">
        <f t="shared" si="415"/>
        <v>52.764600000000002</v>
      </c>
      <c r="O881">
        <f t="shared" si="416"/>
        <v>668.1</v>
      </c>
      <c r="P881" s="7">
        <f t="shared" si="404"/>
        <v>12.661898318190605</v>
      </c>
      <c r="Q881">
        <f>ROUNDUP(몬스터!$P$14/F881, 0)</f>
        <v>10</v>
      </c>
      <c r="R881" s="6">
        <f t="shared" si="417"/>
        <v>13.531799729364005</v>
      </c>
      <c r="S881" s="7">
        <f>B881/몬스터!$C$14*R881</f>
        <v>223.9868955202621</v>
      </c>
      <c r="U881">
        <f>ROUNDDOWN(R881*몬스터!$H$14, 0)*몬스터!$G$14*(1+몬스터!$I$14)</f>
        <v>575.505</v>
      </c>
      <c r="V881" s="2">
        <f t="shared" si="405"/>
        <v>0.86140547822182301</v>
      </c>
    </row>
    <row r="882" spans="1:22" x14ac:dyDescent="0.4">
      <c r="A882">
        <v>38</v>
      </c>
      <c r="B882" s="4">
        <f>170*A882</f>
        <v>6460</v>
      </c>
      <c r="C882">
        <f t="shared" si="410"/>
        <v>525</v>
      </c>
      <c r="D882">
        <f t="shared" si="411"/>
        <v>31</v>
      </c>
      <c r="E882" s="2">
        <v>0</v>
      </c>
      <c r="F882">
        <f t="shared" si="412"/>
        <v>69</v>
      </c>
      <c r="G882">
        <f t="shared" si="413"/>
        <v>0.74099999999999999</v>
      </c>
      <c r="H882" s="3">
        <f t="shared" si="403"/>
        <v>0.05</v>
      </c>
      <c r="I882" s="2">
        <v>2</v>
      </c>
      <c r="J882" s="2">
        <v>0</v>
      </c>
      <c r="K882" s="2">
        <v>1</v>
      </c>
      <c r="L882" s="16">
        <v>3</v>
      </c>
      <c r="M882" s="5">
        <f t="shared" si="414"/>
        <v>670</v>
      </c>
      <c r="N882" s="6">
        <f t="shared" si="415"/>
        <v>53.685450000000003</v>
      </c>
      <c r="O882">
        <f t="shared" si="416"/>
        <v>687.75</v>
      </c>
      <c r="P882" s="7">
        <f t="shared" si="404"/>
        <v>12.81073363453226</v>
      </c>
      <c r="Q882">
        <f>ROUNDUP(몬스터!$P$14/F882, 0)</f>
        <v>10</v>
      </c>
      <c r="R882" s="6">
        <f t="shared" si="417"/>
        <v>13.495276653171389</v>
      </c>
      <c r="S882" s="7">
        <f>B882/몬스터!$C$14*R882</f>
        <v>229.41970310391363</v>
      </c>
      <c r="U882">
        <f>ROUNDDOWN(R882*몬스터!$H$14, 0)*몬스터!$G$14*(1+몬스터!$I$14)</f>
        <v>575.505</v>
      </c>
      <c r="V882" s="2">
        <f t="shared" si="405"/>
        <v>0.83679389312977104</v>
      </c>
    </row>
    <row r="883" spans="1:22" x14ac:dyDescent="0.4">
      <c r="A883">
        <v>39</v>
      </c>
      <c r="B883" s="4">
        <f>170*A883</f>
        <v>6630</v>
      </c>
      <c r="C883">
        <f t="shared" si="410"/>
        <v>535</v>
      </c>
      <c r="D883">
        <f t="shared" si="411"/>
        <v>31</v>
      </c>
      <c r="E883" s="2">
        <v>0</v>
      </c>
      <c r="F883">
        <f t="shared" si="412"/>
        <v>71</v>
      </c>
      <c r="G883">
        <f t="shared" si="413"/>
        <v>0.74299999999999999</v>
      </c>
      <c r="H883" s="3">
        <f t="shared" si="403"/>
        <v>0.05</v>
      </c>
      <c r="I883" s="2">
        <v>2</v>
      </c>
      <c r="J883" s="2">
        <v>0</v>
      </c>
      <c r="K883" s="2">
        <v>1</v>
      </c>
      <c r="L883" s="16">
        <v>3</v>
      </c>
      <c r="M883" s="5">
        <f t="shared" si="414"/>
        <v>680</v>
      </c>
      <c r="N883" s="6">
        <f t="shared" si="415"/>
        <v>55.390650000000001</v>
      </c>
      <c r="O883">
        <f t="shared" si="416"/>
        <v>700.85</v>
      </c>
      <c r="P883" s="7">
        <f t="shared" si="404"/>
        <v>12.65285747684853</v>
      </c>
      <c r="Q883">
        <f>ROUNDUP(몬스터!$P$14/F883, 0)</f>
        <v>10</v>
      </c>
      <c r="R883" s="6">
        <f t="shared" si="417"/>
        <v>13.458950201884253</v>
      </c>
      <c r="S883" s="7">
        <f>B883/몬스터!$C$14*R883</f>
        <v>234.82326273287524</v>
      </c>
      <c r="U883">
        <f>ROUNDDOWN(R883*몬스터!$H$14, 0)*몬스터!$G$14*(1+몬스터!$I$14)</f>
        <v>575.505</v>
      </c>
      <c r="V883" s="2">
        <f t="shared" si="405"/>
        <v>0.82115288578155099</v>
      </c>
    </row>
    <row r="884" spans="1:22" x14ac:dyDescent="0.4">
      <c r="A884">
        <v>40</v>
      </c>
      <c r="B884" s="4">
        <f>170*A884</f>
        <v>6800</v>
      </c>
      <c r="C884">
        <f t="shared" si="410"/>
        <v>545</v>
      </c>
      <c r="D884">
        <f t="shared" si="411"/>
        <v>32</v>
      </c>
      <c r="E884" s="2">
        <v>0</v>
      </c>
      <c r="F884">
        <f t="shared" si="412"/>
        <v>72</v>
      </c>
      <c r="G884">
        <f t="shared" si="413"/>
        <v>0.745</v>
      </c>
      <c r="H884" s="3">
        <f t="shared" si="403"/>
        <v>0.05</v>
      </c>
      <c r="I884" s="2">
        <v>2</v>
      </c>
      <c r="J884" s="2">
        <v>0</v>
      </c>
      <c r="K884" s="2">
        <v>1</v>
      </c>
      <c r="L884" s="16">
        <v>3</v>
      </c>
      <c r="M884" s="5">
        <f t="shared" si="414"/>
        <v>690</v>
      </c>
      <c r="N884" s="6">
        <f t="shared" si="415"/>
        <v>56.322000000000003</v>
      </c>
      <c r="O884">
        <f t="shared" si="416"/>
        <v>719.4</v>
      </c>
      <c r="P884" s="7">
        <f t="shared" si="404"/>
        <v>12.772983913923511</v>
      </c>
      <c r="Q884">
        <f>ROUNDUP(몬스터!$P$14/F884, 0)</f>
        <v>10</v>
      </c>
      <c r="R884" s="6">
        <f t="shared" si="417"/>
        <v>13.422818791946309</v>
      </c>
      <c r="S884" s="7">
        <f>B884/몬스터!$C$14*R884</f>
        <v>240.19780996114449</v>
      </c>
      <c r="T884" s="7">
        <f t="shared" ref="T884" si="419">SUM(S880:S884)</f>
        <v>1146.9522731892232</v>
      </c>
      <c r="U884">
        <f>ROUNDDOWN(R884*몬스터!$H$14, 0)*몬스터!$G$14*(1+몬스터!$I$14)</f>
        <v>575.505</v>
      </c>
      <c r="V884" s="2">
        <f t="shared" si="405"/>
        <v>0.79997914929107594</v>
      </c>
    </row>
    <row r="885" spans="1:22" x14ac:dyDescent="0.4">
      <c r="A885">
        <v>41</v>
      </c>
      <c r="B885" s="4">
        <f>160*A885</f>
        <v>6560</v>
      </c>
      <c r="C885">
        <f t="shared" si="410"/>
        <v>555</v>
      </c>
      <c r="D885">
        <f t="shared" si="411"/>
        <v>32</v>
      </c>
      <c r="E885" s="2">
        <v>0</v>
      </c>
      <c r="F885">
        <f t="shared" si="412"/>
        <v>73</v>
      </c>
      <c r="G885">
        <f t="shared" si="413"/>
        <v>0.747</v>
      </c>
      <c r="H885" s="3">
        <f t="shared" si="403"/>
        <v>0.05</v>
      </c>
      <c r="I885" s="2">
        <v>2</v>
      </c>
      <c r="J885" s="2">
        <v>0</v>
      </c>
      <c r="K885" s="2">
        <v>1</v>
      </c>
      <c r="L885" s="16">
        <v>3</v>
      </c>
      <c r="M885" s="5">
        <f t="shared" si="414"/>
        <v>700</v>
      </c>
      <c r="N885" s="6">
        <f t="shared" si="415"/>
        <v>57.257550000000002</v>
      </c>
      <c r="O885">
        <f t="shared" si="416"/>
        <v>732.6</v>
      </c>
      <c r="P885" s="7">
        <f t="shared" si="404"/>
        <v>12.794819198516178</v>
      </c>
      <c r="Q885">
        <f>ROUNDUP(몬스터!$P$17/F885, 0)</f>
        <v>12</v>
      </c>
      <c r="R885" s="6">
        <f t="shared" si="417"/>
        <v>16.064257028112451</v>
      </c>
      <c r="S885" s="7">
        <f>B885/몬스터!$C$17*R885</f>
        <v>245.07331652190157</v>
      </c>
      <c r="U885">
        <f>ROUNDDOWN(R885*몬스터!$H$17, 0)*몬스터!$G$17*(1+몬스터!$I$17)</f>
        <v>805.86000000000013</v>
      </c>
      <c r="V885" s="2">
        <f t="shared" si="405"/>
        <v>1.1000000000000001</v>
      </c>
    </row>
    <row r="886" spans="1:22" x14ac:dyDescent="0.4">
      <c r="A886">
        <v>42</v>
      </c>
      <c r="B886" s="4">
        <f>160*A886</f>
        <v>6720</v>
      </c>
      <c r="C886">
        <f t="shared" si="410"/>
        <v>565</v>
      </c>
      <c r="D886">
        <f t="shared" si="411"/>
        <v>32</v>
      </c>
      <c r="E886" s="2">
        <v>0</v>
      </c>
      <c r="F886">
        <f t="shared" si="412"/>
        <v>75</v>
      </c>
      <c r="G886">
        <f t="shared" si="413"/>
        <v>0.749</v>
      </c>
      <c r="H886" s="3">
        <f t="shared" si="403"/>
        <v>0.05</v>
      </c>
      <c r="I886" s="2">
        <v>2</v>
      </c>
      <c r="J886" s="2">
        <v>0</v>
      </c>
      <c r="K886" s="2">
        <v>1</v>
      </c>
      <c r="L886" s="16">
        <v>3</v>
      </c>
      <c r="M886" s="5">
        <f t="shared" si="414"/>
        <v>710</v>
      </c>
      <c r="N886" s="6">
        <f t="shared" si="415"/>
        <v>58.983750000000001</v>
      </c>
      <c r="O886">
        <f t="shared" si="416"/>
        <v>745.80000000000007</v>
      </c>
      <c r="P886" s="7">
        <f t="shared" si="404"/>
        <v>12.64416046792549</v>
      </c>
      <c r="Q886">
        <f>ROUNDUP(몬스터!$P$17/F886, 0)</f>
        <v>12</v>
      </c>
      <c r="R886" s="6">
        <f t="shared" si="417"/>
        <v>16.021361815754339</v>
      </c>
      <c r="S886" s="7">
        <f>B886/몬스터!$C$17*R886</f>
        <v>250.38035209737012</v>
      </c>
      <c r="U886">
        <f>ROUNDDOWN(R886*몬스터!$H$17, 0)*몬스터!$G$17*(1+몬스터!$I$17)</f>
        <v>805.86000000000013</v>
      </c>
      <c r="V886" s="2">
        <f t="shared" si="405"/>
        <v>1.0805309734513275</v>
      </c>
    </row>
    <row r="887" spans="1:22" x14ac:dyDescent="0.4">
      <c r="A887">
        <v>43</v>
      </c>
      <c r="B887" s="4">
        <f>160*A887</f>
        <v>6880</v>
      </c>
      <c r="C887">
        <f t="shared" si="410"/>
        <v>575</v>
      </c>
      <c r="D887">
        <f t="shared" si="411"/>
        <v>32</v>
      </c>
      <c r="E887" s="2">
        <v>0</v>
      </c>
      <c r="F887">
        <f t="shared" si="412"/>
        <v>76</v>
      </c>
      <c r="G887">
        <f t="shared" si="413"/>
        <v>0.751</v>
      </c>
      <c r="H887" s="3">
        <f t="shared" si="403"/>
        <v>0.05</v>
      </c>
      <c r="I887" s="2">
        <v>2</v>
      </c>
      <c r="J887" s="2">
        <v>0</v>
      </c>
      <c r="K887" s="2">
        <v>1</v>
      </c>
      <c r="L887" s="16">
        <v>3</v>
      </c>
      <c r="M887" s="5">
        <f t="shared" si="414"/>
        <v>720</v>
      </c>
      <c r="N887" s="6">
        <f t="shared" si="415"/>
        <v>59.9298</v>
      </c>
      <c r="O887">
        <f t="shared" si="416"/>
        <v>759</v>
      </c>
      <c r="P887" s="7">
        <f t="shared" si="404"/>
        <v>12.664817836869137</v>
      </c>
      <c r="Q887">
        <f>ROUNDUP(몬스터!$P$17/F887, 0)</f>
        <v>11</v>
      </c>
      <c r="R887" s="6">
        <f t="shared" si="417"/>
        <v>14.647137150466046</v>
      </c>
      <c r="S887" s="7">
        <f>B887/몬스터!$C$17*R887</f>
        <v>234.35419440745673</v>
      </c>
      <c r="U887">
        <f>ROUNDDOWN(R887*몬스터!$H$17, 0)*몬스터!$G$17*(1+몬스터!$I$17)</f>
        <v>732.6</v>
      </c>
      <c r="V887" s="2">
        <f t="shared" si="405"/>
        <v>0.9652173913043478</v>
      </c>
    </row>
    <row r="888" spans="1:22" x14ac:dyDescent="0.4">
      <c r="A888">
        <v>44</v>
      </c>
      <c r="B888" s="4">
        <f>160*A888</f>
        <v>7040</v>
      </c>
      <c r="C888">
        <f t="shared" si="410"/>
        <v>585</v>
      </c>
      <c r="D888">
        <f t="shared" si="411"/>
        <v>33</v>
      </c>
      <c r="E888" s="2">
        <v>0</v>
      </c>
      <c r="F888">
        <f t="shared" si="412"/>
        <v>77</v>
      </c>
      <c r="G888">
        <f t="shared" si="413"/>
        <v>0.753</v>
      </c>
      <c r="H888" s="3">
        <f t="shared" si="403"/>
        <v>0.05</v>
      </c>
      <c r="I888" s="2">
        <v>2</v>
      </c>
      <c r="J888" s="2">
        <v>0</v>
      </c>
      <c r="K888" s="2">
        <v>1</v>
      </c>
      <c r="L888" s="16">
        <v>3</v>
      </c>
      <c r="M888" s="5">
        <f t="shared" si="414"/>
        <v>730</v>
      </c>
      <c r="N888" s="6">
        <f t="shared" si="415"/>
        <v>60.880050000000004</v>
      </c>
      <c r="O888">
        <f t="shared" si="416"/>
        <v>778.05000000000007</v>
      </c>
      <c r="P888" s="7">
        <f t="shared" si="404"/>
        <v>12.780048636622341</v>
      </c>
      <c r="Q888">
        <f>ROUNDUP(몬스터!$P$17/F888, 0)</f>
        <v>11</v>
      </c>
      <c r="R888" s="6">
        <f t="shared" si="417"/>
        <v>14.608233731739707</v>
      </c>
      <c r="S888" s="7">
        <f>B888/몬스터!$C$17*R888</f>
        <v>239.16736156150591</v>
      </c>
      <c r="U888">
        <f>ROUNDDOWN(R888*몬스터!$H$17, 0)*몬스터!$G$17*(1+몬스터!$I$17)</f>
        <v>732.6</v>
      </c>
      <c r="V888" s="2">
        <f t="shared" si="405"/>
        <v>0.94158473105841523</v>
      </c>
    </row>
    <row r="889" spans="1:22" x14ac:dyDescent="0.4">
      <c r="A889">
        <v>45</v>
      </c>
      <c r="B889" s="4">
        <f>160*A889</f>
        <v>7200</v>
      </c>
      <c r="C889">
        <f t="shared" si="410"/>
        <v>595</v>
      </c>
      <c r="D889">
        <f t="shared" si="411"/>
        <v>33</v>
      </c>
      <c r="E889" s="2">
        <v>0</v>
      </c>
      <c r="F889">
        <f t="shared" si="412"/>
        <v>79</v>
      </c>
      <c r="G889">
        <f t="shared" si="413"/>
        <v>0.755</v>
      </c>
      <c r="H889" s="3">
        <f t="shared" si="403"/>
        <v>0.05</v>
      </c>
      <c r="I889" s="2">
        <v>2</v>
      </c>
      <c r="J889" s="2">
        <v>0</v>
      </c>
      <c r="K889" s="2">
        <v>1</v>
      </c>
      <c r="L889" s="16">
        <v>3</v>
      </c>
      <c r="M889" s="5">
        <f t="shared" si="414"/>
        <v>740</v>
      </c>
      <c r="N889" s="6">
        <f t="shared" si="415"/>
        <v>62.627250000000004</v>
      </c>
      <c r="O889">
        <f t="shared" si="416"/>
        <v>791.35</v>
      </c>
      <c r="P889" s="7">
        <f t="shared" si="404"/>
        <v>12.635873361835303</v>
      </c>
      <c r="Q889">
        <f>ROUNDUP(몬스터!$P$17/F889, 0)</f>
        <v>11</v>
      </c>
      <c r="R889" s="6">
        <f t="shared" si="417"/>
        <v>14.569536423841059</v>
      </c>
      <c r="S889" s="7">
        <f>B889/몬스터!$C$17*R889</f>
        <v>243.9550284922224</v>
      </c>
      <c r="T889" s="7">
        <f t="shared" ref="T889" si="420">SUM(S885:S889)</f>
        <v>1212.9302530804569</v>
      </c>
      <c r="U889">
        <f>ROUNDDOWN(R889*몬스터!$H$17, 0)*몬스터!$G$17*(1+몬스터!$I$17)</f>
        <v>732.6</v>
      </c>
      <c r="V889" s="2">
        <f t="shared" si="405"/>
        <v>0.92575977759524863</v>
      </c>
    </row>
    <row r="890" spans="1:22" x14ac:dyDescent="0.4">
      <c r="A890">
        <v>46</v>
      </c>
      <c r="B890" s="4">
        <f>170*A890-620</f>
        <v>7200</v>
      </c>
      <c r="C890">
        <f t="shared" si="410"/>
        <v>605</v>
      </c>
      <c r="D890">
        <f t="shared" si="411"/>
        <v>33</v>
      </c>
      <c r="E890" s="2">
        <v>0</v>
      </c>
      <c r="F890">
        <f t="shared" si="412"/>
        <v>80</v>
      </c>
      <c r="G890">
        <f t="shared" si="413"/>
        <v>0.75700000000000001</v>
      </c>
      <c r="H890" s="3">
        <f t="shared" si="403"/>
        <v>0.05</v>
      </c>
      <c r="I890" s="2">
        <v>2</v>
      </c>
      <c r="J890" s="2">
        <v>0</v>
      </c>
      <c r="K890" s="2">
        <v>1</v>
      </c>
      <c r="L890" s="16">
        <v>3</v>
      </c>
      <c r="M890" s="5">
        <f t="shared" si="414"/>
        <v>750</v>
      </c>
      <c r="N890" s="6">
        <f t="shared" si="415"/>
        <v>63.588000000000008</v>
      </c>
      <c r="O890">
        <f t="shared" si="416"/>
        <v>804.65000000000009</v>
      </c>
      <c r="P890" s="7">
        <f t="shared" si="404"/>
        <v>12.654117129018054</v>
      </c>
      <c r="Q890">
        <f>ROUNDUP(몬스터!$P$18/F890, 0)</f>
        <v>12</v>
      </c>
      <c r="R890" s="6">
        <f t="shared" si="417"/>
        <v>15.852047556142669</v>
      </c>
      <c r="S890" s="7">
        <f>B890/몬스터!$C$18*R890</f>
        <v>237.78071334214002</v>
      </c>
      <c r="U890">
        <f>ROUNDDOWN(R890*몬스터!$H$18, 0)*몬스터!$G$18*(1+몬스터!$I$18)</f>
        <v>897.35249999999996</v>
      </c>
      <c r="V890" s="2">
        <f t="shared" si="405"/>
        <v>1.1152084757347913</v>
      </c>
    </row>
    <row r="891" spans="1:22" x14ac:dyDescent="0.4">
      <c r="A891">
        <v>47</v>
      </c>
      <c r="B891" s="4">
        <f>170*A891</f>
        <v>7990</v>
      </c>
      <c r="C891">
        <f t="shared" si="410"/>
        <v>615</v>
      </c>
      <c r="D891">
        <f t="shared" si="411"/>
        <v>34</v>
      </c>
      <c r="E891" s="2">
        <v>0</v>
      </c>
      <c r="F891">
        <f t="shared" si="412"/>
        <v>81</v>
      </c>
      <c r="G891">
        <f t="shared" si="413"/>
        <v>0.75900000000000001</v>
      </c>
      <c r="H891" s="3">
        <f t="shared" si="403"/>
        <v>0.05</v>
      </c>
      <c r="I891" s="2">
        <v>2</v>
      </c>
      <c r="J891" s="2">
        <v>0</v>
      </c>
      <c r="K891" s="2">
        <v>1</v>
      </c>
      <c r="L891" s="16">
        <v>3</v>
      </c>
      <c r="M891" s="5">
        <f t="shared" si="414"/>
        <v>760</v>
      </c>
      <c r="N891" s="6">
        <f t="shared" si="415"/>
        <v>64.552949999999996</v>
      </c>
      <c r="O891">
        <f t="shared" si="416"/>
        <v>824.1</v>
      </c>
      <c r="P891" s="7">
        <f t="shared" si="404"/>
        <v>12.766263973993444</v>
      </c>
      <c r="Q891">
        <f>ROUNDUP(몬스터!$P$18/F891, 0)</f>
        <v>12</v>
      </c>
      <c r="R891" s="6">
        <f t="shared" si="417"/>
        <v>15.810276679841897</v>
      </c>
      <c r="S891" s="7">
        <f>B891/몬스터!$C$18*R891</f>
        <v>263.17523056653488</v>
      </c>
      <c r="U891">
        <f>ROUNDDOWN(R891*몬스터!$H$18, 0)*몬스터!$G$18*(1+몬스터!$I$18)</f>
        <v>897.35249999999996</v>
      </c>
      <c r="V891" s="2">
        <f t="shared" si="405"/>
        <v>1.0888878776847468</v>
      </c>
    </row>
    <row r="892" spans="1:22" x14ac:dyDescent="0.4">
      <c r="A892">
        <v>48</v>
      </c>
      <c r="B892" s="4">
        <f>170*A892</f>
        <v>8160</v>
      </c>
      <c r="C892">
        <f t="shared" si="410"/>
        <v>625</v>
      </c>
      <c r="D892">
        <f t="shared" si="411"/>
        <v>34</v>
      </c>
      <c r="E892" s="2">
        <v>0</v>
      </c>
      <c r="F892">
        <f t="shared" si="412"/>
        <v>83</v>
      </c>
      <c r="G892">
        <f t="shared" si="413"/>
        <v>0.76100000000000001</v>
      </c>
      <c r="H892" s="3">
        <f t="shared" si="403"/>
        <v>0.05</v>
      </c>
      <c r="I892" s="2">
        <v>2</v>
      </c>
      <c r="J892" s="2">
        <v>0</v>
      </c>
      <c r="K892" s="2">
        <v>1</v>
      </c>
      <c r="L892" s="16">
        <v>3</v>
      </c>
      <c r="M892" s="5">
        <f t="shared" si="414"/>
        <v>770</v>
      </c>
      <c r="N892" s="6">
        <f t="shared" si="415"/>
        <v>66.321150000000003</v>
      </c>
      <c r="O892">
        <f t="shared" si="416"/>
        <v>837.5</v>
      </c>
      <c r="P892" s="7">
        <f t="shared" si="404"/>
        <v>12.627947494879084</v>
      </c>
      <c r="Q892">
        <f>ROUNDUP(몬스터!$P$18/F892, 0)</f>
        <v>12</v>
      </c>
      <c r="R892" s="6">
        <f t="shared" si="417"/>
        <v>15.768725361366622</v>
      </c>
      <c r="S892" s="7">
        <f>B892/몬스터!$C$18*R892</f>
        <v>268.06833114323257</v>
      </c>
      <c r="U892">
        <f>ROUNDDOWN(R892*몬스터!$H$18, 0)*몬스터!$G$18*(1+몬스터!$I$18)</f>
        <v>897.35249999999996</v>
      </c>
      <c r="V892" s="2">
        <f t="shared" si="405"/>
        <v>1.071465671641791</v>
      </c>
    </row>
    <row r="893" spans="1:22" x14ac:dyDescent="0.4">
      <c r="A893">
        <v>49</v>
      </c>
      <c r="B893" s="4">
        <f>170*A893</f>
        <v>8330</v>
      </c>
      <c r="C893">
        <f t="shared" si="410"/>
        <v>635</v>
      </c>
      <c r="D893">
        <f t="shared" si="411"/>
        <v>34</v>
      </c>
      <c r="E893" s="2">
        <v>0</v>
      </c>
      <c r="F893">
        <f t="shared" si="412"/>
        <v>84</v>
      </c>
      <c r="G893">
        <f t="shared" si="413"/>
        <v>0.76300000000000001</v>
      </c>
      <c r="H893" s="3">
        <f t="shared" si="403"/>
        <v>0.05</v>
      </c>
      <c r="I893" s="2">
        <v>2</v>
      </c>
      <c r="J893" s="2">
        <v>0</v>
      </c>
      <c r="K893" s="2">
        <v>1</v>
      </c>
      <c r="L893" s="16">
        <v>3</v>
      </c>
      <c r="M893" s="5">
        <f t="shared" si="414"/>
        <v>780</v>
      </c>
      <c r="N893" s="6">
        <f t="shared" si="415"/>
        <v>67.296599999999998</v>
      </c>
      <c r="O893">
        <f t="shared" si="416"/>
        <v>850.90000000000009</v>
      </c>
      <c r="P893" s="7">
        <f t="shared" si="404"/>
        <v>12.644026592725339</v>
      </c>
      <c r="Q893">
        <f>ROUNDUP(몬스터!$P$18/F893, 0)</f>
        <v>12</v>
      </c>
      <c r="R893" s="6">
        <f t="shared" si="417"/>
        <v>15.727391874180865</v>
      </c>
      <c r="S893" s="7">
        <f>B893/몬스터!$C$18*R893</f>
        <v>272.93577981651379</v>
      </c>
      <c r="U893">
        <f>ROUNDDOWN(R893*몬스터!$H$18, 0)*몬스터!$G$18*(1+몬스터!$I$18)</f>
        <v>897.35249999999996</v>
      </c>
      <c r="V893" s="2">
        <f t="shared" si="405"/>
        <v>1.0545921964978258</v>
      </c>
    </row>
    <row r="894" spans="1:22" x14ac:dyDescent="0.4">
      <c r="A894">
        <v>50</v>
      </c>
      <c r="B894" s="4">
        <f>170*A894</f>
        <v>8500</v>
      </c>
      <c r="C894">
        <f t="shared" si="410"/>
        <v>645</v>
      </c>
      <c r="D894">
        <f t="shared" si="411"/>
        <v>35</v>
      </c>
      <c r="E894" s="2">
        <v>0</v>
      </c>
      <c r="F894">
        <f t="shared" si="412"/>
        <v>85</v>
      </c>
      <c r="G894">
        <f t="shared" si="413"/>
        <v>0.76500000000000001</v>
      </c>
      <c r="H894" s="3">
        <f t="shared" si="403"/>
        <v>0.05</v>
      </c>
      <c r="I894" s="2">
        <v>2</v>
      </c>
      <c r="J894" s="2">
        <v>0</v>
      </c>
      <c r="K894" s="2">
        <v>1</v>
      </c>
      <c r="L894" s="16">
        <v>3</v>
      </c>
      <c r="M894" s="5">
        <f t="shared" si="414"/>
        <v>790</v>
      </c>
      <c r="N894" s="6">
        <f t="shared" si="415"/>
        <v>68.276250000000005</v>
      </c>
      <c r="O894">
        <f t="shared" si="416"/>
        <v>870.75000000000011</v>
      </c>
      <c r="P894" s="7">
        <f t="shared" si="404"/>
        <v>12.753336628769155</v>
      </c>
      <c r="Q894">
        <f>ROUNDUP(몬스터!$P$18/F894, 0)</f>
        <v>12</v>
      </c>
      <c r="R894" s="6">
        <f t="shared" si="417"/>
        <v>15.686274509803921</v>
      </c>
      <c r="S894" s="7">
        <f>B894/몬스터!$C$18*R894</f>
        <v>277.77777777777777</v>
      </c>
      <c r="T894" s="7">
        <f t="shared" ref="T894" si="421">SUM(S890:S894)</f>
        <v>1319.737832646199</v>
      </c>
      <c r="U894">
        <f>ROUNDDOWN(R894*몬스터!$H$18, 0)*몬스터!$G$18*(1+몬스터!$I$18)</f>
        <v>897.35249999999996</v>
      </c>
      <c r="V894" s="2">
        <f t="shared" si="405"/>
        <v>1.0305512489233417</v>
      </c>
    </row>
    <row r="895" spans="1:22" x14ac:dyDescent="0.4">
      <c r="A895">
        <v>51</v>
      </c>
      <c r="B895" s="4">
        <f>160*A895</f>
        <v>8160</v>
      </c>
      <c r="C895">
        <f t="shared" si="410"/>
        <v>655</v>
      </c>
      <c r="D895">
        <f t="shared" si="411"/>
        <v>35</v>
      </c>
      <c r="E895" s="2">
        <v>0</v>
      </c>
      <c r="F895">
        <f t="shared" si="412"/>
        <v>87</v>
      </c>
      <c r="G895">
        <f t="shared" si="413"/>
        <v>0.76700000000000002</v>
      </c>
      <c r="H895" s="3">
        <f t="shared" si="403"/>
        <v>0.05</v>
      </c>
      <c r="I895" s="2">
        <v>2</v>
      </c>
      <c r="J895" s="2">
        <v>0</v>
      </c>
      <c r="K895" s="2">
        <v>1</v>
      </c>
      <c r="L895" s="16">
        <v>3</v>
      </c>
      <c r="M895" s="5">
        <f t="shared" si="414"/>
        <v>800</v>
      </c>
      <c r="N895" s="6">
        <f t="shared" si="415"/>
        <v>70.065449999999998</v>
      </c>
      <c r="O895">
        <f t="shared" si="416"/>
        <v>884.25000000000011</v>
      </c>
      <c r="P895" s="7">
        <f t="shared" si="404"/>
        <v>12.620342836590646</v>
      </c>
      <c r="Q895">
        <f>ROUNDUP(몬스터!$P$19/F895, 0)</f>
        <v>13</v>
      </c>
      <c r="R895" s="6">
        <f t="shared" si="417"/>
        <v>16.949152542372882</v>
      </c>
      <c r="S895" s="7">
        <f>B895/몬스터!$C$19*R895</f>
        <v>260.95299008634476</v>
      </c>
      <c r="U895">
        <f>ROUNDDOWN(R895*몬스터!$H$19, 0)*몬스터!$G$19*(1+몬스터!$I$19)</f>
        <v>1093.5</v>
      </c>
      <c r="V895" s="2">
        <f t="shared" si="405"/>
        <v>1.2366412213740456</v>
      </c>
    </row>
    <row r="896" spans="1:22" x14ac:dyDescent="0.4">
      <c r="A896">
        <v>52</v>
      </c>
      <c r="B896" s="4">
        <f>160*A896</f>
        <v>8320</v>
      </c>
      <c r="C896">
        <f t="shared" si="410"/>
        <v>665</v>
      </c>
      <c r="D896">
        <f t="shared" si="411"/>
        <v>35</v>
      </c>
      <c r="E896" s="2">
        <v>0</v>
      </c>
      <c r="F896">
        <f t="shared" si="412"/>
        <v>88</v>
      </c>
      <c r="G896">
        <f t="shared" si="413"/>
        <v>0.76900000000000002</v>
      </c>
      <c r="H896" s="3">
        <f t="shared" si="403"/>
        <v>0.05</v>
      </c>
      <c r="I896" s="2">
        <v>2</v>
      </c>
      <c r="J896" s="2">
        <v>0</v>
      </c>
      <c r="K896" s="2">
        <v>1</v>
      </c>
      <c r="L896" s="16">
        <v>3</v>
      </c>
      <c r="M896" s="5">
        <f t="shared" si="414"/>
        <v>810</v>
      </c>
      <c r="N896" s="6">
        <f t="shared" si="415"/>
        <v>71.055599999999998</v>
      </c>
      <c r="O896">
        <f t="shared" si="416"/>
        <v>897.75000000000011</v>
      </c>
      <c r="P896" s="7">
        <f t="shared" si="404"/>
        <v>12.63447215982977</v>
      </c>
      <c r="Q896">
        <f>ROUNDUP(몬스터!$P$19/F896, 0)</f>
        <v>13</v>
      </c>
      <c r="R896" s="6">
        <f t="shared" si="417"/>
        <v>16.905071521456435</v>
      </c>
      <c r="S896" s="7">
        <f>B896/몬스터!$C$19*R896</f>
        <v>265.37772652550478</v>
      </c>
      <c r="U896">
        <f>ROUNDDOWN(R896*몬스터!$H$19, 0)*몬스터!$G$19*(1+몬스터!$I$19)</f>
        <v>1093.5</v>
      </c>
      <c r="V896" s="2">
        <f t="shared" si="405"/>
        <v>1.2180451127819547</v>
      </c>
    </row>
    <row r="897" spans="1:22" x14ac:dyDescent="0.4">
      <c r="A897">
        <v>53</v>
      </c>
      <c r="B897" s="4">
        <f>160*A897</f>
        <v>8480</v>
      </c>
      <c r="C897">
        <f t="shared" si="410"/>
        <v>675</v>
      </c>
      <c r="D897">
        <f t="shared" si="411"/>
        <v>35</v>
      </c>
      <c r="E897" s="2">
        <v>0</v>
      </c>
      <c r="F897">
        <f t="shared" si="412"/>
        <v>89</v>
      </c>
      <c r="G897">
        <f t="shared" si="413"/>
        <v>0.77100000000000002</v>
      </c>
      <c r="H897" s="3">
        <f t="shared" si="403"/>
        <v>0.05</v>
      </c>
      <c r="I897" s="2">
        <v>2</v>
      </c>
      <c r="J897" s="2">
        <v>0</v>
      </c>
      <c r="K897" s="2">
        <v>1</v>
      </c>
      <c r="L897" s="16">
        <v>3</v>
      </c>
      <c r="M897" s="5">
        <f t="shared" si="414"/>
        <v>820</v>
      </c>
      <c r="N897" s="6">
        <f t="shared" si="415"/>
        <v>72.04995000000001</v>
      </c>
      <c r="O897">
        <f t="shared" si="416"/>
        <v>911.25000000000011</v>
      </c>
      <c r="P897" s="7">
        <f t="shared" si="404"/>
        <v>12.647475813654276</v>
      </c>
      <c r="Q897">
        <f>ROUNDUP(몬스터!$P$19/F897, 0)</f>
        <v>13</v>
      </c>
      <c r="R897" s="6">
        <f t="shared" si="417"/>
        <v>16.861219195849547</v>
      </c>
      <c r="S897" s="7">
        <f>B897/몬스터!$C$19*R897</f>
        <v>269.77950713359274</v>
      </c>
      <c r="U897">
        <f>ROUNDDOWN(R897*몬스터!$H$19, 0)*몬스터!$G$19*(1+몬스터!$I$19)</f>
        <v>1093.5</v>
      </c>
      <c r="V897" s="2">
        <f t="shared" si="405"/>
        <v>1.2</v>
      </c>
    </row>
    <row r="898" spans="1:22" x14ac:dyDescent="0.4">
      <c r="A898">
        <v>54</v>
      </c>
      <c r="B898" s="4">
        <f>160*A898</f>
        <v>8640</v>
      </c>
      <c r="C898">
        <f t="shared" si="410"/>
        <v>685</v>
      </c>
      <c r="D898">
        <f t="shared" si="411"/>
        <v>36</v>
      </c>
      <c r="E898" s="2">
        <v>0</v>
      </c>
      <c r="F898">
        <f t="shared" si="412"/>
        <v>91</v>
      </c>
      <c r="G898">
        <f t="shared" si="413"/>
        <v>0.77300000000000002</v>
      </c>
      <c r="H898" s="3">
        <f t="shared" si="403"/>
        <v>0.05</v>
      </c>
      <c r="I898" s="2">
        <v>2</v>
      </c>
      <c r="J898" s="2">
        <v>0</v>
      </c>
      <c r="K898" s="2">
        <v>1</v>
      </c>
      <c r="L898" s="16">
        <v>3</v>
      </c>
      <c r="M898" s="5">
        <f t="shared" si="414"/>
        <v>830</v>
      </c>
      <c r="N898" s="6">
        <f t="shared" si="415"/>
        <v>73.860150000000004</v>
      </c>
      <c r="O898">
        <f t="shared" si="416"/>
        <v>931.59999999999991</v>
      </c>
      <c r="P898" s="7">
        <f t="shared" si="404"/>
        <v>12.613026104062879</v>
      </c>
      <c r="Q898">
        <f>ROUNDUP(몬스터!$P$19/F898, 0)</f>
        <v>12</v>
      </c>
      <c r="R898" s="6">
        <f t="shared" si="417"/>
        <v>15.523932729624837</v>
      </c>
      <c r="S898" s="7">
        <f>B898/몬스터!$C$19*R898</f>
        <v>253.06939393199735</v>
      </c>
      <c r="U898">
        <f>ROUNDDOWN(R898*몬스터!$H$19, 0)*몬스터!$G$19*(1+몬스터!$I$19)</f>
        <v>1002.375</v>
      </c>
      <c r="V898" s="2">
        <f t="shared" si="405"/>
        <v>1.0759714469729498</v>
      </c>
    </row>
    <row r="899" spans="1:22" x14ac:dyDescent="0.4">
      <c r="A899">
        <v>55</v>
      </c>
      <c r="B899" s="4">
        <f>160*A899</f>
        <v>8800</v>
      </c>
      <c r="C899">
        <f t="shared" si="410"/>
        <v>695</v>
      </c>
      <c r="D899">
        <f t="shared" si="411"/>
        <v>36</v>
      </c>
      <c r="E899" s="2">
        <v>0</v>
      </c>
      <c r="F899">
        <f t="shared" si="412"/>
        <v>92</v>
      </c>
      <c r="G899">
        <f t="shared" si="413"/>
        <v>0.77500000000000002</v>
      </c>
      <c r="H899" s="3">
        <f t="shared" si="403"/>
        <v>0.05</v>
      </c>
      <c r="I899" s="2">
        <v>2</v>
      </c>
      <c r="J899" s="2">
        <v>0</v>
      </c>
      <c r="K899" s="2">
        <v>1</v>
      </c>
      <c r="L899" s="16">
        <v>3</v>
      </c>
      <c r="M899" s="5">
        <f t="shared" si="414"/>
        <v>840</v>
      </c>
      <c r="N899" s="6">
        <f t="shared" si="415"/>
        <v>74.864999999999995</v>
      </c>
      <c r="O899">
        <f t="shared" si="416"/>
        <v>945.19999999999993</v>
      </c>
      <c r="P899" s="7">
        <f t="shared" si="404"/>
        <v>12.625392372937956</v>
      </c>
      <c r="Q899">
        <f>ROUNDUP(몬스터!$P$19/F899, 0)</f>
        <v>12</v>
      </c>
      <c r="R899" s="6">
        <f t="shared" si="417"/>
        <v>15.483870967741934</v>
      </c>
      <c r="S899" s="7">
        <f>B899/몬스터!$C$19*R899</f>
        <v>257.09068776628118</v>
      </c>
      <c r="T899" s="7">
        <f t="shared" ref="T899" si="422">SUM(S895:S899)</f>
        <v>1306.2703054437209</v>
      </c>
      <c r="U899">
        <f>ROUNDDOWN(R899*몬스터!$H$19, 0)*몬스터!$G$19*(1+몬스터!$I$19)</f>
        <v>1002.375</v>
      </c>
      <c r="V899" s="2">
        <f t="shared" si="405"/>
        <v>1.0604898434193821</v>
      </c>
    </row>
    <row r="900" spans="1:22" x14ac:dyDescent="0.4">
      <c r="A900">
        <v>56</v>
      </c>
      <c r="B900" s="4">
        <f>170*A900</f>
        <v>9520</v>
      </c>
      <c r="C900">
        <f t="shared" si="410"/>
        <v>705</v>
      </c>
      <c r="D900">
        <f t="shared" si="411"/>
        <v>36</v>
      </c>
      <c r="E900" s="2">
        <v>0</v>
      </c>
      <c r="F900">
        <f t="shared" si="412"/>
        <v>93</v>
      </c>
      <c r="G900">
        <f t="shared" si="413"/>
        <v>0.77700000000000002</v>
      </c>
      <c r="H900" s="3">
        <f t="shared" si="403"/>
        <v>0.05</v>
      </c>
      <c r="I900" s="2">
        <v>2</v>
      </c>
      <c r="J900" s="2">
        <v>0</v>
      </c>
      <c r="K900" s="2">
        <v>1</v>
      </c>
      <c r="L900" s="16">
        <v>3</v>
      </c>
      <c r="M900" s="5">
        <f t="shared" si="414"/>
        <v>850</v>
      </c>
      <c r="N900" s="6">
        <f t="shared" si="415"/>
        <v>75.874049999999997</v>
      </c>
      <c r="O900">
        <f t="shared" si="416"/>
        <v>958.8</v>
      </c>
      <c r="P900" s="7">
        <f t="shared" si="404"/>
        <v>12.636731530740747</v>
      </c>
      <c r="Q900">
        <f>ROUNDUP(몬스터!$P$20/F900, 0)</f>
        <v>13</v>
      </c>
      <c r="R900" s="6">
        <f t="shared" si="417"/>
        <v>16.73101673101673</v>
      </c>
      <c r="S900" s="7">
        <f>B900/몬스터!$C$20*R900</f>
        <v>274.61944703324014</v>
      </c>
      <c r="U900">
        <f>ROUNDDOWN(R900*몬스터!$H$20, 0)*몬스터!$G$20*(1+몬스터!$I$20)</f>
        <v>1195.92</v>
      </c>
      <c r="V900" s="2">
        <f t="shared" si="405"/>
        <v>1.2473091364205258</v>
      </c>
    </row>
    <row r="901" spans="1:22" x14ac:dyDescent="0.4">
      <c r="A901">
        <v>57</v>
      </c>
      <c r="B901" s="4">
        <f>170*A901</f>
        <v>9690</v>
      </c>
      <c r="C901">
        <f t="shared" si="410"/>
        <v>715</v>
      </c>
      <c r="D901">
        <f t="shared" si="411"/>
        <v>37</v>
      </c>
      <c r="E901" s="2">
        <v>0</v>
      </c>
      <c r="F901">
        <f t="shared" si="412"/>
        <v>95</v>
      </c>
      <c r="G901">
        <f t="shared" si="413"/>
        <v>0.77900000000000003</v>
      </c>
      <c r="H901" s="3">
        <f t="shared" si="403"/>
        <v>0.05</v>
      </c>
      <c r="I901" s="2">
        <v>2</v>
      </c>
      <c r="J901" s="2">
        <v>0</v>
      </c>
      <c r="K901" s="2">
        <v>1</v>
      </c>
      <c r="L901" s="16">
        <v>3</v>
      </c>
      <c r="M901" s="5">
        <f t="shared" si="414"/>
        <v>860</v>
      </c>
      <c r="N901" s="6">
        <f t="shared" si="415"/>
        <v>77.705249999999992</v>
      </c>
      <c r="O901">
        <f t="shared" si="416"/>
        <v>979.55000000000007</v>
      </c>
      <c r="P901" s="7">
        <f t="shared" si="404"/>
        <v>12.605969352135153</v>
      </c>
      <c r="Q901">
        <f>ROUNDUP(몬스터!$P$20/F901, 0)</f>
        <v>13</v>
      </c>
      <c r="R901" s="6">
        <f t="shared" si="417"/>
        <v>16.688061617458278</v>
      </c>
      <c r="S901" s="7">
        <f>B901/몬스터!$C$20*R901</f>
        <v>278.80571909167367</v>
      </c>
      <c r="U901">
        <f>ROUNDDOWN(R901*몬스터!$H$20, 0)*몬스터!$G$20*(1+몬스터!$I$20)</f>
        <v>1195.92</v>
      </c>
      <c r="V901" s="2">
        <f t="shared" si="405"/>
        <v>1.2208871420550254</v>
      </c>
    </row>
    <row r="902" spans="1:22" x14ac:dyDescent="0.4">
      <c r="A902">
        <v>58</v>
      </c>
      <c r="B902" s="4">
        <f>170*A902</f>
        <v>9860</v>
      </c>
      <c r="C902">
        <f t="shared" si="410"/>
        <v>725</v>
      </c>
      <c r="D902">
        <f t="shared" si="411"/>
        <v>37</v>
      </c>
      <c r="E902" s="2">
        <v>0</v>
      </c>
      <c r="F902">
        <f t="shared" si="412"/>
        <v>96</v>
      </c>
      <c r="G902">
        <f t="shared" si="413"/>
        <v>0.78100000000000003</v>
      </c>
      <c r="H902" s="3">
        <f t="shared" si="403"/>
        <v>0.05</v>
      </c>
      <c r="I902" s="2">
        <v>2</v>
      </c>
      <c r="J902" s="2">
        <v>0</v>
      </c>
      <c r="K902" s="2">
        <v>1</v>
      </c>
      <c r="L902" s="16">
        <v>3</v>
      </c>
      <c r="M902" s="5">
        <f t="shared" si="414"/>
        <v>870</v>
      </c>
      <c r="N902" s="6">
        <f t="shared" si="415"/>
        <v>78.724800000000002</v>
      </c>
      <c r="O902">
        <f t="shared" si="416"/>
        <v>993.25000000000011</v>
      </c>
      <c r="P902" s="7">
        <f t="shared" si="404"/>
        <v>12.61673576814422</v>
      </c>
      <c r="Q902">
        <f>ROUNDUP(몬스터!$P$20/F902, 0)</f>
        <v>13</v>
      </c>
      <c r="R902" s="6">
        <f t="shared" si="417"/>
        <v>16.645326504481435</v>
      </c>
      <c r="S902" s="7">
        <f>B902/몬스터!$C$20*R902</f>
        <v>282.97055057618439</v>
      </c>
      <c r="U902">
        <f>ROUNDDOWN(R902*몬스터!$H$20, 0)*몬스터!$G$20*(1+몬스터!$I$20)</f>
        <v>1195.92</v>
      </c>
      <c r="V902" s="2">
        <f t="shared" si="405"/>
        <v>1.2040473194059904</v>
      </c>
    </row>
    <row r="903" spans="1:22" x14ac:dyDescent="0.4">
      <c r="A903">
        <v>59</v>
      </c>
      <c r="B903" s="4">
        <f>170*A903</f>
        <v>10030</v>
      </c>
      <c r="C903">
        <f t="shared" si="410"/>
        <v>735</v>
      </c>
      <c r="D903">
        <f t="shared" si="411"/>
        <v>37</v>
      </c>
      <c r="E903" s="2">
        <v>0</v>
      </c>
      <c r="F903">
        <f t="shared" si="412"/>
        <v>97</v>
      </c>
      <c r="G903">
        <f t="shared" si="413"/>
        <v>0.78300000000000003</v>
      </c>
      <c r="H903" s="3">
        <f t="shared" si="403"/>
        <v>0.05</v>
      </c>
      <c r="I903" s="2">
        <v>2</v>
      </c>
      <c r="J903" s="2">
        <v>0</v>
      </c>
      <c r="K903" s="2">
        <v>1</v>
      </c>
      <c r="L903" s="16">
        <v>3</v>
      </c>
      <c r="M903" s="5">
        <f t="shared" si="414"/>
        <v>880</v>
      </c>
      <c r="N903" s="6">
        <f t="shared" si="415"/>
        <v>79.748550000000009</v>
      </c>
      <c r="O903">
        <f t="shared" si="416"/>
        <v>1006.95</v>
      </c>
      <c r="P903" s="7">
        <f t="shared" si="404"/>
        <v>12.626561862253293</v>
      </c>
      <c r="Q903">
        <f>ROUNDUP(몬스터!$P$20/F903, 0)</f>
        <v>13</v>
      </c>
      <c r="R903" s="6">
        <f t="shared" si="417"/>
        <v>16.602809706257982</v>
      </c>
      <c r="S903" s="7">
        <f>B903/몬스터!$C$20*R903</f>
        <v>287.11410578235785</v>
      </c>
      <c r="U903">
        <f>ROUNDDOWN(R903*몬스터!$H$20, 0)*몬스터!$G$20*(1+몬스터!$I$20)</f>
        <v>1195.92</v>
      </c>
      <c r="V903" s="2">
        <f t="shared" si="405"/>
        <v>1.1876657232235961</v>
      </c>
    </row>
    <row r="904" spans="1:22" x14ac:dyDescent="0.4">
      <c r="A904">
        <v>60</v>
      </c>
      <c r="B904" s="4">
        <f>170*A904</f>
        <v>10200</v>
      </c>
      <c r="C904">
        <f t="shared" si="410"/>
        <v>745</v>
      </c>
      <c r="D904">
        <f t="shared" si="411"/>
        <v>38</v>
      </c>
      <c r="E904" s="2">
        <v>0</v>
      </c>
      <c r="F904">
        <f t="shared" si="412"/>
        <v>99</v>
      </c>
      <c r="G904">
        <f t="shared" si="413"/>
        <v>0.78500000000000003</v>
      </c>
      <c r="H904" s="3">
        <f t="shared" si="403"/>
        <v>0.05</v>
      </c>
      <c r="I904" s="2">
        <v>2</v>
      </c>
      <c r="J904" s="2">
        <v>0</v>
      </c>
      <c r="K904" s="2">
        <v>1</v>
      </c>
      <c r="L904" s="16">
        <v>3</v>
      </c>
      <c r="M904" s="5">
        <f t="shared" si="414"/>
        <v>890</v>
      </c>
      <c r="N904" s="6">
        <f t="shared" si="415"/>
        <v>81.600750000000005</v>
      </c>
      <c r="O904">
        <f t="shared" si="416"/>
        <v>1028.0999999999999</v>
      </c>
      <c r="P904" s="7">
        <f t="shared" si="404"/>
        <v>12.599148904881387</v>
      </c>
      <c r="Q904">
        <f>ROUNDUP(몬스터!$P$20/F904, 0)</f>
        <v>13</v>
      </c>
      <c r="R904" s="6">
        <f t="shared" si="417"/>
        <v>16.560509554140125</v>
      </c>
      <c r="S904" s="7">
        <f>B904/몬스터!$C$20*R904</f>
        <v>291.23654733142979</v>
      </c>
      <c r="T904" s="7">
        <f t="shared" ref="T904" si="423">SUM(S900:S904)</f>
        <v>1414.7463698148861</v>
      </c>
      <c r="U904">
        <f>ROUNDDOWN(R904*몬스터!$H$20, 0)*몬스터!$G$20*(1+몬스터!$I$20)</f>
        <v>1195.92</v>
      </c>
      <c r="V904" s="2">
        <f t="shared" si="405"/>
        <v>1.163233148526408</v>
      </c>
    </row>
    <row r="905" spans="1:22" x14ac:dyDescent="0.4">
      <c r="A905">
        <v>61</v>
      </c>
      <c r="B905" s="4">
        <f>160*A905-320</f>
        <v>9440</v>
      </c>
      <c r="C905">
        <f t="shared" si="410"/>
        <v>755</v>
      </c>
      <c r="D905">
        <f t="shared" si="411"/>
        <v>38</v>
      </c>
      <c r="E905" s="2">
        <v>0</v>
      </c>
      <c r="F905">
        <f t="shared" si="412"/>
        <v>100</v>
      </c>
      <c r="G905">
        <f t="shared" si="413"/>
        <v>0.78700000000000003</v>
      </c>
      <c r="H905" s="3">
        <f t="shared" si="403"/>
        <v>0.05</v>
      </c>
      <c r="I905" s="2">
        <v>2</v>
      </c>
      <c r="J905" s="2">
        <v>0</v>
      </c>
      <c r="K905" s="2">
        <v>1</v>
      </c>
      <c r="L905" s="16">
        <v>3</v>
      </c>
      <c r="M905" s="5">
        <f t="shared" si="414"/>
        <v>900</v>
      </c>
      <c r="N905" s="6">
        <f t="shared" si="415"/>
        <v>82.635000000000005</v>
      </c>
      <c r="O905">
        <f t="shared" si="416"/>
        <v>1041.8999999999999</v>
      </c>
      <c r="P905" s="7">
        <f t="shared" si="404"/>
        <v>12.608458885460154</v>
      </c>
      <c r="Q905">
        <f>ROUNDUP(몬스터!$P$23/F905, 0)</f>
        <v>14</v>
      </c>
      <c r="R905" s="6">
        <f t="shared" si="417"/>
        <v>17.789072426937736</v>
      </c>
      <c r="S905" s="7">
        <f>B905/몬스터!$C$23*R905</f>
        <v>266.55372017506704</v>
      </c>
      <c r="U905">
        <f>ROUNDDOWN(R905*몬스터!$H$23, 0)*몬스터!$G$23*(1+몬스터!$I$23)</f>
        <v>1532.16</v>
      </c>
      <c r="V905" s="2">
        <f t="shared" si="405"/>
        <v>1.4705441980996259</v>
      </c>
    </row>
    <row r="906" spans="1:22" x14ac:dyDescent="0.4">
      <c r="A906">
        <v>62</v>
      </c>
      <c r="B906" s="4">
        <f>160*A906</f>
        <v>9920</v>
      </c>
      <c r="C906">
        <f t="shared" si="410"/>
        <v>765</v>
      </c>
      <c r="D906">
        <f t="shared" si="411"/>
        <v>38</v>
      </c>
      <c r="E906" s="2">
        <v>0</v>
      </c>
      <c r="F906">
        <f t="shared" si="412"/>
        <v>101</v>
      </c>
      <c r="G906">
        <f t="shared" si="413"/>
        <v>0.78900000000000003</v>
      </c>
      <c r="H906" s="3">
        <f t="shared" si="403"/>
        <v>0.05</v>
      </c>
      <c r="I906" s="2">
        <v>2</v>
      </c>
      <c r="J906" s="2">
        <v>0</v>
      </c>
      <c r="K906" s="2">
        <v>1</v>
      </c>
      <c r="L906" s="16">
        <v>3</v>
      </c>
      <c r="M906" s="5">
        <f t="shared" si="414"/>
        <v>910</v>
      </c>
      <c r="N906" s="6">
        <f t="shared" si="415"/>
        <v>83.673450000000017</v>
      </c>
      <c r="O906">
        <f t="shared" si="416"/>
        <v>1055.6999999999998</v>
      </c>
      <c r="P906" s="7">
        <f t="shared" si="404"/>
        <v>12.616905362453677</v>
      </c>
      <c r="Q906">
        <f>ROUNDUP(몬스터!$P$23/F906, 0)</f>
        <v>14</v>
      </c>
      <c r="R906" s="6">
        <f t="shared" si="417"/>
        <v>17.743979721166031</v>
      </c>
      <c r="S906" s="7">
        <f>B906/몬스터!$C$23*R906</f>
        <v>279.39726799042387</v>
      </c>
      <c r="U906">
        <f>ROUNDDOWN(R906*몬스터!$H$23, 0)*몬스터!$G$23*(1+몬스터!$I$23)</f>
        <v>1532.16</v>
      </c>
      <c r="V906" s="2">
        <f t="shared" si="405"/>
        <v>1.4513213981244675</v>
      </c>
    </row>
    <row r="907" spans="1:22" x14ac:dyDescent="0.4">
      <c r="A907">
        <v>63</v>
      </c>
      <c r="B907" s="4">
        <f>160*A907</f>
        <v>10080</v>
      </c>
      <c r="C907">
        <f t="shared" si="410"/>
        <v>775</v>
      </c>
      <c r="D907">
        <f t="shared" si="411"/>
        <v>38</v>
      </c>
      <c r="E907" s="2">
        <v>0</v>
      </c>
      <c r="F907">
        <f t="shared" si="412"/>
        <v>103</v>
      </c>
      <c r="G907">
        <f t="shared" si="413"/>
        <v>0.79100000000000004</v>
      </c>
      <c r="H907" s="3">
        <f t="shared" si="403"/>
        <v>0.05</v>
      </c>
      <c r="I907" s="2">
        <v>2</v>
      </c>
      <c r="J907" s="2">
        <v>0</v>
      </c>
      <c r="K907" s="2">
        <v>1</v>
      </c>
      <c r="L907" s="16">
        <v>3</v>
      </c>
      <c r="M907" s="5">
        <f t="shared" si="414"/>
        <v>920</v>
      </c>
      <c r="N907" s="6">
        <f t="shared" si="415"/>
        <v>85.54665</v>
      </c>
      <c r="O907">
        <f t="shared" si="416"/>
        <v>1069.5</v>
      </c>
      <c r="P907" s="7">
        <f t="shared" si="404"/>
        <v>12.501950690062088</v>
      </c>
      <c r="Q907">
        <f>ROUNDUP(몬스터!$P$23/F907, 0)</f>
        <v>14</v>
      </c>
      <c r="R907" s="6">
        <f t="shared" si="417"/>
        <v>17.699115044247787</v>
      </c>
      <c r="S907" s="7">
        <f>B907/몬스터!$C$23*R907</f>
        <v>283.18584070796459</v>
      </c>
      <c r="U907">
        <f>ROUNDDOWN(R907*몬스터!$H$23, 0)*몬스터!$G$23*(1+몬스터!$I$23)</f>
        <v>1532.16</v>
      </c>
      <c r="V907" s="2">
        <f t="shared" si="405"/>
        <v>1.4325946704067323</v>
      </c>
    </row>
    <row r="908" spans="1:22" x14ac:dyDescent="0.4">
      <c r="A908">
        <v>64</v>
      </c>
      <c r="B908" s="4">
        <f>160*A908</f>
        <v>10240</v>
      </c>
      <c r="C908">
        <f t="shared" si="410"/>
        <v>785</v>
      </c>
      <c r="D908">
        <f t="shared" si="411"/>
        <v>39</v>
      </c>
      <c r="E908" s="2">
        <v>0</v>
      </c>
      <c r="F908">
        <f t="shared" si="412"/>
        <v>104</v>
      </c>
      <c r="G908">
        <f t="shared" si="413"/>
        <v>0.79300000000000004</v>
      </c>
      <c r="H908" s="3">
        <f t="shared" si="403"/>
        <v>0.05</v>
      </c>
      <c r="I908" s="2">
        <v>2</v>
      </c>
      <c r="J908" s="2">
        <v>0</v>
      </c>
      <c r="K908" s="2">
        <v>1</v>
      </c>
      <c r="L908" s="16">
        <v>3</v>
      </c>
      <c r="M908" s="5">
        <f t="shared" si="414"/>
        <v>930</v>
      </c>
      <c r="N908" s="6">
        <f t="shared" si="415"/>
        <v>86.595600000000019</v>
      </c>
      <c r="O908">
        <f t="shared" si="416"/>
        <v>1091.1500000000001</v>
      </c>
      <c r="P908" s="7">
        <f t="shared" si="404"/>
        <v>12.600524737977448</v>
      </c>
      <c r="Q908">
        <f>ROUNDUP(몬스터!$P$23/F908, 0)</f>
        <v>13</v>
      </c>
      <c r="R908" s="6">
        <f t="shared" si="417"/>
        <v>16.393442622950818</v>
      </c>
      <c r="S908" s="7">
        <f>B908/몬스터!$C$23*R908</f>
        <v>266.45849596669262</v>
      </c>
      <c r="U908">
        <f>ROUNDDOWN(R908*몬스터!$H$23, 0)*몬스터!$G$23*(1+몬스터!$I$23)</f>
        <v>1313.2800000000002</v>
      </c>
      <c r="V908" s="2">
        <f t="shared" si="405"/>
        <v>1.2035742106951381</v>
      </c>
    </row>
    <row r="909" spans="1:22" x14ac:dyDescent="0.4">
      <c r="A909">
        <v>65</v>
      </c>
      <c r="B909" s="4">
        <f>160*A909</f>
        <v>10400</v>
      </c>
      <c r="C909">
        <f t="shared" ref="C909:C944" si="424">MROUND((150+A909*11)*0.92,5)</f>
        <v>795</v>
      </c>
      <c r="D909">
        <f t="shared" ref="D909:D944" si="425">ROUNDDOWN((20+A909*0.3), 0)</f>
        <v>39</v>
      </c>
      <c r="E909" s="2">
        <v>0</v>
      </c>
      <c r="F909">
        <f t="shared" ref="F909:F944" si="426">ROUND((28+A909*2)*2/3, 0)</f>
        <v>105</v>
      </c>
      <c r="G909">
        <f t="shared" ref="G909:G944" si="427">0.665+0.002*A909</f>
        <v>0.79500000000000004</v>
      </c>
      <c r="H909" s="3">
        <f t="shared" si="403"/>
        <v>0.05</v>
      </c>
      <c r="I909" s="2">
        <v>2</v>
      </c>
      <c r="J909" s="2">
        <v>0</v>
      </c>
      <c r="K909" s="2">
        <v>1</v>
      </c>
      <c r="L909" s="16">
        <v>3</v>
      </c>
      <c r="M909" s="5">
        <f t="shared" ref="M909:M944" si="428">290+10*A909</f>
        <v>940</v>
      </c>
      <c r="N909" s="6">
        <f t="shared" ref="N909:N944" si="429">F909*G909*(1+H909)</f>
        <v>87.648750000000007</v>
      </c>
      <c r="O909">
        <f t="shared" ref="O909:O944" si="430">C909*(1+D909/100)*(1+E909)</f>
        <v>1105.0500000000002</v>
      </c>
      <c r="P909" s="7">
        <f t="shared" si="404"/>
        <v>12.607709750566894</v>
      </c>
      <c r="Q909">
        <f>ROUNDUP(몬스터!$P$23/F909, 0)</f>
        <v>13</v>
      </c>
      <c r="R909" s="6">
        <f t="shared" ref="R909:R940" si="431">Q909/G909</f>
        <v>16.352201257861633</v>
      </c>
      <c r="S909" s="7">
        <f>B909/몬스터!$C$23*R909</f>
        <v>269.94110012977939</v>
      </c>
      <c r="T909" s="7">
        <f t="shared" ref="T909" si="432">SUM(S905:S909)</f>
        <v>1365.5364249699276</v>
      </c>
      <c r="U909">
        <f>ROUNDDOWN(R909*몬스터!$H$23, 0)*몬스터!$G$23*(1+몬스터!$I$23)</f>
        <v>1313.2800000000002</v>
      </c>
      <c r="V909" s="2">
        <f t="shared" si="405"/>
        <v>1.1884349124474005</v>
      </c>
    </row>
    <row r="910" spans="1:22" x14ac:dyDescent="0.4">
      <c r="A910">
        <v>66</v>
      </c>
      <c r="B910" s="4">
        <f>170*A910-680</f>
        <v>10540</v>
      </c>
      <c r="C910">
        <f t="shared" si="424"/>
        <v>805</v>
      </c>
      <c r="D910">
        <f t="shared" si="425"/>
        <v>39</v>
      </c>
      <c r="E910" s="2">
        <v>0</v>
      </c>
      <c r="F910">
        <f t="shared" si="426"/>
        <v>107</v>
      </c>
      <c r="G910">
        <f t="shared" si="427"/>
        <v>0.79700000000000004</v>
      </c>
      <c r="H910" s="3">
        <f t="shared" ref="H910:H944" si="433">0.05</f>
        <v>0.05</v>
      </c>
      <c r="I910" s="2">
        <v>2</v>
      </c>
      <c r="J910" s="2">
        <v>0</v>
      </c>
      <c r="K910" s="2">
        <v>1</v>
      </c>
      <c r="L910" s="16">
        <v>3</v>
      </c>
      <c r="M910" s="5">
        <f t="shared" si="428"/>
        <v>950</v>
      </c>
      <c r="N910" s="6">
        <f t="shared" si="429"/>
        <v>89.542950000000019</v>
      </c>
      <c r="O910">
        <f t="shared" si="430"/>
        <v>1118.95</v>
      </c>
      <c r="P910" s="7">
        <f t="shared" ref="P910:P944" si="434">O910/N910</f>
        <v>12.496237838936509</v>
      </c>
      <c r="Q910">
        <f>ROUNDUP(몬스터!$P$24/F910, 0)</f>
        <v>14</v>
      </c>
      <c r="R910" s="6">
        <f t="shared" si="431"/>
        <v>17.565872020075282</v>
      </c>
      <c r="S910" s="7">
        <f>B910/몬스터!$C$24*R910</f>
        <v>272.27101631116687</v>
      </c>
      <c r="U910">
        <f>ROUNDDOWN(R910*몬스터!$H$24, 0)*몬스터!$G$24*(1+몬스터!$I$24)</f>
        <v>1654.6949999999999</v>
      </c>
      <c r="V910" s="2">
        <f t="shared" ref="V910:V944" si="435">U910/O910</f>
        <v>1.4787926180794493</v>
      </c>
    </row>
    <row r="911" spans="1:22" x14ac:dyDescent="0.4">
      <c r="A911">
        <v>67</v>
      </c>
      <c r="B911" s="4">
        <f>170*A911</f>
        <v>11390</v>
      </c>
      <c r="C911">
        <f t="shared" si="424"/>
        <v>815</v>
      </c>
      <c r="D911">
        <f t="shared" si="425"/>
        <v>40</v>
      </c>
      <c r="E911" s="2">
        <v>0</v>
      </c>
      <c r="F911">
        <f t="shared" si="426"/>
        <v>108</v>
      </c>
      <c r="G911">
        <f t="shared" si="427"/>
        <v>0.79900000000000004</v>
      </c>
      <c r="H911" s="3">
        <f t="shared" si="433"/>
        <v>0.05</v>
      </c>
      <c r="I911" s="2">
        <v>2</v>
      </c>
      <c r="J911" s="2">
        <v>0</v>
      </c>
      <c r="K911" s="2">
        <v>1</v>
      </c>
      <c r="L911" s="16">
        <v>3</v>
      </c>
      <c r="M911" s="5">
        <f t="shared" si="428"/>
        <v>960</v>
      </c>
      <c r="N911" s="6">
        <f t="shared" si="429"/>
        <v>90.6066</v>
      </c>
      <c r="O911">
        <f t="shared" si="430"/>
        <v>1141</v>
      </c>
      <c r="P911" s="7">
        <f t="shared" si="434"/>
        <v>12.592901620853228</v>
      </c>
      <c r="Q911">
        <f>ROUNDUP(몬스터!$P$24/F911, 0)</f>
        <v>14</v>
      </c>
      <c r="R911" s="6">
        <f t="shared" si="431"/>
        <v>17.521902377972463</v>
      </c>
      <c r="S911" s="7">
        <f>B911/몬스터!$C$24*R911</f>
        <v>293.49186483103875</v>
      </c>
      <c r="U911">
        <f>ROUNDDOWN(R911*몬스터!$H$24, 0)*몬스터!$G$24*(1+몬스터!$I$24)</f>
        <v>1654.6949999999999</v>
      </c>
      <c r="V911" s="2">
        <f t="shared" si="435"/>
        <v>1.4502147239263803</v>
      </c>
    </row>
    <row r="912" spans="1:22" x14ac:dyDescent="0.4">
      <c r="A912">
        <v>68</v>
      </c>
      <c r="B912" s="4">
        <f>170*A912</f>
        <v>11560</v>
      </c>
      <c r="C912">
        <f t="shared" si="424"/>
        <v>825</v>
      </c>
      <c r="D912">
        <f t="shared" si="425"/>
        <v>40</v>
      </c>
      <c r="E912" s="2">
        <v>0</v>
      </c>
      <c r="F912">
        <f t="shared" si="426"/>
        <v>109</v>
      </c>
      <c r="G912">
        <f t="shared" si="427"/>
        <v>0.80100000000000005</v>
      </c>
      <c r="H912" s="3">
        <f t="shared" si="433"/>
        <v>0.05</v>
      </c>
      <c r="I912" s="2">
        <v>2</v>
      </c>
      <c r="J912" s="2">
        <v>0</v>
      </c>
      <c r="K912" s="2">
        <v>1</v>
      </c>
      <c r="L912" s="16">
        <v>3</v>
      </c>
      <c r="M912" s="5">
        <f t="shared" si="428"/>
        <v>970</v>
      </c>
      <c r="N912" s="6">
        <f t="shared" si="429"/>
        <v>91.674450000000022</v>
      </c>
      <c r="O912">
        <f t="shared" si="430"/>
        <v>1155</v>
      </c>
      <c r="P912" s="7">
        <f t="shared" si="434"/>
        <v>12.598930236287206</v>
      </c>
      <c r="Q912">
        <f>ROUNDUP(몬스터!$P$24/F912, 0)</f>
        <v>14</v>
      </c>
      <c r="R912" s="6">
        <f t="shared" si="431"/>
        <v>17.478152309612984</v>
      </c>
      <c r="S912" s="7">
        <f>B912/몬스터!$C$24*R912</f>
        <v>297.12858926342074</v>
      </c>
      <c r="U912">
        <f>ROUNDDOWN(R912*몬스터!$H$24, 0)*몬스터!$G$24*(1+몬스터!$I$24)</f>
        <v>1654.6949999999999</v>
      </c>
      <c r="V912" s="2">
        <f t="shared" si="435"/>
        <v>1.4326363636363635</v>
      </c>
    </row>
    <row r="913" spans="1:22" x14ac:dyDescent="0.4">
      <c r="A913">
        <v>69</v>
      </c>
      <c r="B913" s="4">
        <f>170*A913</f>
        <v>11730</v>
      </c>
      <c r="C913">
        <f t="shared" si="424"/>
        <v>835</v>
      </c>
      <c r="D913">
        <f t="shared" si="425"/>
        <v>40</v>
      </c>
      <c r="E913" s="2">
        <v>0</v>
      </c>
      <c r="F913">
        <f t="shared" si="426"/>
        <v>111</v>
      </c>
      <c r="G913">
        <f t="shared" si="427"/>
        <v>0.80300000000000005</v>
      </c>
      <c r="H913" s="3">
        <f t="shared" si="433"/>
        <v>0.05</v>
      </c>
      <c r="I913" s="2">
        <v>2</v>
      </c>
      <c r="J913" s="2">
        <v>0</v>
      </c>
      <c r="K913" s="2">
        <v>1</v>
      </c>
      <c r="L913" s="16">
        <v>3</v>
      </c>
      <c r="M913" s="5">
        <f t="shared" si="428"/>
        <v>980</v>
      </c>
      <c r="N913" s="6">
        <f t="shared" si="429"/>
        <v>93.58965000000002</v>
      </c>
      <c r="O913">
        <f t="shared" si="430"/>
        <v>1169</v>
      </c>
      <c r="P913" s="7">
        <f t="shared" si="434"/>
        <v>12.490697422204269</v>
      </c>
      <c r="Q913">
        <f>ROUNDUP(몬스터!$P$24/F913, 0)</f>
        <v>14</v>
      </c>
      <c r="R913" s="6">
        <f t="shared" si="431"/>
        <v>17.4346201743462</v>
      </c>
      <c r="S913" s="7">
        <f>B913/몬스터!$C$24*R913</f>
        <v>300.74719800747198</v>
      </c>
      <c r="U913">
        <f>ROUNDDOWN(R913*몬스터!$H$24, 0)*몬스터!$G$24*(1+몬스터!$I$24)</f>
        <v>1654.6949999999999</v>
      </c>
      <c r="V913" s="2">
        <f t="shared" si="435"/>
        <v>1.4154790419161676</v>
      </c>
    </row>
    <row r="914" spans="1:22" x14ac:dyDescent="0.4">
      <c r="A914">
        <v>70</v>
      </c>
      <c r="B914" s="4">
        <f>170*A914</f>
        <v>11900</v>
      </c>
      <c r="C914">
        <f t="shared" si="424"/>
        <v>845</v>
      </c>
      <c r="D914">
        <f t="shared" si="425"/>
        <v>41</v>
      </c>
      <c r="E914" s="2">
        <v>0</v>
      </c>
      <c r="F914">
        <f t="shared" si="426"/>
        <v>112</v>
      </c>
      <c r="G914">
        <f t="shared" si="427"/>
        <v>0.80500000000000005</v>
      </c>
      <c r="H914" s="3">
        <f t="shared" si="433"/>
        <v>0.05</v>
      </c>
      <c r="I914" s="2">
        <v>2</v>
      </c>
      <c r="J914" s="2">
        <v>0</v>
      </c>
      <c r="K914" s="2">
        <v>1</v>
      </c>
      <c r="L914" s="16">
        <v>3</v>
      </c>
      <c r="M914" s="5">
        <f t="shared" si="428"/>
        <v>990</v>
      </c>
      <c r="N914" s="6">
        <f t="shared" si="429"/>
        <v>94.668000000000021</v>
      </c>
      <c r="O914">
        <f t="shared" si="430"/>
        <v>1191.45</v>
      </c>
      <c r="P914" s="7">
        <f t="shared" si="434"/>
        <v>12.585562175180629</v>
      </c>
      <c r="Q914">
        <f>ROUNDUP(몬스터!$P$24/F914, 0)</f>
        <v>14</v>
      </c>
      <c r="R914" s="6">
        <f t="shared" si="431"/>
        <v>17.391304347826086</v>
      </c>
      <c r="S914" s="7">
        <f>B914/몬스터!$C$24*R914</f>
        <v>304.3478260869565</v>
      </c>
      <c r="T914" s="7">
        <f t="shared" ref="T914" si="436">SUM(S910:S914)</f>
        <v>1467.986494500055</v>
      </c>
      <c r="U914">
        <f>ROUNDDOWN(R914*몬스터!$H$24, 0)*몬스터!$G$24*(1+몬스터!$I$24)</f>
        <v>1654.6949999999999</v>
      </c>
      <c r="V914" s="2">
        <f t="shared" si="435"/>
        <v>1.3888077552562004</v>
      </c>
    </row>
    <row r="915" spans="1:22" x14ac:dyDescent="0.4">
      <c r="A915">
        <v>71</v>
      </c>
      <c r="B915" s="4">
        <f>160*A915</f>
        <v>11360</v>
      </c>
      <c r="C915">
        <f t="shared" si="424"/>
        <v>855</v>
      </c>
      <c r="D915">
        <f t="shared" si="425"/>
        <v>41</v>
      </c>
      <c r="E915" s="2">
        <v>0</v>
      </c>
      <c r="F915">
        <f t="shared" si="426"/>
        <v>113</v>
      </c>
      <c r="G915">
        <f t="shared" si="427"/>
        <v>0.80700000000000005</v>
      </c>
      <c r="H915" s="3">
        <f t="shared" si="433"/>
        <v>0.05</v>
      </c>
      <c r="I915" s="2">
        <v>2</v>
      </c>
      <c r="J915" s="2">
        <v>0</v>
      </c>
      <c r="K915" s="2">
        <v>1</v>
      </c>
      <c r="L915" s="16">
        <v>3</v>
      </c>
      <c r="M915" s="5">
        <f t="shared" si="428"/>
        <v>1000</v>
      </c>
      <c r="N915" s="6">
        <f t="shared" si="429"/>
        <v>95.750550000000004</v>
      </c>
      <c r="O915">
        <f t="shared" si="430"/>
        <v>1205.55</v>
      </c>
      <c r="P915" s="7">
        <f t="shared" si="434"/>
        <v>12.590528200621302</v>
      </c>
      <c r="Q915">
        <f>ROUNDUP(몬스터!$P$25/F915, 0)</f>
        <v>15</v>
      </c>
      <c r="R915" s="6">
        <f t="shared" si="431"/>
        <v>18.587360594795538</v>
      </c>
      <c r="S915" s="7">
        <f>B915/몬스터!$C$25*R915</f>
        <v>289.24988542037988</v>
      </c>
      <c r="U915">
        <f>ROUNDDOWN(R915*몬스터!$H$25, 0)*몬스터!$G$25*(1+몬스터!$I$25)</f>
        <v>1923.075</v>
      </c>
      <c r="V915" s="2">
        <f t="shared" si="435"/>
        <v>1.5951847704367301</v>
      </c>
    </row>
    <row r="916" spans="1:22" x14ac:dyDescent="0.4">
      <c r="A916">
        <v>72</v>
      </c>
      <c r="B916" s="4">
        <f>160*A916</f>
        <v>11520</v>
      </c>
      <c r="C916">
        <f t="shared" si="424"/>
        <v>865</v>
      </c>
      <c r="D916">
        <f t="shared" si="425"/>
        <v>41</v>
      </c>
      <c r="E916" s="2">
        <v>0</v>
      </c>
      <c r="F916">
        <f t="shared" si="426"/>
        <v>115</v>
      </c>
      <c r="G916">
        <f t="shared" si="427"/>
        <v>0.80900000000000005</v>
      </c>
      <c r="H916" s="3">
        <f t="shared" si="433"/>
        <v>0.05</v>
      </c>
      <c r="I916" s="2">
        <v>2</v>
      </c>
      <c r="J916" s="2">
        <v>0</v>
      </c>
      <c r="K916" s="2">
        <v>1</v>
      </c>
      <c r="L916" s="16">
        <v>3</v>
      </c>
      <c r="M916" s="5">
        <f t="shared" si="428"/>
        <v>1010</v>
      </c>
      <c r="N916" s="6">
        <f t="shared" si="429"/>
        <v>97.686750000000018</v>
      </c>
      <c r="O916">
        <f t="shared" si="430"/>
        <v>1219.6499999999999</v>
      </c>
      <c r="P916" s="7">
        <f t="shared" si="434"/>
        <v>12.485316585923881</v>
      </c>
      <c r="Q916">
        <f>ROUNDUP(몬스터!$P$25/F916, 0)</f>
        <v>15</v>
      </c>
      <c r="R916" s="6">
        <f t="shared" si="431"/>
        <v>18.541409147095177</v>
      </c>
      <c r="S916" s="7">
        <f>B916/몬스터!$C$25*R916</f>
        <v>292.59867585552934</v>
      </c>
      <c r="U916">
        <f>ROUNDDOWN(R916*몬스터!$H$25, 0)*몬스터!$G$25*(1+몬스터!$I$25)</f>
        <v>1923.075</v>
      </c>
      <c r="V916" s="2">
        <f t="shared" si="435"/>
        <v>1.5767433280039358</v>
      </c>
    </row>
    <row r="917" spans="1:22" x14ac:dyDescent="0.4">
      <c r="A917">
        <v>73</v>
      </c>
      <c r="B917" s="4">
        <f>160*A917</f>
        <v>11680</v>
      </c>
      <c r="C917">
        <f t="shared" si="424"/>
        <v>875</v>
      </c>
      <c r="D917">
        <f t="shared" si="425"/>
        <v>41</v>
      </c>
      <c r="E917" s="2">
        <v>0</v>
      </c>
      <c r="F917">
        <f t="shared" si="426"/>
        <v>116</v>
      </c>
      <c r="G917">
        <f t="shared" si="427"/>
        <v>0.81100000000000005</v>
      </c>
      <c r="H917" s="3">
        <f t="shared" si="433"/>
        <v>0.05</v>
      </c>
      <c r="I917" s="2">
        <v>2</v>
      </c>
      <c r="J917" s="2">
        <v>0</v>
      </c>
      <c r="K917" s="2">
        <v>1</v>
      </c>
      <c r="L917" s="16">
        <v>3</v>
      </c>
      <c r="M917" s="5">
        <f t="shared" si="428"/>
        <v>1020</v>
      </c>
      <c r="N917" s="6">
        <f t="shared" si="429"/>
        <v>98.779800000000009</v>
      </c>
      <c r="O917">
        <f t="shared" si="430"/>
        <v>1233.75</v>
      </c>
      <c r="P917" s="7">
        <f t="shared" si="434"/>
        <v>12.489901781538329</v>
      </c>
      <c r="Q917">
        <f>ROUNDUP(몬스터!$P$25/F917, 0)</f>
        <v>15</v>
      </c>
      <c r="R917" s="6">
        <f t="shared" si="431"/>
        <v>18.49568434032059</v>
      </c>
      <c r="S917" s="7">
        <f>B917/몬스터!$C$25*R917</f>
        <v>295.93094944512944</v>
      </c>
      <c r="U917">
        <f>ROUNDDOWN(R917*몬스터!$H$25, 0)*몬스터!$G$25*(1+몬스터!$I$25)</f>
        <v>1923.075</v>
      </c>
      <c r="V917" s="2">
        <f t="shared" si="435"/>
        <v>1.5587234042553191</v>
      </c>
    </row>
    <row r="918" spans="1:22" x14ac:dyDescent="0.4">
      <c r="A918">
        <v>74</v>
      </c>
      <c r="B918" s="4">
        <f>160*A918</f>
        <v>11840</v>
      </c>
      <c r="C918">
        <f t="shared" si="424"/>
        <v>885</v>
      </c>
      <c r="D918">
        <f t="shared" si="425"/>
        <v>42</v>
      </c>
      <c r="E918" s="2">
        <v>0</v>
      </c>
      <c r="F918">
        <f t="shared" si="426"/>
        <v>117</v>
      </c>
      <c r="G918">
        <f t="shared" si="427"/>
        <v>0.81300000000000006</v>
      </c>
      <c r="H918" s="3">
        <f t="shared" si="433"/>
        <v>0.05</v>
      </c>
      <c r="I918" s="2">
        <v>2</v>
      </c>
      <c r="J918" s="2">
        <v>0</v>
      </c>
      <c r="K918" s="2">
        <v>1</v>
      </c>
      <c r="L918" s="16">
        <v>3</v>
      </c>
      <c r="M918" s="5">
        <f t="shared" si="428"/>
        <v>1030</v>
      </c>
      <c r="N918" s="6">
        <f t="shared" si="429"/>
        <v>99.877050000000011</v>
      </c>
      <c r="O918">
        <f t="shared" si="430"/>
        <v>1256.7</v>
      </c>
      <c r="P918" s="7">
        <f t="shared" si="434"/>
        <v>12.582470147045791</v>
      </c>
      <c r="Q918">
        <f>ROUNDUP(몬스터!$P$25/F918, 0)</f>
        <v>15</v>
      </c>
      <c r="R918" s="6">
        <f t="shared" si="431"/>
        <v>18.450184501845015</v>
      </c>
      <c r="S918" s="7">
        <f>B918/몬스터!$C$25*R918</f>
        <v>299.2468280847192</v>
      </c>
      <c r="U918">
        <f>ROUNDDOWN(R918*몬스터!$H$25, 0)*몬스터!$G$25*(1+몬스터!$I$25)</f>
        <v>1923.075</v>
      </c>
      <c r="V918" s="2">
        <f t="shared" si="435"/>
        <v>1.5302578180950108</v>
      </c>
    </row>
    <row r="919" spans="1:22" x14ac:dyDescent="0.4">
      <c r="A919">
        <v>75</v>
      </c>
      <c r="B919" s="4">
        <f>160*A919</f>
        <v>12000</v>
      </c>
      <c r="C919">
        <f t="shared" si="424"/>
        <v>895</v>
      </c>
      <c r="D919">
        <f t="shared" si="425"/>
        <v>42</v>
      </c>
      <c r="E919" s="2">
        <v>0</v>
      </c>
      <c r="F919">
        <f t="shared" si="426"/>
        <v>119</v>
      </c>
      <c r="G919">
        <f t="shared" si="427"/>
        <v>0.81500000000000006</v>
      </c>
      <c r="H919" s="3">
        <f t="shared" si="433"/>
        <v>0.05</v>
      </c>
      <c r="I919" s="2">
        <v>2</v>
      </c>
      <c r="J919" s="2">
        <v>0</v>
      </c>
      <c r="K919" s="2">
        <v>1</v>
      </c>
      <c r="L919" s="16">
        <v>3</v>
      </c>
      <c r="M919" s="5">
        <f t="shared" si="428"/>
        <v>1040</v>
      </c>
      <c r="N919" s="6">
        <f t="shared" si="429"/>
        <v>101.83425000000003</v>
      </c>
      <c r="O919">
        <f t="shared" si="430"/>
        <v>1270.8999999999999</v>
      </c>
      <c r="P919" s="7">
        <f t="shared" si="434"/>
        <v>12.480084058163138</v>
      </c>
      <c r="Q919">
        <f>ROUNDUP(몬스터!$P$25/F919, 0)</f>
        <v>14</v>
      </c>
      <c r="R919" s="6">
        <f t="shared" si="431"/>
        <v>17.177914110429448</v>
      </c>
      <c r="S919" s="7">
        <f>B919/몬스터!$C$25*R919</f>
        <v>282.37667030842931</v>
      </c>
      <c r="T919" s="7">
        <f t="shared" ref="T919" si="437">SUM(S915:S919)</f>
        <v>1459.4030091141872</v>
      </c>
      <c r="U919">
        <f>ROUNDDOWN(R919*몬스터!$H$25, 0)*몬스터!$G$25*(1+몬스터!$I$25)</f>
        <v>1794.8700000000001</v>
      </c>
      <c r="V919" s="2">
        <f t="shared" si="435"/>
        <v>1.4122826343536079</v>
      </c>
    </row>
    <row r="920" spans="1:22" x14ac:dyDescent="0.4">
      <c r="A920">
        <v>76</v>
      </c>
      <c r="B920" s="4">
        <f>170*A920</f>
        <v>12920</v>
      </c>
      <c r="C920">
        <f t="shared" si="424"/>
        <v>905</v>
      </c>
      <c r="D920">
        <f t="shared" si="425"/>
        <v>42</v>
      </c>
      <c r="E920" s="2">
        <v>0</v>
      </c>
      <c r="F920">
        <f t="shared" si="426"/>
        <v>120</v>
      </c>
      <c r="G920">
        <f t="shared" si="427"/>
        <v>0.81700000000000006</v>
      </c>
      <c r="H920" s="3">
        <f t="shared" si="433"/>
        <v>0.05</v>
      </c>
      <c r="I920" s="2">
        <v>2</v>
      </c>
      <c r="J920" s="2">
        <v>0</v>
      </c>
      <c r="K920" s="2">
        <v>1</v>
      </c>
      <c r="L920" s="16">
        <v>3</v>
      </c>
      <c r="M920" s="5">
        <f t="shared" si="428"/>
        <v>1050</v>
      </c>
      <c r="N920" s="6">
        <f t="shared" si="429"/>
        <v>102.94200000000001</v>
      </c>
      <c r="O920">
        <f t="shared" si="430"/>
        <v>1285.0999999999999</v>
      </c>
      <c r="P920" s="7">
        <f t="shared" si="434"/>
        <v>12.483728701598958</v>
      </c>
      <c r="Q920">
        <f>ROUNDUP(몬스터!$P$26/F920, 0)</f>
        <v>16</v>
      </c>
      <c r="R920" s="6">
        <f t="shared" si="431"/>
        <v>19.583843329253366</v>
      </c>
      <c r="S920" s="7">
        <f>B920/몬스터!$C$26*R920</f>
        <v>324.38878950506859</v>
      </c>
      <c r="U920">
        <f>ROUNDDOWN(R920*몬스터!$H$26, 0)*몬스터!$G$26*(1+몬스터!$I$26)</f>
        <v>2194.8000000000002</v>
      </c>
      <c r="V920" s="2">
        <f t="shared" si="435"/>
        <v>1.7078826550463002</v>
      </c>
    </row>
    <row r="921" spans="1:22" x14ac:dyDescent="0.4">
      <c r="A921">
        <v>77</v>
      </c>
      <c r="B921" s="4">
        <f>170*A921</f>
        <v>13090</v>
      </c>
      <c r="C921">
        <f t="shared" si="424"/>
        <v>915</v>
      </c>
      <c r="D921">
        <f t="shared" si="425"/>
        <v>43</v>
      </c>
      <c r="E921" s="2">
        <v>0</v>
      </c>
      <c r="F921">
        <f t="shared" si="426"/>
        <v>121</v>
      </c>
      <c r="G921">
        <f t="shared" si="427"/>
        <v>0.81900000000000006</v>
      </c>
      <c r="H921" s="3">
        <f t="shared" si="433"/>
        <v>0.05</v>
      </c>
      <c r="I921" s="2">
        <v>2</v>
      </c>
      <c r="J921" s="2">
        <v>0</v>
      </c>
      <c r="K921" s="2">
        <v>1</v>
      </c>
      <c r="L921" s="16">
        <v>3</v>
      </c>
      <c r="M921" s="5">
        <f t="shared" si="428"/>
        <v>1060</v>
      </c>
      <c r="N921" s="6">
        <f t="shared" si="429"/>
        <v>104.05395000000001</v>
      </c>
      <c r="O921">
        <f t="shared" si="430"/>
        <v>1308.45</v>
      </c>
      <c r="P921" s="7">
        <f t="shared" si="434"/>
        <v>12.574726860441144</v>
      </c>
      <c r="Q921">
        <f>ROUNDUP(몬스터!$P$26/F921, 0)</f>
        <v>15</v>
      </c>
      <c r="R921" s="6">
        <f t="shared" si="431"/>
        <v>18.315018315018314</v>
      </c>
      <c r="S921" s="7">
        <f>B921/몬스터!$C$26*R921</f>
        <v>307.36357659434577</v>
      </c>
      <c r="U921">
        <f>ROUNDDOWN(R921*몬스터!$H$26, 0)*몬스터!$G$26*(1+몬스터!$I$26)</f>
        <v>2057.625</v>
      </c>
      <c r="V921" s="2">
        <f t="shared" si="435"/>
        <v>1.5725667774848102</v>
      </c>
    </row>
    <row r="922" spans="1:22" x14ac:dyDescent="0.4">
      <c r="A922">
        <v>78</v>
      </c>
      <c r="B922" s="4">
        <f>170*A922</f>
        <v>13260</v>
      </c>
      <c r="C922">
        <f t="shared" si="424"/>
        <v>925</v>
      </c>
      <c r="D922">
        <f t="shared" si="425"/>
        <v>43</v>
      </c>
      <c r="E922" s="2">
        <v>0</v>
      </c>
      <c r="F922">
        <f t="shared" si="426"/>
        <v>123</v>
      </c>
      <c r="G922">
        <f t="shared" si="427"/>
        <v>0.82100000000000006</v>
      </c>
      <c r="H922" s="3">
        <f t="shared" si="433"/>
        <v>0.05</v>
      </c>
      <c r="I922" s="2">
        <v>2</v>
      </c>
      <c r="J922" s="2">
        <v>0</v>
      </c>
      <c r="K922" s="2">
        <v>1</v>
      </c>
      <c r="L922" s="16">
        <v>3</v>
      </c>
      <c r="M922" s="5">
        <f t="shared" si="428"/>
        <v>1070</v>
      </c>
      <c r="N922" s="6">
        <f t="shared" si="429"/>
        <v>106.03215000000002</v>
      </c>
      <c r="O922">
        <f t="shared" si="430"/>
        <v>1322.75</v>
      </c>
      <c r="P922" s="7">
        <f t="shared" si="434"/>
        <v>12.474989896932202</v>
      </c>
      <c r="Q922">
        <f>ROUNDUP(몬스터!$P$26/F922, 0)</f>
        <v>15</v>
      </c>
      <c r="R922" s="6">
        <f t="shared" si="431"/>
        <v>18.270401948842874</v>
      </c>
      <c r="S922" s="7">
        <f>B922/몬스터!$C$26*R922</f>
        <v>310.59683313032883</v>
      </c>
      <c r="U922">
        <f>ROUNDDOWN(R922*몬스터!$H$26, 0)*몬스터!$G$26*(1+몬스터!$I$26)</f>
        <v>2057.625</v>
      </c>
      <c r="V922" s="2">
        <f t="shared" si="435"/>
        <v>1.5555660555660555</v>
      </c>
    </row>
    <row r="923" spans="1:22" x14ac:dyDescent="0.4">
      <c r="A923">
        <v>79</v>
      </c>
      <c r="B923" s="4">
        <f>170*A923</f>
        <v>13430</v>
      </c>
      <c r="C923">
        <f t="shared" si="424"/>
        <v>935</v>
      </c>
      <c r="D923">
        <f t="shared" si="425"/>
        <v>43</v>
      </c>
      <c r="E923" s="2">
        <v>0</v>
      </c>
      <c r="F923">
        <f t="shared" si="426"/>
        <v>124</v>
      </c>
      <c r="G923">
        <f t="shared" si="427"/>
        <v>0.82300000000000006</v>
      </c>
      <c r="H923" s="3">
        <f t="shared" si="433"/>
        <v>0.05</v>
      </c>
      <c r="I923" s="2">
        <v>2</v>
      </c>
      <c r="J923" s="2">
        <v>0</v>
      </c>
      <c r="K923" s="2">
        <v>1</v>
      </c>
      <c r="L923" s="16">
        <v>3</v>
      </c>
      <c r="M923" s="5">
        <f t="shared" si="428"/>
        <v>1080</v>
      </c>
      <c r="N923" s="6">
        <f t="shared" si="429"/>
        <v>107.15460000000002</v>
      </c>
      <c r="O923">
        <f t="shared" si="430"/>
        <v>1337.05</v>
      </c>
      <c r="P923" s="7">
        <f t="shared" si="434"/>
        <v>12.477765770204917</v>
      </c>
      <c r="Q923">
        <f>ROUNDUP(몬스터!$P$26/F923, 0)</f>
        <v>15</v>
      </c>
      <c r="R923" s="6">
        <f t="shared" si="431"/>
        <v>18.226002430133654</v>
      </c>
      <c r="S923" s="7">
        <f>B923/몬스터!$C$26*R923</f>
        <v>313.81437517525001</v>
      </c>
      <c r="U923">
        <f>ROUNDDOWN(R923*몬스터!$H$26, 0)*몬스터!$G$26*(1+몬스터!$I$26)</f>
        <v>2057.625</v>
      </c>
      <c r="V923" s="2">
        <f t="shared" si="435"/>
        <v>1.5389289854530497</v>
      </c>
    </row>
    <row r="924" spans="1:22" x14ac:dyDescent="0.4">
      <c r="A924">
        <v>80</v>
      </c>
      <c r="B924" s="4">
        <f>170*A924</f>
        <v>13600</v>
      </c>
      <c r="C924">
        <f t="shared" si="424"/>
        <v>950</v>
      </c>
      <c r="D924">
        <f t="shared" si="425"/>
        <v>44</v>
      </c>
      <c r="E924" s="2">
        <v>0</v>
      </c>
      <c r="F924">
        <f t="shared" si="426"/>
        <v>125</v>
      </c>
      <c r="G924">
        <f t="shared" si="427"/>
        <v>0.82500000000000007</v>
      </c>
      <c r="H924" s="3">
        <f t="shared" si="433"/>
        <v>0.05</v>
      </c>
      <c r="I924" s="2">
        <v>2</v>
      </c>
      <c r="J924" s="2">
        <v>0</v>
      </c>
      <c r="K924" s="2">
        <v>1</v>
      </c>
      <c r="L924" s="16">
        <v>3</v>
      </c>
      <c r="M924" s="5">
        <f t="shared" si="428"/>
        <v>1090</v>
      </c>
      <c r="N924" s="6">
        <f t="shared" si="429"/>
        <v>108.28125000000001</v>
      </c>
      <c r="O924">
        <f t="shared" si="430"/>
        <v>1368</v>
      </c>
      <c r="P924" s="7">
        <f t="shared" si="434"/>
        <v>12.633766233766233</v>
      </c>
      <c r="Q924">
        <f>ROUNDUP(몬스터!$P$26/F924, 0)</f>
        <v>15</v>
      </c>
      <c r="R924" s="6">
        <f t="shared" si="431"/>
        <v>18.18181818181818</v>
      </c>
      <c r="S924" s="7">
        <f>B924/몬스터!$C$26*R924</f>
        <v>317.01631701631698</v>
      </c>
      <c r="T924" s="7">
        <f t="shared" ref="T924" si="438">SUM(S920:S924)</f>
        <v>1573.17989142131</v>
      </c>
      <c r="U924">
        <f>ROUNDDOWN(R924*몬스터!$H$26, 0)*몬스터!$G$26*(1+몬스터!$I$26)</f>
        <v>2057.625</v>
      </c>
      <c r="V924" s="2">
        <f t="shared" si="435"/>
        <v>1.5041118421052631</v>
      </c>
    </row>
    <row r="925" spans="1:22" x14ac:dyDescent="0.4">
      <c r="A925">
        <v>81</v>
      </c>
      <c r="B925" s="4">
        <f>160*A925</f>
        <v>12960</v>
      </c>
      <c r="C925">
        <f t="shared" si="424"/>
        <v>960</v>
      </c>
      <c r="D925">
        <f t="shared" si="425"/>
        <v>44</v>
      </c>
      <c r="E925" s="2">
        <v>0</v>
      </c>
      <c r="F925">
        <f t="shared" si="426"/>
        <v>127</v>
      </c>
      <c r="G925">
        <f t="shared" si="427"/>
        <v>0.82700000000000007</v>
      </c>
      <c r="H925" s="3">
        <f t="shared" si="433"/>
        <v>0.05</v>
      </c>
      <c r="I925" s="2">
        <v>2</v>
      </c>
      <c r="J925" s="2">
        <v>0</v>
      </c>
      <c r="K925" s="2">
        <v>1</v>
      </c>
      <c r="L925" s="16">
        <v>3</v>
      </c>
      <c r="M925" s="5">
        <f t="shared" si="428"/>
        <v>1100</v>
      </c>
      <c r="N925" s="6">
        <f t="shared" si="429"/>
        <v>110.28045000000002</v>
      </c>
      <c r="O925">
        <f t="shared" si="430"/>
        <v>1382.3999999999999</v>
      </c>
      <c r="P925" s="7">
        <f t="shared" si="434"/>
        <v>12.535313376033555</v>
      </c>
      <c r="Q925">
        <f>ROUNDUP(몬스터!$P$29/F925, 0)</f>
        <v>16</v>
      </c>
      <c r="R925" s="6">
        <f t="shared" si="431"/>
        <v>19.347037484885124</v>
      </c>
      <c r="S925" s="7">
        <f>B925/몬스터!$C$29*R925</f>
        <v>302.09350096880871</v>
      </c>
      <c r="U925">
        <f>ROUNDDOWN(R925*몬스터!$H$29, 0)*몬스터!$G$29*(1+몬스터!$I$29)</f>
        <v>2358.7199999999998</v>
      </c>
      <c r="V925" s="2">
        <f t="shared" si="435"/>
        <v>1.70625</v>
      </c>
    </row>
    <row r="926" spans="1:22" x14ac:dyDescent="0.4">
      <c r="A926">
        <v>82</v>
      </c>
      <c r="B926" s="4">
        <f>160*A926</f>
        <v>13120</v>
      </c>
      <c r="C926">
        <f t="shared" si="424"/>
        <v>970</v>
      </c>
      <c r="D926">
        <f t="shared" si="425"/>
        <v>44</v>
      </c>
      <c r="E926" s="2">
        <v>0</v>
      </c>
      <c r="F926">
        <f t="shared" si="426"/>
        <v>128</v>
      </c>
      <c r="G926">
        <f t="shared" si="427"/>
        <v>0.82900000000000007</v>
      </c>
      <c r="H926" s="3">
        <f t="shared" si="433"/>
        <v>0.05</v>
      </c>
      <c r="I926" s="2">
        <v>2</v>
      </c>
      <c r="J926" s="2">
        <v>0</v>
      </c>
      <c r="K926" s="2">
        <v>1</v>
      </c>
      <c r="L926" s="16">
        <v>3</v>
      </c>
      <c r="M926" s="5">
        <f t="shared" si="428"/>
        <v>1110</v>
      </c>
      <c r="N926" s="6">
        <f t="shared" si="429"/>
        <v>111.41760000000001</v>
      </c>
      <c r="O926">
        <f t="shared" si="430"/>
        <v>1396.8</v>
      </c>
      <c r="P926" s="7">
        <f t="shared" si="434"/>
        <v>12.536618990177493</v>
      </c>
      <c r="Q926">
        <f>ROUNDUP(몬스터!$P$29/F926, 0)</f>
        <v>16</v>
      </c>
      <c r="R926" s="6">
        <f t="shared" si="431"/>
        <v>19.300361881785282</v>
      </c>
      <c r="S926" s="7">
        <f>B926/몬스터!$C$29*R926</f>
        <v>305.08523842050948</v>
      </c>
      <c r="U926">
        <f>ROUNDDOWN(R926*몬스터!$H$29, 0)*몬스터!$G$29*(1+몬스터!$I$29)</f>
        <v>2358.7199999999998</v>
      </c>
      <c r="V926" s="2">
        <f t="shared" si="435"/>
        <v>1.688659793814433</v>
      </c>
    </row>
    <row r="927" spans="1:22" x14ac:dyDescent="0.4">
      <c r="A927">
        <v>83</v>
      </c>
      <c r="B927" s="4">
        <f>160*A927</f>
        <v>13280</v>
      </c>
      <c r="C927">
        <f t="shared" si="424"/>
        <v>980</v>
      </c>
      <c r="D927">
        <f t="shared" si="425"/>
        <v>44</v>
      </c>
      <c r="E927" s="2">
        <v>0</v>
      </c>
      <c r="F927">
        <f t="shared" si="426"/>
        <v>129</v>
      </c>
      <c r="G927">
        <f t="shared" si="427"/>
        <v>0.83100000000000007</v>
      </c>
      <c r="H927" s="3">
        <f t="shared" si="433"/>
        <v>0.05</v>
      </c>
      <c r="I927" s="2">
        <v>2</v>
      </c>
      <c r="J927" s="2">
        <v>0</v>
      </c>
      <c r="K927" s="2">
        <v>1</v>
      </c>
      <c r="L927" s="16">
        <v>3</v>
      </c>
      <c r="M927" s="5">
        <f t="shared" si="428"/>
        <v>1120</v>
      </c>
      <c r="N927" s="6">
        <f t="shared" si="429"/>
        <v>112.55895000000002</v>
      </c>
      <c r="O927">
        <f t="shared" si="430"/>
        <v>1411.2</v>
      </c>
      <c r="P927" s="7">
        <f t="shared" si="434"/>
        <v>12.537430386477483</v>
      </c>
      <c r="Q927">
        <f>ROUNDUP(몬스터!$P$29/F927, 0)</f>
        <v>16</v>
      </c>
      <c r="R927" s="6">
        <f t="shared" si="431"/>
        <v>19.253910950661851</v>
      </c>
      <c r="S927" s="7">
        <f>B927/몬스터!$C$29*R927</f>
        <v>308.06257521058961</v>
      </c>
      <c r="U927">
        <f>ROUNDDOWN(R927*몬스터!$H$29, 0)*몬스터!$G$29*(1+몬스터!$I$29)</f>
        <v>2358.7199999999998</v>
      </c>
      <c r="V927" s="2">
        <f t="shared" si="435"/>
        <v>1.6714285714285713</v>
      </c>
    </row>
    <row r="928" spans="1:22" x14ac:dyDescent="0.4">
      <c r="A928">
        <v>84</v>
      </c>
      <c r="B928" s="4">
        <f>160*A928</f>
        <v>13440</v>
      </c>
      <c r="C928">
        <f t="shared" si="424"/>
        <v>990</v>
      </c>
      <c r="D928">
        <f t="shared" si="425"/>
        <v>45</v>
      </c>
      <c r="E928" s="2">
        <v>0</v>
      </c>
      <c r="F928">
        <f t="shared" si="426"/>
        <v>131</v>
      </c>
      <c r="G928">
        <f t="shared" si="427"/>
        <v>0.83300000000000007</v>
      </c>
      <c r="H928" s="3">
        <f t="shared" si="433"/>
        <v>0.05</v>
      </c>
      <c r="I928" s="2">
        <v>2</v>
      </c>
      <c r="J928" s="2">
        <v>0</v>
      </c>
      <c r="K928" s="2">
        <v>1</v>
      </c>
      <c r="L928" s="16">
        <v>3</v>
      </c>
      <c r="M928" s="5">
        <f t="shared" si="428"/>
        <v>1130</v>
      </c>
      <c r="N928" s="6">
        <f t="shared" si="429"/>
        <v>114.57915000000001</v>
      </c>
      <c r="O928">
        <f t="shared" si="430"/>
        <v>1435.5</v>
      </c>
      <c r="P928" s="7">
        <f t="shared" si="434"/>
        <v>12.528457402590261</v>
      </c>
      <c r="Q928">
        <f>ROUNDUP(몬스터!$P$29/F928, 0)</f>
        <v>16</v>
      </c>
      <c r="R928" s="6">
        <f t="shared" si="431"/>
        <v>19.20768307322929</v>
      </c>
      <c r="S928" s="7">
        <f>B928/몬스터!$C$29*R928</f>
        <v>311.02561506530321</v>
      </c>
      <c r="U928">
        <f>ROUNDDOWN(R928*몬스터!$H$29, 0)*몬스터!$G$29*(1+몬스터!$I$29)</f>
        <v>2358.7199999999998</v>
      </c>
      <c r="V928" s="2">
        <f t="shared" si="435"/>
        <v>1.6431347962382443</v>
      </c>
    </row>
    <row r="929" spans="1:22" x14ac:dyDescent="0.4">
      <c r="A929">
        <v>85</v>
      </c>
      <c r="B929" s="4">
        <f>160*A929</f>
        <v>13600</v>
      </c>
      <c r="C929">
        <f t="shared" si="424"/>
        <v>1000</v>
      </c>
      <c r="D929">
        <f t="shared" si="425"/>
        <v>45</v>
      </c>
      <c r="E929" s="2">
        <v>0</v>
      </c>
      <c r="F929">
        <f t="shared" si="426"/>
        <v>132</v>
      </c>
      <c r="G929">
        <f t="shared" si="427"/>
        <v>0.83500000000000008</v>
      </c>
      <c r="H929" s="3">
        <f t="shared" si="433"/>
        <v>0.05</v>
      </c>
      <c r="I929" s="2">
        <v>2</v>
      </c>
      <c r="J929" s="2">
        <v>0</v>
      </c>
      <c r="K929" s="2">
        <v>1</v>
      </c>
      <c r="L929" s="16">
        <v>3</v>
      </c>
      <c r="M929" s="5">
        <f t="shared" si="428"/>
        <v>1140</v>
      </c>
      <c r="N929" s="6">
        <f t="shared" si="429"/>
        <v>115.73100000000002</v>
      </c>
      <c r="O929">
        <f t="shared" si="430"/>
        <v>1450</v>
      </c>
      <c r="P929" s="7">
        <f t="shared" si="434"/>
        <v>12.529054445222107</v>
      </c>
      <c r="Q929">
        <f>ROUNDUP(몬스터!$P$29/F929, 0)</f>
        <v>15</v>
      </c>
      <c r="R929" s="6">
        <f t="shared" si="431"/>
        <v>17.964071856287422</v>
      </c>
      <c r="S929" s="7">
        <f>B929/몬스터!$C$29*R929</f>
        <v>294.35105692229996</v>
      </c>
      <c r="T929" s="7">
        <f t="shared" ref="T929" si="439">SUM(S925:S929)</f>
        <v>1520.617986587511</v>
      </c>
      <c r="U929">
        <f>ROUNDDOWN(R929*몬스터!$H$29, 0)*몬스터!$G$29*(1+몬스터!$I$29)</f>
        <v>2211.2999999999997</v>
      </c>
      <c r="V929" s="2">
        <f t="shared" si="435"/>
        <v>1.5250344827586204</v>
      </c>
    </row>
    <row r="930" spans="1:22" x14ac:dyDescent="0.4">
      <c r="A930">
        <v>86</v>
      </c>
      <c r="B930" s="4">
        <f>170*A930</f>
        <v>14620</v>
      </c>
      <c r="C930">
        <f t="shared" si="424"/>
        <v>1010</v>
      </c>
      <c r="D930">
        <f t="shared" si="425"/>
        <v>45</v>
      </c>
      <c r="E930" s="2">
        <v>0</v>
      </c>
      <c r="F930">
        <f t="shared" si="426"/>
        <v>133</v>
      </c>
      <c r="G930">
        <f t="shared" si="427"/>
        <v>0.83700000000000008</v>
      </c>
      <c r="H930" s="3">
        <f t="shared" si="433"/>
        <v>0.05</v>
      </c>
      <c r="I930" s="2">
        <v>2</v>
      </c>
      <c r="J930" s="2">
        <v>0</v>
      </c>
      <c r="K930" s="2">
        <v>1</v>
      </c>
      <c r="L930" s="16">
        <v>3</v>
      </c>
      <c r="M930" s="5">
        <f t="shared" si="428"/>
        <v>1150</v>
      </c>
      <c r="N930" s="6">
        <f t="shared" si="429"/>
        <v>116.88705000000002</v>
      </c>
      <c r="O930">
        <f t="shared" si="430"/>
        <v>1464.5</v>
      </c>
      <c r="P930" s="7">
        <f t="shared" si="434"/>
        <v>12.529189503884304</v>
      </c>
      <c r="Q930">
        <f>ROUNDUP(몬스터!$P$30/F930, 0)</f>
        <v>17</v>
      </c>
      <c r="R930" s="6">
        <f t="shared" si="431"/>
        <v>20.310633213859017</v>
      </c>
      <c r="S930" s="7">
        <f>B930/몬스터!$C$30*R930</f>
        <v>337.43347453024865</v>
      </c>
      <c r="U930">
        <f>ROUNDDOWN(R930*몬스터!$H$30, 0)*몬스터!$G$30*(1+몬스터!$I$30)</f>
        <v>2662.3274999999999</v>
      </c>
      <c r="V930" s="2">
        <f t="shared" si="435"/>
        <v>1.8179088426083987</v>
      </c>
    </row>
    <row r="931" spans="1:22" x14ac:dyDescent="0.4">
      <c r="A931">
        <v>87</v>
      </c>
      <c r="B931" s="4">
        <f>170*A931</f>
        <v>14790</v>
      </c>
      <c r="C931">
        <f t="shared" si="424"/>
        <v>1020</v>
      </c>
      <c r="D931">
        <f t="shared" si="425"/>
        <v>46</v>
      </c>
      <c r="E931" s="2">
        <v>0</v>
      </c>
      <c r="F931">
        <f t="shared" si="426"/>
        <v>135</v>
      </c>
      <c r="G931">
        <f t="shared" si="427"/>
        <v>0.83900000000000008</v>
      </c>
      <c r="H931" s="3">
        <f t="shared" si="433"/>
        <v>0.05</v>
      </c>
      <c r="I931" s="2">
        <v>2</v>
      </c>
      <c r="J931" s="2">
        <v>0</v>
      </c>
      <c r="K931" s="2">
        <v>1</v>
      </c>
      <c r="L931" s="16">
        <v>3</v>
      </c>
      <c r="M931" s="5">
        <f t="shared" si="428"/>
        <v>1160</v>
      </c>
      <c r="N931" s="6">
        <f t="shared" si="429"/>
        <v>118.92825000000002</v>
      </c>
      <c r="O931">
        <f t="shared" si="430"/>
        <v>1489.2</v>
      </c>
      <c r="P931" s="7">
        <f t="shared" si="434"/>
        <v>12.52183564460084</v>
      </c>
      <c r="Q931">
        <f>ROUNDUP(몬스터!$P$30/F931, 0)</f>
        <v>16</v>
      </c>
      <c r="R931" s="6">
        <f t="shared" si="431"/>
        <v>19.070321811680571</v>
      </c>
      <c r="S931" s="7">
        <f>B931/몬스터!$C$30*R931</f>
        <v>320.51143135767688</v>
      </c>
      <c r="U931">
        <f>ROUNDDOWN(R931*몬스터!$H$30, 0)*몬스터!$G$30*(1+몬스터!$I$30)</f>
        <v>2505.7199999999998</v>
      </c>
      <c r="V931" s="2">
        <f t="shared" si="435"/>
        <v>1.6825946817082995</v>
      </c>
    </row>
    <row r="932" spans="1:22" x14ac:dyDescent="0.4">
      <c r="A932">
        <v>88</v>
      </c>
      <c r="B932" s="4">
        <f>170*A932</f>
        <v>14960</v>
      </c>
      <c r="C932">
        <f t="shared" si="424"/>
        <v>1030</v>
      </c>
      <c r="D932">
        <f t="shared" si="425"/>
        <v>46</v>
      </c>
      <c r="E932" s="2">
        <v>0</v>
      </c>
      <c r="F932">
        <f t="shared" si="426"/>
        <v>136</v>
      </c>
      <c r="G932">
        <f t="shared" si="427"/>
        <v>0.84099999999999997</v>
      </c>
      <c r="H932" s="3">
        <f t="shared" si="433"/>
        <v>0.05</v>
      </c>
      <c r="I932" s="2">
        <v>2</v>
      </c>
      <c r="J932" s="2">
        <v>0</v>
      </c>
      <c r="K932" s="2">
        <v>1</v>
      </c>
      <c r="L932" s="16">
        <v>3</v>
      </c>
      <c r="M932" s="5">
        <f t="shared" si="428"/>
        <v>1170</v>
      </c>
      <c r="N932" s="6">
        <f t="shared" si="429"/>
        <v>120.09479999999999</v>
      </c>
      <c r="O932">
        <f t="shared" si="430"/>
        <v>1503.8</v>
      </c>
      <c r="P932" s="7">
        <f t="shared" si="434"/>
        <v>12.521774464839444</v>
      </c>
      <c r="Q932">
        <f>ROUNDUP(몬스터!$P$30/F932, 0)</f>
        <v>16</v>
      </c>
      <c r="R932" s="6">
        <f t="shared" si="431"/>
        <v>19.024970273483948</v>
      </c>
      <c r="S932" s="7">
        <f>B932/몬스터!$C$30*R932</f>
        <v>323.42449464922714</v>
      </c>
      <c r="U932">
        <f>ROUNDDOWN(R932*몬스터!$H$30, 0)*몬스터!$G$30*(1+몬스터!$I$30)</f>
        <v>2505.7199999999998</v>
      </c>
      <c r="V932" s="2">
        <f t="shared" si="435"/>
        <v>1.6662588110121026</v>
      </c>
    </row>
    <row r="933" spans="1:22" x14ac:dyDescent="0.4">
      <c r="A933">
        <v>89</v>
      </c>
      <c r="B933" s="4">
        <f>170*A933</f>
        <v>15130</v>
      </c>
      <c r="C933">
        <f t="shared" si="424"/>
        <v>1040</v>
      </c>
      <c r="D933">
        <f t="shared" si="425"/>
        <v>46</v>
      </c>
      <c r="E933" s="2">
        <v>0</v>
      </c>
      <c r="F933">
        <f t="shared" si="426"/>
        <v>137</v>
      </c>
      <c r="G933">
        <f t="shared" si="427"/>
        <v>0.84299999999999997</v>
      </c>
      <c r="H933" s="3">
        <f t="shared" si="433"/>
        <v>0.05</v>
      </c>
      <c r="I933" s="2">
        <v>2</v>
      </c>
      <c r="J933" s="2">
        <v>0</v>
      </c>
      <c r="K933" s="2">
        <v>1</v>
      </c>
      <c r="L933" s="16">
        <v>3</v>
      </c>
      <c r="M933" s="5">
        <f t="shared" si="428"/>
        <v>1180</v>
      </c>
      <c r="N933" s="6">
        <f t="shared" si="429"/>
        <v>121.26555</v>
      </c>
      <c r="O933">
        <f t="shared" si="430"/>
        <v>1518.3999999999999</v>
      </c>
      <c r="P933" s="7">
        <f t="shared" si="434"/>
        <v>12.52128077594997</v>
      </c>
      <c r="Q933">
        <f>ROUNDUP(몬스터!$P$30/F933, 0)</f>
        <v>16</v>
      </c>
      <c r="R933" s="6">
        <f t="shared" si="431"/>
        <v>18.979833926453143</v>
      </c>
      <c r="S933" s="7">
        <f>B933/몬스터!$C$30*R933</f>
        <v>326.32373557640454</v>
      </c>
      <c r="U933">
        <f>ROUNDDOWN(R933*몬스터!$H$30, 0)*몬스터!$G$30*(1+몬스터!$I$30)</f>
        <v>2505.7199999999998</v>
      </c>
      <c r="V933" s="2">
        <f t="shared" si="435"/>
        <v>1.6502370916754479</v>
      </c>
    </row>
    <row r="934" spans="1:22" x14ac:dyDescent="0.4">
      <c r="A934">
        <v>90</v>
      </c>
      <c r="B934" s="4">
        <f>170*A934</f>
        <v>15300</v>
      </c>
      <c r="C934">
        <f t="shared" si="424"/>
        <v>1050</v>
      </c>
      <c r="D934">
        <f t="shared" si="425"/>
        <v>47</v>
      </c>
      <c r="E934" s="2">
        <v>0</v>
      </c>
      <c r="F934">
        <f t="shared" si="426"/>
        <v>139</v>
      </c>
      <c r="G934">
        <f t="shared" si="427"/>
        <v>0.84499999999999997</v>
      </c>
      <c r="H934" s="3">
        <f t="shared" si="433"/>
        <v>0.05</v>
      </c>
      <c r="I934" s="2">
        <v>2</v>
      </c>
      <c r="J934" s="2">
        <v>0</v>
      </c>
      <c r="K934" s="2">
        <v>1</v>
      </c>
      <c r="L934" s="16">
        <v>3</v>
      </c>
      <c r="M934" s="5">
        <f t="shared" si="428"/>
        <v>1190</v>
      </c>
      <c r="N934" s="6">
        <f t="shared" si="429"/>
        <v>123.32775000000001</v>
      </c>
      <c r="O934">
        <f t="shared" si="430"/>
        <v>1543.5</v>
      </c>
      <c r="P934" s="7">
        <f t="shared" si="434"/>
        <v>12.515431441828785</v>
      </c>
      <c r="Q934">
        <f>ROUNDUP(몬스터!$P$30/F934, 0)</f>
        <v>16</v>
      </c>
      <c r="R934" s="6">
        <f t="shared" si="431"/>
        <v>18.934911242603551</v>
      </c>
      <c r="S934" s="7">
        <f>B934/몬스터!$C$30*R934</f>
        <v>329.2092522861754</v>
      </c>
      <c r="T934" s="7">
        <f t="shared" ref="T934" si="440">SUM(S930:S934)</f>
        <v>1636.9023883997324</v>
      </c>
      <c r="U934">
        <f>ROUNDDOWN(R934*몬스터!$H$30, 0)*몬스터!$G$30*(1+몬스터!$I$30)</f>
        <v>2505.7199999999998</v>
      </c>
      <c r="V934" s="2">
        <f t="shared" si="435"/>
        <v>1.6234013605442175</v>
      </c>
    </row>
    <row r="935" spans="1:22" x14ac:dyDescent="0.4">
      <c r="A935">
        <v>91</v>
      </c>
      <c r="B935" s="4">
        <f>160*A935</f>
        <v>14560</v>
      </c>
      <c r="C935">
        <f t="shared" si="424"/>
        <v>1060</v>
      </c>
      <c r="D935">
        <f t="shared" si="425"/>
        <v>47</v>
      </c>
      <c r="E935" s="2">
        <v>0</v>
      </c>
      <c r="F935">
        <f t="shared" si="426"/>
        <v>140</v>
      </c>
      <c r="G935">
        <f t="shared" si="427"/>
        <v>0.84699999999999998</v>
      </c>
      <c r="H935" s="3">
        <f t="shared" si="433"/>
        <v>0.05</v>
      </c>
      <c r="I935" s="2">
        <v>2</v>
      </c>
      <c r="J935" s="2">
        <v>0</v>
      </c>
      <c r="K935" s="2">
        <v>1</v>
      </c>
      <c r="L935" s="16">
        <v>3</v>
      </c>
      <c r="M935" s="5">
        <f t="shared" si="428"/>
        <v>1200</v>
      </c>
      <c r="N935" s="6">
        <f t="shared" si="429"/>
        <v>124.509</v>
      </c>
      <c r="O935">
        <f t="shared" si="430"/>
        <v>1558.2</v>
      </c>
      <c r="P935" s="7">
        <f t="shared" si="434"/>
        <v>12.514757969303425</v>
      </c>
      <c r="Q935">
        <f>ROUNDUP(몬스터!$P$31/F935, 0)</f>
        <v>17</v>
      </c>
      <c r="R935" s="6">
        <f t="shared" si="431"/>
        <v>20.070838252656436</v>
      </c>
      <c r="S935" s="7">
        <f>B935/몬스터!$C$31*R935</f>
        <v>314.22731715986851</v>
      </c>
      <c r="U935">
        <f>ROUNDDOWN(R935*몬스터!$H$31, 0)*몬스터!$G$31*(1+몬스터!$I$31)</f>
        <v>2840.4450000000002</v>
      </c>
      <c r="V935" s="2">
        <f t="shared" si="435"/>
        <v>1.8229014247208317</v>
      </c>
    </row>
    <row r="936" spans="1:22" x14ac:dyDescent="0.4">
      <c r="A936">
        <v>92</v>
      </c>
      <c r="B936" s="4">
        <f>160*A936</f>
        <v>14720</v>
      </c>
      <c r="C936">
        <f t="shared" si="424"/>
        <v>1070</v>
      </c>
      <c r="D936">
        <f t="shared" si="425"/>
        <v>47</v>
      </c>
      <c r="E936" s="2">
        <v>0</v>
      </c>
      <c r="F936">
        <f t="shared" si="426"/>
        <v>141</v>
      </c>
      <c r="G936">
        <f t="shared" si="427"/>
        <v>0.84899999999999998</v>
      </c>
      <c r="H936" s="3">
        <f t="shared" si="433"/>
        <v>0.05</v>
      </c>
      <c r="I936" s="2">
        <v>2</v>
      </c>
      <c r="J936" s="2">
        <v>0</v>
      </c>
      <c r="K936" s="2">
        <v>1</v>
      </c>
      <c r="L936" s="16">
        <v>3</v>
      </c>
      <c r="M936" s="5">
        <f t="shared" si="428"/>
        <v>1210</v>
      </c>
      <c r="N936" s="6">
        <f t="shared" si="429"/>
        <v>125.69445</v>
      </c>
      <c r="O936">
        <f t="shared" si="430"/>
        <v>1572.8999999999999</v>
      </c>
      <c r="P936" s="7">
        <f t="shared" si="434"/>
        <v>12.513679004920263</v>
      </c>
      <c r="Q936">
        <f>ROUNDUP(몬스터!$P$31/F936, 0)</f>
        <v>17</v>
      </c>
      <c r="R936" s="6">
        <f t="shared" si="431"/>
        <v>20.023557126030624</v>
      </c>
      <c r="S936" s="7">
        <f>B936/몬스터!$C$31*R936</f>
        <v>316.93200096254924</v>
      </c>
      <c r="U936">
        <f>ROUNDDOWN(R936*몬스터!$H$31, 0)*몬스터!$G$31*(1+몬스터!$I$31)</f>
        <v>2840.4450000000002</v>
      </c>
      <c r="V936" s="2">
        <f t="shared" si="435"/>
        <v>1.8058649628075532</v>
      </c>
    </row>
    <row r="937" spans="1:22" x14ac:dyDescent="0.4">
      <c r="A937">
        <v>93</v>
      </c>
      <c r="B937" s="4">
        <f>160*A937</f>
        <v>14880</v>
      </c>
      <c r="C937">
        <f t="shared" si="424"/>
        <v>1080</v>
      </c>
      <c r="D937">
        <f t="shared" si="425"/>
        <v>47</v>
      </c>
      <c r="E937" s="2">
        <v>0</v>
      </c>
      <c r="F937">
        <f t="shared" si="426"/>
        <v>143</v>
      </c>
      <c r="G937">
        <f t="shared" si="427"/>
        <v>0.85099999999999998</v>
      </c>
      <c r="H937" s="3">
        <f t="shared" si="433"/>
        <v>0.05</v>
      </c>
      <c r="I937" s="2">
        <v>2</v>
      </c>
      <c r="J937" s="2">
        <v>0</v>
      </c>
      <c r="K937" s="2">
        <v>1</v>
      </c>
      <c r="L937" s="16">
        <v>3</v>
      </c>
      <c r="M937" s="5">
        <f t="shared" si="428"/>
        <v>1220</v>
      </c>
      <c r="N937" s="6">
        <f t="shared" si="429"/>
        <v>127.77765000000001</v>
      </c>
      <c r="O937">
        <f t="shared" si="430"/>
        <v>1587.6</v>
      </c>
      <c r="P937" s="7">
        <f t="shared" si="434"/>
        <v>12.424708076881988</v>
      </c>
      <c r="Q937">
        <f>ROUNDUP(몬스터!$P$31/F937, 0)</f>
        <v>17</v>
      </c>
      <c r="R937" s="6">
        <f t="shared" si="431"/>
        <v>19.976498237367803</v>
      </c>
      <c r="S937" s="7">
        <f>B937/몬스터!$C$31*R937</f>
        <v>319.62397179788485</v>
      </c>
      <c r="U937">
        <f>ROUNDDOWN(R937*몬스터!$H$31, 0)*몬스터!$G$31*(1+몬스터!$I$31)</f>
        <v>2840.4450000000002</v>
      </c>
      <c r="V937" s="2">
        <f t="shared" si="435"/>
        <v>1.7891439909297053</v>
      </c>
    </row>
    <row r="938" spans="1:22" x14ac:dyDescent="0.4">
      <c r="A938">
        <v>94</v>
      </c>
      <c r="B938" s="4">
        <f>160*A938</f>
        <v>15040</v>
      </c>
      <c r="C938">
        <f t="shared" si="424"/>
        <v>1090</v>
      </c>
      <c r="D938">
        <f t="shared" si="425"/>
        <v>48</v>
      </c>
      <c r="E938" s="2">
        <v>0</v>
      </c>
      <c r="F938">
        <f t="shared" si="426"/>
        <v>144</v>
      </c>
      <c r="G938">
        <f t="shared" si="427"/>
        <v>0.85299999999999998</v>
      </c>
      <c r="H938" s="3">
        <f t="shared" si="433"/>
        <v>0.05</v>
      </c>
      <c r="I938" s="2">
        <v>2</v>
      </c>
      <c r="J938" s="2">
        <v>0</v>
      </c>
      <c r="K938" s="2">
        <v>1</v>
      </c>
      <c r="L938" s="16">
        <v>3</v>
      </c>
      <c r="M938" s="5">
        <f t="shared" si="428"/>
        <v>1230</v>
      </c>
      <c r="N938" s="6">
        <f t="shared" si="429"/>
        <v>128.9736</v>
      </c>
      <c r="O938">
        <f t="shared" si="430"/>
        <v>1613.2</v>
      </c>
      <c r="P938" s="7">
        <f t="shared" si="434"/>
        <v>12.507986130494922</v>
      </c>
      <c r="Q938">
        <f>ROUNDUP(몬스터!$P$31/F938, 0)</f>
        <v>17</v>
      </c>
      <c r="R938" s="6">
        <f t="shared" si="431"/>
        <v>19.929660023446658</v>
      </c>
      <c r="S938" s="7">
        <f>B938/몬스터!$C$31*R938</f>
        <v>322.30331908885779</v>
      </c>
      <c r="U938">
        <f>ROUNDDOWN(R938*몬스터!$H$31, 0)*몬스터!$G$31*(1+몬스터!$I$31)</f>
        <v>2840.4450000000002</v>
      </c>
      <c r="V938" s="2">
        <f t="shared" si="435"/>
        <v>1.7607519216464171</v>
      </c>
    </row>
    <row r="939" spans="1:22" x14ac:dyDescent="0.4">
      <c r="A939">
        <v>95</v>
      </c>
      <c r="B939" s="4">
        <f>160*A939</f>
        <v>15200</v>
      </c>
      <c r="C939">
        <f t="shared" si="424"/>
        <v>1100</v>
      </c>
      <c r="D939">
        <f t="shared" si="425"/>
        <v>48</v>
      </c>
      <c r="E939" s="2">
        <v>0</v>
      </c>
      <c r="F939">
        <f t="shared" si="426"/>
        <v>145</v>
      </c>
      <c r="G939">
        <f t="shared" si="427"/>
        <v>0.85499999999999998</v>
      </c>
      <c r="H939" s="3">
        <f t="shared" si="433"/>
        <v>0.05</v>
      </c>
      <c r="I939" s="2">
        <v>2</v>
      </c>
      <c r="J939" s="2">
        <v>0</v>
      </c>
      <c r="K939" s="2">
        <v>1</v>
      </c>
      <c r="L939" s="16">
        <v>3</v>
      </c>
      <c r="M939" s="5">
        <f t="shared" si="428"/>
        <v>1240</v>
      </c>
      <c r="N939" s="6">
        <f t="shared" si="429"/>
        <v>130.17375000000001</v>
      </c>
      <c r="O939">
        <f t="shared" si="430"/>
        <v>1628</v>
      </c>
      <c r="P939" s="7">
        <f t="shared" si="434"/>
        <v>12.506361689664773</v>
      </c>
      <c r="Q939">
        <f>ROUNDUP(몬스터!$P$31/F939, 0)</f>
        <v>17</v>
      </c>
      <c r="R939" s="6">
        <f t="shared" si="431"/>
        <v>19.883040935672515</v>
      </c>
      <c r="S939" s="7">
        <f>B939/몬스터!$C$31*R939</f>
        <v>324.97013142174433</v>
      </c>
      <c r="T939" s="7">
        <f t="shared" ref="T939" si="441">SUM(S935:S939)</f>
        <v>1598.0567404309047</v>
      </c>
      <c r="U939">
        <f>ROUNDDOWN(R939*몬스터!$H$31, 0)*몬스터!$G$31*(1+몬스터!$I$31)</f>
        <v>2840.4450000000002</v>
      </c>
      <c r="V939" s="2">
        <f t="shared" si="435"/>
        <v>1.7447450859950862</v>
      </c>
    </row>
    <row r="940" spans="1:22" x14ac:dyDescent="0.4">
      <c r="A940">
        <v>96</v>
      </c>
      <c r="B940" s="4">
        <f>170*A940</f>
        <v>16320</v>
      </c>
      <c r="C940">
        <f t="shared" si="424"/>
        <v>1110</v>
      </c>
      <c r="D940">
        <f t="shared" si="425"/>
        <v>48</v>
      </c>
      <c r="E940" s="2">
        <v>0</v>
      </c>
      <c r="F940">
        <f t="shared" si="426"/>
        <v>147</v>
      </c>
      <c r="G940">
        <f t="shared" si="427"/>
        <v>0.85699999999999998</v>
      </c>
      <c r="H940" s="3">
        <f t="shared" si="433"/>
        <v>0.05</v>
      </c>
      <c r="I940" s="2">
        <v>2</v>
      </c>
      <c r="J940" s="2">
        <v>0</v>
      </c>
      <c r="K940" s="2">
        <v>1</v>
      </c>
      <c r="L940" s="16">
        <v>3</v>
      </c>
      <c r="M940" s="5">
        <f t="shared" si="428"/>
        <v>1250</v>
      </c>
      <c r="N940" s="6">
        <f t="shared" si="429"/>
        <v>132.27795</v>
      </c>
      <c r="O940">
        <f t="shared" si="430"/>
        <v>1642.8</v>
      </c>
      <c r="P940" s="7">
        <f t="shared" si="434"/>
        <v>12.419303443998036</v>
      </c>
      <c r="Q940">
        <f>ROUNDUP(몬스터!$P$32/F940, 0)</f>
        <v>18</v>
      </c>
      <c r="R940" s="6">
        <f t="shared" si="431"/>
        <v>21.003500583430572</v>
      </c>
      <c r="S940" s="7">
        <f>B940/몬스터!$C$32*R940</f>
        <v>349.77258114447648</v>
      </c>
      <c r="U940">
        <f>ROUNDDOWN(R940*몬스터!$H$32, 0)*몬스터!$G$32*(1+몬스터!$I$32)</f>
        <v>3176.8199999999997</v>
      </c>
      <c r="V940" s="2">
        <f t="shared" si="435"/>
        <v>1.9337837837837837</v>
      </c>
    </row>
    <row r="941" spans="1:22" x14ac:dyDescent="0.4">
      <c r="A941">
        <v>97</v>
      </c>
      <c r="B941" s="4">
        <f>170*A941</f>
        <v>16490</v>
      </c>
      <c r="C941">
        <f t="shared" si="424"/>
        <v>1120</v>
      </c>
      <c r="D941">
        <f t="shared" si="425"/>
        <v>49</v>
      </c>
      <c r="E941" s="2">
        <v>0</v>
      </c>
      <c r="F941">
        <f t="shared" si="426"/>
        <v>148</v>
      </c>
      <c r="G941">
        <f t="shared" si="427"/>
        <v>0.85899999999999999</v>
      </c>
      <c r="H941" s="3">
        <f t="shared" si="433"/>
        <v>0.05</v>
      </c>
      <c r="I941" s="2">
        <v>2</v>
      </c>
      <c r="J941" s="2">
        <v>0</v>
      </c>
      <c r="K941" s="2">
        <v>1</v>
      </c>
      <c r="L941" s="16">
        <v>3</v>
      </c>
      <c r="M941" s="5">
        <f t="shared" si="428"/>
        <v>1260</v>
      </c>
      <c r="N941" s="6">
        <f t="shared" si="429"/>
        <v>133.48860000000002</v>
      </c>
      <c r="O941">
        <f t="shared" si="430"/>
        <v>1668.8</v>
      </c>
      <c r="P941" s="7">
        <f t="shared" si="434"/>
        <v>12.501442070708658</v>
      </c>
      <c r="Q941">
        <f>ROUNDUP(몬스터!$P$32/F941, 0)</f>
        <v>17</v>
      </c>
      <c r="R941" s="6">
        <f t="shared" ref="R941:R944" si="442">Q941/G941</f>
        <v>19.790454016298021</v>
      </c>
      <c r="S941" s="7">
        <f>B941/몬스터!$C$32*R941</f>
        <v>333.00468033546366</v>
      </c>
      <c r="U941">
        <f>ROUNDDOWN(R941*몬스터!$H$32, 0)*몬스터!$G$32*(1+몬스터!$I$32)</f>
        <v>3000.33</v>
      </c>
      <c r="V941" s="2">
        <f t="shared" si="435"/>
        <v>1.7978966922339406</v>
      </c>
    </row>
    <row r="942" spans="1:22" x14ac:dyDescent="0.4">
      <c r="A942">
        <v>98</v>
      </c>
      <c r="B942" s="4">
        <f>170*A942</f>
        <v>16660</v>
      </c>
      <c r="C942">
        <f t="shared" si="424"/>
        <v>1130</v>
      </c>
      <c r="D942">
        <f t="shared" si="425"/>
        <v>49</v>
      </c>
      <c r="E942" s="2">
        <v>0</v>
      </c>
      <c r="F942">
        <f t="shared" si="426"/>
        <v>149</v>
      </c>
      <c r="G942">
        <f t="shared" si="427"/>
        <v>0.86099999999999999</v>
      </c>
      <c r="H942" s="3">
        <f t="shared" si="433"/>
        <v>0.05</v>
      </c>
      <c r="I942" s="2">
        <v>2</v>
      </c>
      <c r="J942" s="2">
        <v>0</v>
      </c>
      <c r="K942" s="2">
        <v>1</v>
      </c>
      <c r="L942" s="16">
        <v>3</v>
      </c>
      <c r="M942" s="5">
        <f t="shared" si="428"/>
        <v>1270</v>
      </c>
      <c r="N942" s="6">
        <f t="shared" si="429"/>
        <v>134.70345</v>
      </c>
      <c r="O942">
        <f t="shared" si="430"/>
        <v>1683.7</v>
      </c>
      <c r="P942" s="7">
        <f t="shared" si="434"/>
        <v>12.499308666556054</v>
      </c>
      <c r="Q942">
        <f>ROUNDUP(몬스터!$P$32/F942, 0)</f>
        <v>17</v>
      </c>
      <c r="R942" s="6">
        <f t="shared" si="442"/>
        <v>19.744483159117305</v>
      </c>
      <c r="S942" s="7">
        <f>B942/몬스터!$C$32*R942</f>
        <v>335.65621370499417</v>
      </c>
      <c r="U942">
        <f>ROUNDDOWN(R942*몬스터!$H$32, 0)*몬스터!$G$32*(1+몬스터!$I$32)</f>
        <v>3000.33</v>
      </c>
      <c r="V942" s="2">
        <f t="shared" si="435"/>
        <v>1.7819861020371799</v>
      </c>
    </row>
    <row r="943" spans="1:22" x14ac:dyDescent="0.4">
      <c r="A943">
        <v>99</v>
      </c>
      <c r="B943" s="4">
        <f>170*A943</f>
        <v>16830</v>
      </c>
      <c r="C943">
        <f t="shared" si="424"/>
        <v>1140</v>
      </c>
      <c r="D943">
        <f t="shared" si="425"/>
        <v>49</v>
      </c>
      <c r="E943" s="2">
        <v>0</v>
      </c>
      <c r="F943">
        <f t="shared" si="426"/>
        <v>151</v>
      </c>
      <c r="G943">
        <f t="shared" si="427"/>
        <v>0.86299999999999999</v>
      </c>
      <c r="H943" s="3">
        <f t="shared" si="433"/>
        <v>0.05</v>
      </c>
      <c r="I943" s="2">
        <v>2</v>
      </c>
      <c r="J943" s="2">
        <v>0</v>
      </c>
      <c r="K943" s="2">
        <v>1</v>
      </c>
      <c r="L943" s="16">
        <v>3</v>
      </c>
      <c r="M943" s="5">
        <f t="shared" si="428"/>
        <v>1280</v>
      </c>
      <c r="N943" s="6">
        <f t="shared" si="429"/>
        <v>136.82864999999998</v>
      </c>
      <c r="O943">
        <f t="shared" si="430"/>
        <v>1698.6</v>
      </c>
      <c r="P943" s="7">
        <f t="shared" si="434"/>
        <v>12.41406679083657</v>
      </c>
      <c r="Q943">
        <f>ROUNDUP(몬스터!$P$32/F943, 0)</f>
        <v>17</v>
      </c>
      <c r="R943" s="6">
        <f t="shared" si="442"/>
        <v>19.698725376593281</v>
      </c>
      <c r="S943" s="7">
        <f>B943/몬스터!$C$32*R943</f>
        <v>338.29545723271929</v>
      </c>
      <c r="U943">
        <f>ROUNDDOWN(R943*몬스터!$H$32, 0)*몬스터!$G$32*(1+몬스터!$I$32)</f>
        <v>3000.33</v>
      </c>
      <c r="V943" s="2">
        <f t="shared" si="435"/>
        <v>1.7663546450017662</v>
      </c>
    </row>
    <row r="944" spans="1:22" x14ac:dyDescent="0.4">
      <c r="A944">
        <v>100</v>
      </c>
      <c r="B944" s="4">
        <f>170*A944</f>
        <v>17000</v>
      </c>
      <c r="C944">
        <f t="shared" si="424"/>
        <v>1150</v>
      </c>
      <c r="D944">
        <f t="shared" si="425"/>
        <v>50</v>
      </c>
      <c r="E944" s="2">
        <v>0</v>
      </c>
      <c r="F944">
        <f t="shared" si="426"/>
        <v>152</v>
      </c>
      <c r="G944">
        <f t="shared" si="427"/>
        <v>0.86499999999999999</v>
      </c>
      <c r="H944" s="3">
        <f t="shared" si="433"/>
        <v>0.05</v>
      </c>
      <c r="I944" s="2">
        <v>2</v>
      </c>
      <c r="J944" s="2">
        <v>0</v>
      </c>
      <c r="K944" s="2">
        <v>1</v>
      </c>
      <c r="L944" s="16">
        <v>3</v>
      </c>
      <c r="M944" s="5">
        <f t="shared" si="428"/>
        <v>1290</v>
      </c>
      <c r="N944" s="6">
        <f t="shared" si="429"/>
        <v>138.054</v>
      </c>
      <c r="O944">
        <f t="shared" si="430"/>
        <v>1725</v>
      </c>
      <c r="P944" s="7">
        <f t="shared" si="434"/>
        <v>12.495110608892173</v>
      </c>
      <c r="Q944">
        <f>ROUNDUP(몬스터!$P$32/F944, 0)</f>
        <v>17</v>
      </c>
      <c r="R944" s="6">
        <f t="shared" si="442"/>
        <v>19.653179190751445</v>
      </c>
      <c r="S944" s="7">
        <f>B944/몬스터!$C$32*R944</f>
        <v>340.92249616609649</v>
      </c>
      <c r="T944" s="7">
        <f t="shared" ref="T944" si="443">SUM(S940:S944)</f>
        <v>1697.6514285837502</v>
      </c>
      <c r="U944">
        <f>ROUNDDOWN(R944*몬스터!$H$32, 0)*몬스터!$G$32*(1+몬스터!$I$32)</f>
        <v>3000.33</v>
      </c>
      <c r="V944" s="2">
        <f t="shared" si="435"/>
        <v>1.7393217391304348</v>
      </c>
    </row>
    <row r="946" spans="1:22" x14ac:dyDescent="0.4">
      <c r="A946" t="s">
        <v>282</v>
      </c>
      <c r="B946" t="s">
        <v>295</v>
      </c>
    </row>
    <row r="948" spans="1:22" ht="19.8" thickBot="1" x14ac:dyDescent="0.45">
      <c r="B948" s="48" t="s">
        <v>296</v>
      </c>
    </row>
    <row r="949" spans="1:22" ht="18" thickBot="1" x14ac:dyDescent="0.45">
      <c r="A949" s="36" t="s">
        <v>18</v>
      </c>
      <c r="B949" s="36" t="s">
        <v>300</v>
      </c>
      <c r="C949" s="28" t="s">
        <v>301</v>
      </c>
      <c r="D949" s="28" t="s">
        <v>302</v>
      </c>
      <c r="E949" s="28" t="s">
        <v>303</v>
      </c>
      <c r="F949" s="37" t="s">
        <v>305</v>
      </c>
      <c r="G949" s="37" t="s">
        <v>306</v>
      </c>
      <c r="H949" s="37" t="s">
        <v>307</v>
      </c>
      <c r="I949" s="37" t="s">
        <v>308</v>
      </c>
      <c r="J949" s="37" t="s">
        <v>309</v>
      </c>
      <c r="K949" s="38" t="s">
        <v>310</v>
      </c>
      <c r="L949" s="38" t="s">
        <v>312</v>
      </c>
      <c r="M949" s="38" t="s">
        <v>311</v>
      </c>
      <c r="N949" s="23" t="s">
        <v>313</v>
      </c>
      <c r="O949" s="23" t="s">
        <v>314</v>
      </c>
      <c r="P949" s="23" t="s">
        <v>315</v>
      </c>
      <c r="Q949" s="39" t="s">
        <v>316</v>
      </c>
      <c r="R949" s="39" t="s">
        <v>317</v>
      </c>
      <c r="S949" s="39" t="s">
        <v>318</v>
      </c>
      <c r="T949" s="39" t="s">
        <v>319</v>
      </c>
      <c r="U949" s="39" t="s">
        <v>320</v>
      </c>
      <c r="V949" s="39" t="s">
        <v>321</v>
      </c>
    </row>
    <row r="950" spans="1:22" ht="18" thickTop="1" x14ac:dyDescent="0.4">
      <c r="A950">
        <v>1</v>
      </c>
      <c r="B950" s="4">
        <f>150*A950</f>
        <v>150</v>
      </c>
      <c r="C950">
        <f t="shared" ref="C950:C981" si="444">MROUND((150+A950*11)*0.9,5)</f>
        <v>145</v>
      </c>
      <c r="D950">
        <f t="shared" ref="D950:D981" si="445">ROUNDDOWN((18+A950*0.3), 0)</f>
        <v>18</v>
      </c>
      <c r="E950" s="2">
        <v>0</v>
      </c>
      <c r="F950">
        <f t="shared" ref="F950:F981" si="446">ROUND((28+A950*2)*2/3, 0)</f>
        <v>20</v>
      </c>
      <c r="G950">
        <f t="shared" ref="G950:G981" si="447">0.665+0.002*A950</f>
        <v>0.66700000000000004</v>
      </c>
      <c r="H950" s="3">
        <v>0.08</v>
      </c>
      <c r="I950" s="2">
        <v>2</v>
      </c>
      <c r="J950" s="2">
        <v>0</v>
      </c>
      <c r="K950" s="2">
        <v>1</v>
      </c>
      <c r="L950" s="16">
        <v>3</v>
      </c>
      <c r="M950" s="5">
        <f t="shared" ref="M950:M981" si="448">290+10*A950</f>
        <v>300</v>
      </c>
      <c r="N950" s="6">
        <f t="shared" ref="N950:N981" si="449">F950*G950*(1+H950)</f>
        <v>14.407200000000001</v>
      </c>
      <c r="O950">
        <f t="shared" ref="O950:O981" si="450">C950*(1+D950/100)*(1+E950)</f>
        <v>171.1</v>
      </c>
      <c r="P950" s="7">
        <f>O950/N950</f>
        <v>11.876006441223831</v>
      </c>
      <c r="Q950">
        <f>ROUNDUP(몬스터!$P$5/F950, 0)</f>
        <v>7</v>
      </c>
      <c r="R950" s="6">
        <f t="shared" ref="R950:R981" si="451">Q950/G950</f>
        <v>10.494752623688155</v>
      </c>
      <c r="S950" s="7">
        <f>B950/몬스터!$C$5*R950</f>
        <v>52.473763118440779</v>
      </c>
      <c r="U950">
        <f>ROUNDDOWN(R950*몬스터!$H$5, 0)*몬스터!$G$5*(1+몬스터!$I$5)</f>
        <v>37.800000000000004</v>
      </c>
      <c r="V950" s="2">
        <f>U950/O950</f>
        <v>0.22092343658679139</v>
      </c>
    </row>
    <row r="951" spans="1:22" x14ac:dyDescent="0.4">
      <c r="A951">
        <v>2</v>
      </c>
      <c r="B951" s="4">
        <f>150*A951</f>
        <v>300</v>
      </c>
      <c r="C951">
        <f t="shared" si="444"/>
        <v>155</v>
      </c>
      <c r="D951">
        <f t="shared" si="445"/>
        <v>18</v>
      </c>
      <c r="E951" s="2">
        <v>0</v>
      </c>
      <c r="F951">
        <f t="shared" si="446"/>
        <v>21</v>
      </c>
      <c r="G951">
        <f t="shared" si="447"/>
        <v>0.66900000000000004</v>
      </c>
      <c r="H951" s="3">
        <v>0.08</v>
      </c>
      <c r="I951" s="2">
        <v>2</v>
      </c>
      <c r="J951" s="2">
        <v>0</v>
      </c>
      <c r="K951" s="2">
        <v>1</v>
      </c>
      <c r="L951" s="16">
        <v>3</v>
      </c>
      <c r="M951" s="5">
        <f t="shared" si="448"/>
        <v>310</v>
      </c>
      <c r="N951" s="6">
        <f t="shared" si="449"/>
        <v>15.172920000000003</v>
      </c>
      <c r="O951">
        <f t="shared" si="450"/>
        <v>182.89999999999998</v>
      </c>
      <c r="P951" s="7">
        <f t="shared" ref="P951:P1014" si="452">O951/N951</f>
        <v>12.054370549637113</v>
      </c>
      <c r="Q951">
        <f>ROUNDUP(몬스터!$P$5/F951, 0)</f>
        <v>7</v>
      </c>
      <c r="R951" s="6">
        <f t="shared" si="451"/>
        <v>10.46337817638266</v>
      </c>
      <c r="S951" s="7">
        <f>B951/몬스터!$C$5*R951</f>
        <v>104.6337817638266</v>
      </c>
      <c r="U951">
        <f>ROUNDDOWN(R951*몬스터!$H$5, 0)*몬스터!$G$5*(1+몬스터!$I$5)</f>
        <v>37.800000000000004</v>
      </c>
      <c r="V951" s="2">
        <f t="shared" ref="V951:V1014" si="453">U951/O951</f>
        <v>0.20667031164570809</v>
      </c>
    </row>
    <row r="952" spans="1:22" x14ac:dyDescent="0.4">
      <c r="A952">
        <v>3</v>
      </c>
      <c r="B952" s="4">
        <f>150*A952</f>
        <v>450</v>
      </c>
      <c r="C952">
        <f t="shared" si="444"/>
        <v>165</v>
      </c>
      <c r="D952">
        <f t="shared" si="445"/>
        <v>18</v>
      </c>
      <c r="E952" s="2">
        <v>0</v>
      </c>
      <c r="F952">
        <f t="shared" si="446"/>
        <v>23</v>
      </c>
      <c r="G952">
        <f t="shared" si="447"/>
        <v>0.67100000000000004</v>
      </c>
      <c r="H952" s="3">
        <v>0.08</v>
      </c>
      <c r="I952" s="2">
        <v>2</v>
      </c>
      <c r="J952" s="2">
        <v>0</v>
      </c>
      <c r="K952" s="2">
        <v>1</v>
      </c>
      <c r="L952" s="16">
        <v>3</v>
      </c>
      <c r="M952" s="5">
        <f t="shared" si="448"/>
        <v>320</v>
      </c>
      <c r="N952" s="6">
        <f t="shared" si="449"/>
        <v>16.667640000000002</v>
      </c>
      <c r="O952">
        <f t="shared" si="450"/>
        <v>194.7</v>
      </c>
      <c r="P952" s="7">
        <f t="shared" si="452"/>
        <v>11.681317811039833</v>
      </c>
      <c r="Q952">
        <f>ROUNDUP(몬스터!$P$5/F952, 0)</f>
        <v>6</v>
      </c>
      <c r="R952" s="6">
        <f t="shared" si="451"/>
        <v>8.9418777943368095</v>
      </c>
      <c r="S952" s="7">
        <f>B952/몬스터!$C$5*R952</f>
        <v>134.12816691505213</v>
      </c>
      <c r="U952">
        <f>ROUNDDOWN(R952*몬스터!$H$5, 0)*몬스터!$G$5*(1+몬스터!$I$5)</f>
        <v>31.5</v>
      </c>
      <c r="V952" s="2">
        <f t="shared" si="453"/>
        <v>0.16178736517719569</v>
      </c>
    </row>
    <row r="953" spans="1:22" x14ac:dyDescent="0.4">
      <c r="A953">
        <v>4</v>
      </c>
      <c r="B953" s="4">
        <f>150*A953+50</f>
        <v>650</v>
      </c>
      <c r="C953">
        <f t="shared" si="444"/>
        <v>175</v>
      </c>
      <c r="D953">
        <f t="shared" si="445"/>
        <v>19</v>
      </c>
      <c r="E953" s="2">
        <v>0</v>
      </c>
      <c r="F953">
        <f t="shared" si="446"/>
        <v>24</v>
      </c>
      <c r="G953">
        <f t="shared" si="447"/>
        <v>0.67300000000000004</v>
      </c>
      <c r="H953" s="3">
        <v>0.08</v>
      </c>
      <c r="I953" s="2">
        <v>2</v>
      </c>
      <c r="J953" s="2">
        <v>0</v>
      </c>
      <c r="K953" s="2">
        <v>1</v>
      </c>
      <c r="L953" s="16">
        <v>3</v>
      </c>
      <c r="M953" s="5">
        <f t="shared" si="448"/>
        <v>330</v>
      </c>
      <c r="N953" s="6">
        <f t="shared" si="449"/>
        <v>17.444160000000004</v>
      </c>
      <c r="O953">
        <f t="shared" si="450"/>
        <v>208.25</v>
      </c>
      <c r="P953" s="7">
        <f t="shared" si="452"/>
        <v>11.938092748518699</v>
      </c>
      <c r="Q953">
        <f>ROUNDUP(몬스터!$P$5/F953, 0)</f>
        <v>6</v>
      </c>
      <c r="R953" s="6">
        <f t="shared" si="451"/>
        <v>8.9153046062407135</v>
      </c>
      <c r="S953" s="7">
        <f>B953/몬스터!$C$5*R953</f>
        <v>193.16493313521548</v>
      </c>
      <c r="U953">
        <f>ROUNDDOWN(R953*몬스터!$H$5, 0)*몬스터!$G$5*(1+몬스터!$I$5)</f>
        <v>31.5</v>
      </c>
      <c r="V953" s="2">
        <f t="shared" si="453"/>
        <v>0.15126050420168066</v>
      </c>
    </row>
    <row r="954" spans="1:22" x14ac:dyDescent="0.4">
      <c r="A954">
        <v>5</v>
      </c>
      <c r="B954" s="4">
        <f>150*A954+75</f>
        <v>825</v>
      </c>
      <c r="C954">
        <f t="shared" si="444"/>
        <v>185</v>
      </c>
      <c r="D954">
        <f t="shared" si="445"/>
        <v>19</v>
      </c>
      <c r="E954" s="2">
        <v>0</v>
      </c>
      <c r="F954">
        <f t="shared" si="446"/>
        <v>25</v>
      </c>
      <c r="G954">
        <f t="shared" si="447"/>
        <v>0.67500000000000004</v>
      </c>
      <c r="H954" s="3">
        <v>0.08</v>
      </c>
      <c r="I954" s="2">
        <v>2</v>
      </c>
      <c r="J954" s="2">
        <v>0</v>
      </c>
      <c r="K954" s="2">
        <v>1</v>
      </c>
      <c r="L954" s="16">
        <v>3</v>
      </c>
      <c r="M954" s="5">
        <f t="shared" si="448"/>
        <v>340</v>
      </c>
      <c r="N954" s="6">
        <f t="shared" si="449"/>
        <v>18.225000000000001</v>
      </c>
      <c r="O954">
        <f t="shared" si="450"/>
        <v>220.14999999999998</v>
      </c>
      <c r="P954" s="7">
        <f t="shared" si="452"/>
        <v>12.079561042524004</v>
      </c>
      <c r="Q954">
        <f>ROUNDUP(몬스터!$P$5/F954, 0)</f>
        <v>6</v>
      </c>
      <c r="R954" s="6">
        <f t="shared" si="451"/>
        <v>8.8888888888888875</v>
      </c>
      <c r="S954" s="7">
        <f>B954/몬스터!$C$5*R954</f>
        <v>244.4444444444444</v>
      </c>
      <c r="T954" s="7">
        <f>SUM(S950:S954)</f>
        <v>728.84508937697933</v>
      </c>
      <c r="U954">
        <f>ROUNDDOWN(R954*몬스터!$H$5, 0)*몬스터!$G$5*(1+몬스터!$I$5)</f>
        <v>31.5</v>
      </c>
      <c r="V954" s="2">
        <f t="shared" si="453"/>
        <v>0.14308426073131958</v>
      </c>
    </row>
    <row r="955" spans="1:22" x14ac:dyDescent="0.4">
      <c r="A955">
        <v>6</v>
      </c>
      <c r="B955" s="4">
        <f>150*A955</f>
        <v>900</v>
      </c>
      <c r="C955">
        <f t="shared" si="444"/>
        <v>195</v>
      </c>
      <c r="D955">
        <f t="shared" si="445"/>
        <v>19</v>
      </c>
      <c r="E955" s="2">
        <v>0</v>
      </c>
      <c r="F955">
        <f t="shared" si="446"/>
        <v>27</v>
      </c>
      <c r="G955">
        <f t="shared" si="447"/>
        <v>0.67700000000000005</v>
      </c>
      <c r="H955" s="3">
        <v>0.08</v>
      </c>
      <c r="I955" s="2">
        <v>2</v>
      </c>
      <c r="J955" s="2">
        <v>0</v>
      </c>
      <c r="K955" s="2">
        <v>1</v>
      </c>
      <c r="L955" s="16">
        <v>3</v>
      </c>
      <c r="M955" s="5">
        <f t="shared" si="448"/>
        <v>350</v>
      </c>
      <c r="N955" s="6">
        <f t="shared" si="449"/>
        <v>19.741320000000002</v>
      </c>
      <c r="O955">
        <f t="shared" si="450"/>
        <v>232.04999999999998</v>
      </c>
      <c r="P955" s="7">
        <f t="shared" si="452"/>
        <v>11.754533131523118</v>
      </c>
      <c r="Q955">
        <f>ROUNDUP(몬스터!$P$6/F955, 0)</f>
        <v>9</v>
      </c>
      <c r="R955" s="6">
        <f t="shared" si="451"/>
        <v>13.29394387001477</v>
      </c>
      <c r="S955" s="7">
        <f>B955/몬스터!$C$6*R955</f>
        <v>149.55686853766616</v>
      </c>
      <c r="U955">
        <f>ROUNDDOWN(R955*몬스터!$H$6, 0)*몬스터!$G$6*(1+몬스터!$I$6)</f>
        <v>109.98000000000002</v>
      </c>
      <c r="V955" s="2">
        <f t="shared" si="453"/>
        <v>0.47394957983193287</v>
      </c>
    </row>
    <row r="956" spans="1:22" x14ac:dyDescent="0.4">
      <c r="A956">
        <v>7</v>
      </c>
      <c r="B956" s="4">
        <f>150*A956</f>
        <v>1050</v>
      </c>
      <c r="C956">
        <f t="shared" si="444"/>
        <v>205</v>
      </c>
      <c r="D956">
        <f t="shared" si="445"/>
        <v>20</v>
      </c>
      <c r="E956" s="2">
        <v>0</v>
      </c>
      <c r="F956">
        <f t="shared" si="446"/>
        <v>28</v>
      </c>
      <c r="G956">
        <f t="shared" si="447"/>
        <v>0.67900000000000005</v>
      </c>
      <c r="H956" s="3">
        <v>0.08</v>
      </c>
      <c r="I956" s="2">
        <v>2</v>
      </c>
      <c r="J956" s="2">
        <v>0</v>
      </c>
      <c r="K956" s="2">
        <v>1</v>
      </c>
      <c r="L956" s="16">
        <v>3</v>
      </c>
      <c r="M956" s="5">
        <f t="shared" si="448"/>
        <v>360</v>
      </c>
      <c r="N956" s="6">
        <f t="shared" si="449"/>
        <v>20.532960000000003</v>
      </c>
      <c r="O956">
        <f t="shared" si="450"/>
        <v>246</v>
      </c>
      <c r="P956" s="7">
        <f t="shared" si="452"/>
        <v>11.980737312106971</v>
      </c>
      <c r="Q956">
        <f>ROUNDUP(몬스터!$P$6/F956, 0)</f>
        <v>8</v>
      </c>
      <c r="R956" s="6">
        <f t="shared" si="451"/>
        <v>11.782032400589101</v>
      </c>
      <c r="S956" s="7">
        <f>B956/몬스터!$C$6*R956</f>
        <v>154.63917525773195</v>
      </c>
      <c r="U956">
        <f>ROUNDDOWN(R956*몬스터!$H$6, 0)*몬스터!$G$6*(1+몬스터!$I$6)</f>
        <v>96.232500000000016</v>
      </c>
      <c r="V956" s="2">
        <f t="shared" si="453"/>
        <v>0.39118902439024394</v>
      </c>
    </row>
    <row r="957" spans="1:22" x14ac:dyDescent="0.4">
      <c r="A957">
        <v>8</v>
      </c>
      <c r="B957" s="4">
        <f>150*A957+50</f>
        <v>1250</v>
      </c>
      <c r="C957">
        <f t="shared" si="444"/>
        <v>215</v>
      </c>
      <c r="D957">
        <f t="shared" si="445"/>
        <v>20</v>
      </c>
      <c r="E957" s="2">
        <v>0</v>
      </c>
      <c r="F957">
        <f t="shared" si="446"/>
        <v>29</v>
      </c>
      <c r="G957">
        <f t="shared" si="447"/>
        <v>0.68100000000000005</v>
      </c>
      <c r="H957" s="3">
        <v>0.08</v>
      </c>
      <c r="I957" s="2">
        <v>2</v>
      </c>
      <c r="J957" s="2">
        <v>0</v>
      </c>
      <c r="K957" s="2">
        <v>1</v>
      </c>
      <c r="L957" s="16">
        <v>3</v>
      </c>
      <c r="M957" s="5">
        <f t="shared" si="448"/>
        <v>370</v>
      </c>
      <c r="N957" s="6">
        <f t="shared" si="449"/>
        <v>21.328920000000004</v>
      </c>
      <c r="O957">
        <f t="shared" si="450"/>
        <v>258</v>
      </c>
      <c r="P957" s="7">
        <f t="shared" si="452"/>
        <v>12.096252412217776</v>
      </c>
      <c r="Q957">
        <f>ROUNDUP(몬스터!$P$6/F957, 0)</f>
        <v>8</v>
      </c>
      <c r="R957" s="6">
        <f t="shared" si="451"/>
        <v>11.747430249632892</v>
      </c>
      <c r="S957" s="7">
        <f>B957/몬스터!$C$6*R957</f>
        <v>183.55359765051392</v>
      </c>
      <c r="U957">
        <f>ROUNDDOWN(R957*몬스터!$H$6, 0)*몬스터!$G$6*(1+몬스터!$I$6)</f>
        <v>96.232500000000016</v>
      </c>
      <c r="V957" s="2">
        <f t="shared" si="453"/>
        <v>0.37299418604651169</v>
      </c>
    </row>
    <row r="958" spans="1:22" x14ac:dyDescent="0.4">
      <c r="A958">
        <v>9</v>
      </c>
      <c r="B958" s="4">
        <f>150*A958+50</f>
        <v>1400</v>
      </c>
      <c r="C958">
        <f t="shared" si="444"/>
        <v>225</v>
      </c>
      <c r="D958">
        <f t="shared" si="445"/>
        <v>20</v>
      </c>
      <c r="E958" s="2">
        <v>0</v>
      </c>
      <c r="F958">
        <f t="shared" si="446"/>
        <v>31</v>
      </c>
      <c r="G958">
        <f t="shared" si="447"/>
        <v>0.68300000000000005</v>
      </c>
      <c r="H958" s="3">
        <v>0.08</v>
      </c>
      <c r="I958" s="2">
        <v>2</v>
      </c>
      <c r="J958" s="2">
        <v>0</v>
      </c>
      <c r="K958" s="2">
        <v>1</v>
      </c>
      <c r="L958" s="16">
        <v>3</v>
      </c>
      <c r="M958" s="5">
        <f t="shared" si="448"/>
        <v>380</v>
      </c>
      <c r="N958" s="6">
        <f t="shared" si="449"/>
        <v>22.866840000000003</v>
      </c>
      <c r="O958">
        <f t="shared" si="450"/>
        <v>270</v>
      </c>
      <c r="P958" s="7">
        <f t="shared" si="452"/>
        <v>11.807490672082368</v>
      </c>
      <c r="Q958">
        <f>ROUNDUP(몬스터!$P$6/F958, 0)</f>
        <v>8</v>
      </c>
      <c r="R958" s="6">
        <f t="shared" si="451"/>
        <v>11.713030746705709</v>
      </c>
      <c r="S958" s="7">
        <f>B958/몬스터!$C$6*R958</f>
        <v>204.9780380673499</v>
      </c>
      <c r="U958">
        <f>ROUNDDOWN(R958*몬스터!$H$6, 0)*몬스터!$G$6*(1+몬스터!$I$6)</f>
        <v>96.232500000000016</v>
      </c>
      <c r="V958" s="2">
        <f t="shared" si="453"/>
        <v>0.35641666666666671</v>
      </c>
    </row>
    <row r="959" spans="1:22" x14ac:dyDescent="0.4">
      <c r="A959">
        <v>10</v>
      </c>
      <c r="B959" s="4">
        <f>150*A959+50</f>
        <v>1550</v>
      </c>
      <c r="C959">
        <f t="shared" si="444"/>
        <v>235</v>
      </c>
      <c r="D959">
        <f t="shared" si="445"/>
        <v>21</v>
      </c>
      <c r="E959" s="2">
        <v>0</v>
      </c>
      <c r="F959">
        <f t="shared" si="446"/>
        <v>32</v>
      </c>
      <c r="G959">
        <f t="shared" si="447"/>
        <v>0.68500000000000005</v>
      </c>
      <c r="H959" s="3">
        <v>0.08</v>
      </c>
      <c r="I959" s="2">
        <v>2</v>
      </c>
      <c r="J959" s="2">
        <v>0</v>
      </c>
      <c r="K959" s="2">
        <v>1</v>
      </c>
      <c r="L959" s="16">
        <v>3</v>
      </c>
      <c r="M959" s="5">
        <f t="shared" si="448"/>
        <v>390</v>
      </c>
      <c r="N959" s="6">
        <f t="shared" si="449"/>
        <v>23.673600000000004</v>
      </c>
      <c r="O959">
        <f t="shared" si="450"/>
        <v>284.34999999999997</v>
      </c>
      <c r="P959" s="7">
        <f t="shared" si="452"/>
        <v>12.01126993782103</v>
      </c>
      <c r="Q959">
        <f>ROUNDUP(몬스터!$P$6/F959, 0)</f>
        <v>7</v>
      </c>
      <c r="R959" s="6">
        <f t="shared" si="451"/>
        <v>10.21897810218978</v>
      </c>
      <c r="S959" s="7">
        <f>B959/몬스터!$C$6*R959</f>
        <v>197.99270072992698</v>
      </c>
      <c r="T959" s="7">
        <f>SUM(S955:S959)</f>
        <v>890.72038024318886</v>
      </c>
      <c r="U959">
        <f>ROUNDDOWN(R959*몬스터!$H$6, 0)*몬스터!$G$6*(1+몬스터!$I$6)</f>
        <v>82.485000000000014</v>
      </c>
      <c r="V959" s="2">
        <f t="shared" si="453"/>
        <v>0.29008264462809924</v>
      </c>
    </row>
    <row r="960" spans="1:22" x14ac:dyDescent="0.4">
      <c r="A960">
        <v>11</v>
      </c>
      <c r="B960" s="4">
        <f>160*A960</f>
        <v>1760</v>
      </c>
      <c r="C960">
        <f t="shared" si="444"/>
        <v>245</v>
      </c>
      <c r="D960">
        <f t="shared" si="445"/>
        <v>21</v>
      </c>
      <c r="E960" s="2">
        <v>0</v>
      </c>
      <c r="F960">
        <f t="shared" si="446"/>
        <v>33</v>
      </c>
      <c r="G960">
        <f t="shared" si="447"/>
        <v>0.68700000000000006</v>
      </c>
      <c r="H960" s="3">
        <v>0.08</v>
      </c>
      <c r="I960" s="2">
        <v>2</v>
      </c>
      <c r="J960" s="2">
        <v>0</v>
      </c>
      <c r="K960" s="2">
        <v>1</v>
      </c>
      <c r="L960" s="16">
        <v>3</v>
      </c>
      <c r="M960" s="5">
        <f t="shared" si="448"/>
        <v>400</v>
      </c>
      <c r="N960" s="6">
        <f t="shared" si="449"/>
        <v>24.484680000000004</v>
      </c>
      <c r="O960">
        <f t="shared" si="450"/>
        <v>296.45</v>
      </c>
      <c r="P960" s="7">
        <f t="shared" si="452"/>
        <v>12.107570938235661</v>
      </c>
      <c r="Q960">
        <f>ROUNDUP(몬스터!$P$7/F960, 0)</f>
        <v>8</v>
      </c>
      <c r="R960" s="6">
        <f t="shared" si="451"/>
        <v>11.644832605531295</v>
      </c>
      <c r="S960" s="7">
        <f>B960/몬스터!$C$7*R960</f>
        <v>157.6531183518083</v>
      </c>
      <c r="U960">
        <f>ROUNDDOWN(R960*몬스터!$H$7, 0)*몬스터!$G$7*(1+몬스터!$I$7)</f>
        <v>156.55499999999998</v>
      </c>
      <c r="V960" s="2">
        <f t="shared" si="453"/>
        <v>0.52809917355371894</v>
      </c>
    </row>
    <row r="961" spans="1:22" x14ac:dyDescent="0.4">
      <c r="A961">
        <v>12</v>
      </c>
      <c r="B961" s="4">
        <f>160*A961</f>
        <v>1920</v>
      </c>
      <c r="C961">
        <f t="shared" si="444"/>
        <v>255</v>
      </c>
      <c r="D961">
        <f t="shared" si="445"/>
        <v>21</v>
      </c>
      <c r="E961" s="2">
        <v>0</v>
      </c>
      <c r="F961">
        <f t="shared" si="446"/>
        <v>35</v>
      </c>
      <c r="G961">
        <f t="shared" si="447"/>
        <v>0.68900000000000006</v>
      </c>
      <c r="H961" s="3">
        <v>0.08</v>
      </c>
      <c r="I961" s="2">
        <v>2</v>
      </c>
      <c r="J961" s="2">
        <v>0</v>
      </c>
      <c r="K961" s="2">
        <v>1</v>
      </c>
      <c r="L961" s="16">
        <v>3</v>
      </c>
      <c r="M961" s="5">
        <f t="shared" si="448"/>
        <v>410</v>
      </c>
      <c r="N961" s="6">
        <f t="shared" si="449"/>
        <v>26.044200000000004</v>
      </c>
      <c r="O961">
        <f t="shared" si="450"/>
        <v>308.55</v>
      </c>
      <c r="P961" s="7">
        <f t="shared" si="452"/>
        <v>11.847167507544865</v>
      </c>
      <c r="Q961">
        <f>ROUNDUP(몬스터!$P$7/F961, 0)</f>
        <v>8</v>
      </c>
      <c r="R961" s="6">
        <f t="shared" si="451"/>
        <v>11.611030478955007</v>
      </c>
      <c r="S961" s="7">
        <f>B961/몬스터!$C$7*R961</f>
        <v>171.48598861225858</v>
      </c>
      <c r="U961">
        <f>ROUNDDOWN(R961*몬스터!$H$7, 0)*몬스터!$G$7*(1+몬스터!$I$7)</f>
        <v>156.55499999999998</v>
      </c>
      <c r="V961" s="2">
        <f t="shared" si="453"/>
        <v>0.50738940204180838</v>
      </c>
    </row>
    <row r="962" spans="1:22" x14ac:dyDescent="0.4">
      <c r="A962">
        <v>13</v>
      </c>
      <c r="B962" s="4">
        <f>160*A962+40</f>
        <v>2120</v>
      </c>
      <c r="C962">
        <f t="shared" si="444"/>
        <v>265</v>
      </c>
      <c r="D962">
        <f t="shared" si="445"/>
        <v>21</v>
      </c>
      <c r="E962" s="2">
        <v>0</v>
      </c>
      <c r="F962">
        <f t="shared" si="446"/>
        <v>36</v>
      </c>
      <c r="G962">
        <f t="shared" si="447"/>
        <v>0.69100000000000006</v>
      </c>
      <c r="H962" s="3">
        <v>0.08</v>
      </c>
      <c r="I962" s="2">
        <v>2</v>
      </c>
      <c r="J962" s="2">
        <v>0</v>
      </c>
      <c r="K962" s="2">
        <v>1</v>
      </c>
      <c r="L962" s="16">
        <v>3</v>
      </c>
      <c r="M962" s="5">
        <f t="shared" si="448"/>
        <v>420</v>
      </c>
      <c r="N962" s="6">
        <f t="shared" si="449"/>
        <v>26.866080000000004</v>
      </c>
      <c r="O962">
        <f t="shared" si="450"/>
        <v>320.64999999999998</v>
      </c>
      <c r="P962" s="7">
        <f t="shared" si="452"/>
        <v>11.9351241416686</v>
      </c>
      <c r="Q962">
        <f>ROUNDUP(몬스터!$P$7/F962, 0)</f>
        <v>8</v>
      </c>
      <c r="R962" s="6">
        <f t="shared" si="451"/>
        <v>11.577424023154848</v>
      </c>
      <c r="S962" s="7">
        <f>B962/몬스터!$C$7*R962</f>
        <v>188.80106868529441</v>
      </c>
      <c r="U962">
        <f>ROUNDDOWN(R962*몬스터!$H$7, 0)*몬스터!$G$7*(1+몬스터!$I$7)</f>
        <v>156.55499999999998</v>
      </c>
      <c r="V962" s="2">
        <f t="shared" si="453"/>
        <v>0.48824263215343827</v>
      </c>
    </row>
    <row r="963" spans="1:22" x14ac:dyDescent="0.4">
      <c r="A963">
        <v>14</v>
      </c>
      <c r="B963" s="4">
        <f>160*A963+120</f>
        <v>2360</v>
      </c>
      <c r="C963">
        <f t="shared" si="444"/>
        <v>275</v>
      </c>
      <c r="D963">
        <f t="shared" si="445"/>
        <v>22</v>
      </c>
      <c r="E963" s="2">
        <v>0</v>
      </c>
      <c r="F963">
        <f t="shared" si="446"/>
        <v>37</v>
      </c>
      <c r="G963">
        <f t="shared" si="447"/>
        <v>0.69300000000000006</v>
      </c>
      <c r="H963" s="3">
        <v>0.08</v>
      </c>
      <c r="I963" s="2">
        <v>2</v>
      </c>
      <c r="J963" s="2">
        <v>0</v>
      </c>
      <c r="K963" s="2">
        <v>1</v>
      </c>
      <c r="L963" s="16">
        <v>3</v>
      </c>
      <c r="M963" s="5">
        <f t="shared" si="448"/>
        <v>430</v>
      </c>
      <c r="N963" s="6">
        <f t="shared" si="449"/>
        <v>27.692280000000004</v>
      </c>
      <c r="O963">
        <f t="shared" si="450"/>
        <v>335.5</v>
      </c>
      <c r="P963" s="7">
        <f t="shared" si="452"/>
        <v>12.115289893067668</v>
      </c>
      <c r="Q963">
        <f>ROUNDUP(몬스터!$P$7/F963, 0)</f>
        <v>7</v>
      </c>
      <c r="R963" s="6">
        <f t="shared" si="451"/>
        <v>10.1010101010101</v>
      </c>
      <c r="S963" s="7">
        <f>B963/몬스터!$C$7*R963</f>
        <v>183.37218337218334</v>
      </c>
      <c r="U963">
        <f>ROUNDDOWN(R963*몬스터!$H$7, 0)*몬스터!$G$7*(1+몬스터!$I$7)</f>
        <v>134.19</v>
      </c>
      <c r="V963" s="2">
        <f t="shared" si="453"/>
        <v>0.39997019374068554</v>
      </c>
    </row>
    <row r="964" spans="1:22" x14ac:dyDescent="0.4">
      <c r="A964">
        <v>15</v>
      </c>
      <c r="B964" s="4">
        <f>160*A964+100</f>
        <v>2500</v>
      </c>
      <c r="C964">
        <f t="shared" si="444"/>
        <v>285</v>
      </c>
      <c r="D964">
        <f t="shared" si="445"/>
        <v>22</v>
      </c>
      <c r="E964" s="2">
        <v>0</v>
      </c>
      <c r="F964">
        <f t="shared" si="446"/>
        <v>39</v>
      </c>
      <c r="G964">
        <f t="shared" si="447"/>
        <v>0.69500000000000006</v>
      </c>
      <c r="H964" s="3">
        <v>0.08</v>
      </c>
      <c r="I964" s="2">
        <v>2</v>
      </c>
      <c r="J964" s="2">
        <v>0</v>
      </c>
      <c r="K964" s="2">
        <v>1</v>
      </c>
      <c r="L964" s="16">
        <v>3</v>
      </c>
      <c r="M964" s="5">
        <f t="shared" si="448"/>
        <v>440</v>
      </c>
      <c r="N964" s="6">
        <f t="shared" si="449"/>
        <v>29.273400000000006</v>
      </c>
      <c r="O964">
        <f t="shared" si="450"/>
        <v>347.7</v>
      </c>
      <c r="P964" s="7">
        <f t="shared" si="452"/>
        <v>11.877677345303242</v>
      </c>
      <c r="Q964">
        <f>ROUNDUP(몬스터!$P$7/F964, 0)</f>
        <v>7</v>
      </c>
      <c r="R964" s="6">
        <f t="shared" si="451"/>
        <v>10.071942446043165</v>
      </c>
      <c r="S964" s="7">
        <f>B964/몬스터!$C$7*R964</f>
        <v>193.69120088544548</v>
      </c>
      <c r="T964" s="7">
        <f t="shared" ref="T964" si="454">SUM(S960:S964)</f>
        <v>895.00355990699006</v>
      </c>
      <c r="U964">
        <f>ROUNDDOWN(R964*몬스터!$H$7, 0)*몬스터!$G$7*(1+몬스터!$I$7)</f>
        <v>134.19</v>
      </c>
      <c r="V964" s="2">
        <f t="shared" si="453"/>
        <v>0.38593615185504748</v>
      </c>
    </row>
    <row r="965" spans="1:22" x14ac:dyDescent="0.4">
      <c r="A965">
        <v>16</v>
      </c>
      <c r="B965" s="4">
        <f>160*A965</f>
        <v>2560</v>
      </c>
      <c r="C965">
        <f t="shared" si="444"/>
        <v>295</v>
      </c>
      <c r="D965">
        <f t="shared" si="445"/>
        <v>22</v>
      </c>
      <c r="E965" s="2">
        <v>0</v>
      </c>
      <c r="F965">
        <f t="shared" si="446"/>
        <v>40</v>
      </c>
      <c r="G965">
        <f t="shared" si="447"/>
        <v>0.69700000000000006</v>
      </c>
      <c r="H965" s="3">
        <v>0.08</v>
      </c>
      <c r="I965" s="2">
        <v>2</v>
      </c>
      <c r="J965" s="2">
        <v>0</v>
      </c>
      <c r="K965" s="2">
        <v>1</v>
      </c>
      <c r="L965" s="16">
        <v>3</v>
      </c>
      <c r="M965" s="5">
        <f t="shared" si="448"/>
        <v>450</v>
      </c>
      <c r="N965" s="6">
        <f t="shared" si="449"/>
        <v>30.110400000000006</v>
      </c>
      <c r="O965">
        <f t="shared" si="450"/>
        <v>359.9</v>
      </c>
      <c r="P965" s="7">
        <f t="shared" si="452"/>
        <v>11.952680801317815</v>
      </c>
      <c r="Q965">
        <f>ROUNDUP(몬스터!$P$8/F965, 0)</f>
        <v>9</v>
      </c>
      <c r="R965" s="6">
        <f t="shared" si="451"/>
        <v>12.91248206599713</v>
      </c>
      <c r="S965" s="7">
        <f>B965/몬스터!$C$8*R965</f>
        <v>183.64418938307028</v>
      </c>
      <c r="U965">
        <f>ROUNDDOWN(R965*몬스터!$H$8, 0)*몬스터!$G$8*(1+몬스터!$I$8)</f>
        <v>240.24</v>
      </c>
      <c r="V965" s="2">
        <f t="shared" si="453"/>
        <v>0.66751875520978055</v>
      </c>
    </row>
    <row r="966" spans="1:22" x14ac:dyDescent="0.4">
      <c r="A966">
        <v>17</v>
      </c>
      <c r="B966" s="4">
        <f>160*A966</f>
        <v>2720</v>
      </c>
      <c r="C966">
        <f t="shared" si="444"/>
        <v>305</v>
      </c>
      <c r="D966">
        <f t="shared" si="445"/>
        <v>23</v>
      </c>
      <c r="E966" s="2">
        <v>0</v>
      </c>
      <c r="F966">
        <f t="shared" si="446"/>
        <v>41</v>
      </c>
      <c r="G966">
        <f t="shared" si="447"/>
        <v>0.69900000000000007</v>
      </c>
      <c r="H966" s="3">
        <v>0.08</v>
      </c>
      <c r="I966" s="2">
        <v>2</v>
      </c>
      <c r="J966" s="2">
        <v>0</v>
      </c>
      <c r="K966" s="2">
        <v>1</v>
      </c>
      <c r="L966" s="16">
        <v>3</v>
      </c>
      <c r="M966" s="5">
        <f t="shared" si="448"/>
        <v>460</v>
      </c>
      <c r="N966" s="6">
        <f t="shared" si="449"/>
        <v>30.951720000000005</v>
      </c>
      <c r="O966">
        <f t="shared" si="450"/>
        <v>375.15</v>
      </c>
      <c r="P966" s="7">
        <f t="shared" si="452"/>
        <v>12.120489588300744</v>
      </c>
      <c r="Q966">
        <f>ROUNDUP(몬스터!$P$8/F966, 0)</f>
        <v>9</v>
      </c>
      <c r="R966" s="6">
        <f t="shared" si="451"/>
        <v>12.875536480686694</v>
      </c>
      <c r="S966" s="7">
        <f>B966/몬스터!$C$8*R966</f>
        <v>194.56366237482115</v>
      </c>
      <c r="U966">
        <f>ROUNDDOWN(R966*몬스터!$H$8, 0)*몬스터!$G$8*(1+몬스터!$I$8)</f>
        <v>240.24</v>
      </c>
      <c r="V966" s="2">
        <f t="shared" si="453"/>
        <v>0.64038384646141555</v>
      </c>
    </row>
    <row r="967" spans="1:22" x14ac:dyDescent="0.4">
      <c r="A967">
        <v>18</v>
      </c>
      <c r="B967" s="4">
        <f>160*A967</f>
        <v>2880</v>
      </c>
      <c r="C967">
        <f t="shared" si="444"/>
        <v>315</v>
      </c>
      <c r="D967">
        <f t="shared" si="445"/>
        <v>23</v>
      </c>
      <c r="E967" s="2">
        <v>0</v>
      </c>
      <c r="F967">
        <f t="shared" si="446"/>
        <v>43</v>
      </c>
      <c r="G967">
        <f t="shared" si="447"/>
        <v>0.70100000000000007</v>
      </c>
      <c r="H967" s="3">
        <v>0.08</v>
      </c>
      <c r="I967" s="2">
        <v>2</v>
      </c>
      <c r="J967" s="2">
        <v>0</v>
      </c>
      <c r="K967" s="2">
        <v>1</v>
      </c>
      <c r="L967" s="16">
        <v>3</v>
      </c>
      <c r="M967" s="5">
        <f t="shared" si="448"/>
        <v>470</v>
      </c>
      <c r="N967" s="6">
        <f t="shared" si="449"/>
        <v>32.554440000000007</v>
      </c>
      <c r="O967">
        <f t="shared" si="450"/>
        <v>387.45</v>
      </c>
      <c r="P967" s="7">
        <f t="shared" si="452"/>
        <v>11.90160236207411</v>
      </c>
      <c r="Q967">
        <f>ROUNDUP(몬스터!$P$8/F967, 0)</f>
        <v>8</v>
      </c>
      <c r="R967" s="6">
        <f t="shared" si="451"/>
        <v>11.412268188302424</v>
      </c>
      <c r="S967" s="7">
        <f>B967/몬스터!$C$8*R967</f>
        <v>182.59629101283878</v>
      </c>
      <c r="U967">
        <f>ROUNDDOWN(R967*몬스터!$H$8, 0)*몬스터!$G$8*(1+몬스터!$I$8)</f>
        <v>210.21</v>
      </c>
      <c r="V967" s="2">
        <f t="shared" si="453"/>
        <v>0.54254742547425483</v>
      </c>
    </row>
    <row r="968" spans="1:22" x14ac:dyDescent="0.4">
      <c r="A968">
        <v>19</v>
      </c>
      <c r="B968" s="4">
        <f>160*A968</f>
        <v>3040</v>
      </c>
      <c r="C968">
        <f t="shared" si="444"/>
        <v>325</v>
      </c>
      <c r="D968">
        <f t="shared" si="445"/>
        <v>23</v>
      </c>
      <c r="E968" s="2">
        <v>0</v>
      </c>
      <c r="F968">
        <f t="shared" si="446"/>
        <v>44</v>
      </c>
      <c r="G968">
        <f t="shared" si="447"/>
        <v>0.70300000000000007</v>
      </c>
      <c r="H968" s="3">
        <v>0.08</v>
      </c>
      <c r="I968" s="2">
        <v>2</v>
      </c>
      <c r="J968" s="2">
        <v>0</v>
      </c>
      <c r="K968" s="2">
        <v>1</v>
      </c>
      <c r="L968" s="16">
        <v>3</v>
      </c>
      <c r="M968" s="5">
        <f t="shared" si="448"/>
        <v>480</v>
      </c>
      <c r="N968" s="6">
        <f t="shared" si="449"/>
        <v>33.406560000000006</v>
      </c>
      <c r="O968">
        <f t="shared" si="450"/>
        <v>399.75</v>
      </c>
      <c r="P968" s="7">
        <f t="shared" si="452"/>
        <v>11.966212624107358</v>
      </c>
      <c r="Q968">
        <f>ROUNDUP(몬스터!$P$8/F968, 0)</f>
        <v>8</v>
      </c>
      <c r="R968" s="6">
        <f t="shared" si="451"/>
        <v>11.379800853485063</v>
      </c>
      <c r="S968" s="7">
        <f>B968/몬스터!$C$8*R968</f>
        <v>192.19219219219218</v>
      </c>
      <c r="U968">
        <f>ROUNDDOWN(R968*몬스터!$H$8, 0)*몬스터!$G$8*(1+몬스터!$I$8)</f>
        <v>210.21</v>
      </c>
      <c r="V968" s="2">
        <f t="shared" si="453"/>
        <v>0.52585365853658539</v>
      </c>
    </row>
    <row r="969" spans="1:22" x14ac:dyDescent="0.4">
      <c r="A969">
        <v>20</v>
      </c>
      <c r="B969" s="4">
        <f>160*A969+80</f>
        <v>3280</v>
      </c>
      <c r="C969">
        <f t="shared" si="444"/>
        <v>335</v>
      </c>
      <c r="D969">
        <f t="shared" si="445"/>
        <v>24</v>
      </c>
      <c r="E969" s="2">
        <v>0</v>
      </c>
      <c r="F969">
        <f t="shared" si="446"/>
        <v>45</v>
      </c>
      <c r="G969">
        <f t="shared" si="447"/>
        <v>0.70500000000000007</v>
      </c>
      <c r="H969" s="3">
        <v>0.08</v>
      </c>
      <c r="I969" s="2">
        <v>2</v>
      </c>
      <c r="J969" s="2">
        <v>0</v>
      </c>
      <c r="K969" s="2">
        <v>1</v>
      </c>
      <c r="L969" s="16">
        <v>3</v>
      </c>
      <c r="M969" s="5">
        <f t="shared" si="448"/>
        <v>490</v>
      </c>
      <c r="N969" s="6">
        <f t="shared" si="449"/>
        <v>34.263000000000005</v>
      </c>
      <c r="O969">
        <f t="shared" si="450"/>
        <v>415.4</v>
      </c>
      <c r="P969" s="7">
        <f t="shared" si="452"/>
        <v>12.12386539415696</v>
      </c>
      <c r="Q969">
        <f>ROUNDUP(몬스터!$P$8/F969, 0)</f>
        <v>8</v>
      </c>
      <c r="R969" s="6">
        <f t="shared" si="451"/>
        <v>11.347517730496453</v>
      </c>
      <c r="S969" s="7">
        <f>B969/몬스터!$C$8*R969</f>
        <v>206.77698975571312</v>
      </c>
      <c r="T969" s="7">
        <f t="shared" ref="T969" si="455">SUM(S965:S969)</f>
        <v>959.77332471863554</v>
      </c>
      <c r="U969">
        <f>ROUNDDOWN(R969*몬스터!$H$8, 0)*몬스터!$G$8*(1+몬스터!$I$8)</f>
        <v>210.21</v>
      </c>
      <c r="V969" s="2">
        <f t="shared" si="453"/>
        <v>0.50604236880115561</v>
      </c>
    </row>
    <row r="970" spans="1:22" x14ac:dyDescent="0.4">
      <c r="A970">
        <v>21</v>
      </c>
      <c r="B970" s="4">
        <f>160*A970</f>
        <v>3360</v>
      </c>
      <c r="C970">
        <f t="shared" si="444"/>
        <v>345</v>
      </c>
      <c r="D970">
        <f t="shared" si="445"/>
        <v>24</v>
      </c>
      <c r="E970" s="2">
        <v>0</v>
      </c>
      <c r="F970">
        <f t="shared" si="446"/>
        <v>47</v>
      </c>
      <c r="G970">
        <f t="shared" si="447"/>
        <v>0.70700000000000007</v>
      </c>
      <c r="H970" s="3">
        <v>0.08</v>
      </c>
      <c r="I970" s="2">
        <v>2</v>
      </c>
      <c r="J970" s="2">
        <v>0</v>
      </c>
      <c r="K970" s="2">
        <v>1</v>
      </c>
      <c r="L970" s="16">
        <v>3</v>
      </c>
      <c r="M970" s="5">
        <f t="shared" si="448"/>
        <v>500</v>
      </c>
      <c r="N970" s="6">
        <f t="shared" si="449"/>
        <v>35.88732000000001</v>
      </c>
      <c r="O970">
        <f t="shared" si="450"/>
        <v>427.8</v>
      </c>
      <c r="P970" s="7">
        <f t="shared" si="452"/>
        <v>11.920644952033195</v>
      </c>
      <c r="Q970">
        <f>ROUNDUP(몬스터!$P$11/F970, 0)</f>
        <v>10</v>
      </c>
      <c r="R970" s="6">
        <f t="shared" si="451"/>
        <v>14.144271570014142</v>
      </c>
      <c r="S970" s="7">
        <f>B970/몬스터!$C$11*R970</f>
        <v>206.62935858803269</v>
      </c>
      <c r="U970">
        <f>ROUNDDOWN(R970*몬스터!$H$11, 0)*몬스터!$G$11*(1+몬스터!$I$11)</f>
        <v>349.92</v>
      </c>
      <c r="V970" s="2">
        <f t="shared" si="453"/>
        <v>0.81795231416549796</v>
      </c>
    </row>
    <row r="971" spans="1:22" x14ac:dyDescent="0.4">
      <c r="A971">
        <v>22</v>
      </c>
      <c r="B971" s="4">
        <f>160*A971</f>
        <v>3520</v>
      </c>
      <c r="C971">
        <f t="shared" si="444"/>
        <v>355</v>
      </c>
      <c r="D971">
        <f t="shared" si="445"/>
        <v>24</v>
      </c>
      <c r="E971" s="2">
        <v>0</v>
      </c>
      <c r="F971">
        <f t="shared" si="446"/>
        <v>48</v>
      </c>
      <c r="G971">
        <f t="shared" si="447"/>
        <v>0.70900000000000007</v>
      </c>
      <c r="H971" s="3">
        <v>0.08</v>
      </c>
      <c r="I971" s="2">
        <v>2</v>
      </c>
      <c r="J971" s="2">
        <v>0</v>
      </c>
      <c r="K971" s="2">
        <v>1</v>
      </c>
      <c r="L971" s="16">
        <v>3</v>
      </c>
      <c r="M971" s="5">
        <f t="shared" si="448"/>
        <v>510</v>
      </c>
      <c r="N971" s="6">
        <f t="shared" si="449"/>
        <v>36.754560000000005</v>
      </c>
      <c r="O971">
        <f t="shared" si="450"/>
        <v>440.2</v>
      </c>
      <c r="P971" s="7">
        <f t="shared" si="452"/>
        <v>11.976745198418916</v>
      </c>
      <c r="Q971">
        <f>ROUNDUP(몬스터!$P$11/F971, 0)</f>
        <v>9</v>
      </c>
      <c r="R971" s="6">
        <f t="shared" si="451"/>
        <v>12.693935119887163</v>
      </c>
      <c r="S971" s="7">
        <f>B971/몬스터!$C$11*R971</f>
        <v>194.27239835653398</v>
      </c>
      <c r="U971">
        <f>ROUNDDOWN(R971*몬스터!$H$11, 0)*몬스터!$G$11*(1+몬스터!$I$11)</f>
        <v>311.04000000000002</v>
      </c>
      <c r="V971" s="2">
        <f t="shared" si="453"/>
        <v>0.70658791458427994</v>
      </c>
    </row>
    <row r="972" spans="1:22" x14ac:dyDescent="0.4">
      <c r="A972">
        <v>23</v>
      </c>
      <c r="B972" s="4">
        <f>160*A972</f>
        <v>3680</v>
      </c>
      <c r="C972">
        <f t="shared" si="444"/>
        <v>365</v>
      </c>
      <c r="D972">
        <f t="shared" si="445"/>
        <v>24</v>
      </c>
      <c r="E972" s="2">
        <v>0</v>
      </c>
      <c r="F972">
        <f t="shared" si="446"/>
        <v>49</v>
      </c>
      <c r="G972">
        <f t="shared" si="447"/>
        <v>0.71100000000000008</v>
      </c>
      <c r="H972" s="3">
        <v>0.08</v>
      </c>
      <c r="I972" s="2">
        <v>2</v>
      </c>
      <c r="J972" s="2">
        <v>0</v>
      </c>
      <c r="K972" s="2">
        <v>1</v>
      </c>
      <c r="L972" s="16">
        <v>3</v>
      </c>
      <c r="M972" s="5">
        <f t="shared" si="448"/>
        <v>520</v>
      </c>
      <c r="N972" s="6">
        <f t="shared" si="449"/>
        <v>37.626120000000007</v>
      </c>
      <c r="O972">
        <f t="shared" si="450"/>
        <v>452.6</v>
      </c>
      <c r="P972" s="7">
        <f t="shared" si="452"/>
        <v>12.02887781147777</v>
      </c>
      <c r="Q972">
        <f>ROUNDUP(몬스터!$P$11/F972, 0)</f>
        <v>9</v>
      </c>
      <c r="R972" s="6">
        <f t="shared" si="451"/>
        <v>12.658227848101264</v>
      </c>
      <c r="S972" s="7">
        <f>B972/몬스터!$C$11*R972</f>
        <v>202.53164556962022</v>
      </c>
      <c r="U972">
        <f>ROUNDDOWN(R972*몬스터!$H$11, 0)*몬스터!$G$11*(1+몬스터!$I$11)</f>
        <v>311.04000000000002</v>
      </c>
      <c r="V972" s="2">
        <f t="shared" si="453"/>
        <v>0.6872293415819708</v>
      </c>
    </row>
    <row r="973" spans="1:22" x14ac:dyDescent="0.4">
      <c r="A973">
        <v>24</v>
      </c>
      <c r="B973" s="4">
        <f>160*A973</f>
        <v>3840</v>
      </c>
      <c r="C973">
        <f t="shared" si="444"/>
        <v>375</v>
      </c>
      <c r="D973">
        <f t="shared" si="445"/>
        <v>25</v>
      </c>
      <c r="E973" s="2">
        <v>0</v>
      </c>
      <c r="F973">
        <f t="shared" si="446"/>
        <v>51</v>
      </c>
      <c r="G973">
        <f t="shared" si="447"/>
        <v>0.71300000000000008</v>
      </c>
      <c r="H973" s="3">
        <v>0.08</v>
      </c>
      <c r="I973" s="2">
        <v>2</v>
      </c>
      <c r="J973" s="2">
        <v>0</v>
      </c>
      <c r="K973" s="2">
        <v>1</v>
      </c>
      <c r="L973" s="16">
        <v>3</v>
      </c>
      <c r="M973" s="5">
        <f t="shared" si="448"/>
        <v>530</v>
      </c>
      <c r="N973" s="6">
        <f t="shared" si="449"/>
        <v>39.272040000000011</v>
      </c>
      <c r="O973">
        <f t="shared" si="450"/>
        <v>468.75</v>
      </c>
      <c r="P973" s="7">
        <f t="shared" si="452"/>
        <v>11.935972768412332</v>
      </c>
      <c r="Q973">
        <f>ROUNDUP(몬스터!$P$11/F973, 0)</f>
        <v>9</v>
      </c>
      <c r="R973" s="6">
        <f t="shared" si="451"/>
        <v>12.622720897615707</v>
      </c>
      <c r="S973" s="7">
        <f>B973/몬스터!$C$11*R973</f>
        <v>210.74455759497528</v>
      </c>
      <c r="U973">
        <f>ROUNDDOWN(R973*몬스터!$H$11, 0)*몬스터!$G$11*(1+몬스터!$I$11)</f>
        <v>311.04000000000002</v>
      </c>
      <c r="V973" s="2">
        <f t="shared" si="453"/>
        <v>0.66355200000000003</v>
      </c>
    </row>
    <row r="974" spans="1:22" x14ac:dyDescent="0.4">
      <c r="A974">
        <v>25</v>
      </c>
      <c r="B974" s="4">
        <f>160*A974</f>
        <v>4000</v>
      </c>
      <c r="C974">
        <f t="shared" si="444"/>
        <v>385</v>
      </c>
      <c r="D974">
        <f t="shared" si="445"/>
        <v>25</v>
      </c>
      <c r="E974" s="2">
        <v>0</v>
      </c>
      <c r="F974">
        <f t="shared" si="446"/>
        <v>52</v>
      </c>
      <c r="G974">
        <f t="shared" si="447"/>
        <v>0.71500000000000008</v>
      </c>
      <c r="H974" s="3">
        <v>0.08</v>
      </c>
      <c r="I974" s="2">
        <v>2</v>
      </c>
      <c r="J974" s="2">
        <v>0</v>
      </c>
      <c r="K974" s="2">
        <v>1</v>
      </c>
      <c r="L974" s="16">
        <v>3</v>
      </c>
      <c r="M974" s="5">
        <f t="shared" si="448"/>
        <v>540</v>
      </c>
      <c r="N974" s="6">
        <f t="shared" si="449"/>
        <v>40.15440000000001</v>
      </c>
      <c r="O974">
        <f t="shared" si="450"/>
        <v>481.25</v>
      </c>
      <c r="P974" s="7">
        <f t="shared" si="452"/>
        <v>11.984987946526406</v>
      </c>
      <c r="Q974">
        <f>ROUNDUP(몬스터!$P$11/F974, 0)</f>
        <v>9</v>
      </c>
      <c r="R974" s="6">
        <f t="shared" si="451"/>
        <v>12.587412587412587</v>
      </c>
      <c r="S974" s="7">
        <f>B974/몬스터!$C$11*R974</f>
        <v>218.91152325934931</v>
      </c>
      <c r="T974" s="7">
        <f t="shared" ref="T974" si="456">SUM(S970:S974)</f>
        <v>1033.0894833685115</v>
      </c>
      <c r="U974">
        <f>ROUNDDOWN(R974*몬스터!$H$11, 0)*몬스터!$G$11*(1+몬스터!$I$11)</f>
        <v>311.04000000000002</v>
      </c>
      <c r="V974" s="2">
        <f t="shared" si="453"/>
        <v>0.64631688311688318</v>
      </c>
    </row>
    <row r="975" spans="1:22" x14ac:dyDescent="0.4">
      <c r="A975">
        <v>26</v>
      </c>
      <c r="B975" s="4">
        <f>170*A975</f>
        <v>4420</v>
      </c>
      <c r="C975">
        <f t="shared" si="444"/>
        <v>390</v>
      </c>
      <c r="D975">
        <f t="shared" si="445"/>
        <v>25</v>
      </c>
      <c r="E975" s="2">
        <v>0</v>
      </c>
      <c r="F975">
        <f t="shared" si="446"/>
        <v>53</v>
      </c>
      <c r="G975">
        <f t="shared" si="447"/>
        <v>0.71700000000000008</v>
      </c>
      <c r="H975" s="3">
        <v>0.08</v>
      </c>
      <c r="I975" s="2">
        <v>2</v>
      </c>
      <c r="J975" s="2">
        <v>0</v>
      </c>
      <c r="K975" s="2">
        <v>1</v>
      </c>
      <c r="L975" s="16">
        <v>3</v>
      </c>
      <c r="M975" s="5">
        <f t="shared" si="448"/>
        <v>550</v>
      </c>
      <c r="N975" s="6">
        <f t="shared" si="449"/>
        <v>41.041080000000008</v>
      </c>
      <c r="O975">
        <f t="shared" si="450"/>
        <v>487.5</v>
      </c>
      <c r="P975" s="7">
        <f t="shared" si="452"/>
        <v>11.87834238280279</v>
      </c>
      <c r="Q975">
        <f>ROUNDUP(몬스터!$P$12/F975, 0)</f>
        <v>10</v>
      </c>
      <c r="R975" s="6">
        <f t="shared" si="451"/>
        <v>13.947001394700138</v>
      </c>
      <c r="S975" s="7">
        <f>B975/몬스터!$C$12*R975</f>
        <v>220.16337915919505</v>
      </c>
      <c r="U975">
        <f>ROUNDDOWN(R975*몬스터!$H$12, 0)*몬스터!$G$12*(1+몬스터!$I$12)</f>
        <v>420.86249999999995</v>
      </c>
      <c r="V975" s="2">
        <f t="shared" si="453"/>
        <v>0.86330769230769222</v>
      </c>
    </row>
    <row r="976" spans="1:22" x14ac:dyDescent="0.4">
      <c r="A976">
        <v>27</v>
      </c>
      <c r="B976" s="4">
        <f>170*A976</f>
        <v>4590</v>
      </c>
      <c r="C976">
        <f t="shared" si="444"/>
        <v>400</v>
      </c>
      <c r="D976">
        <f t="shared" si="445"/>
        <v>26</v>
      </c>
      <c r="E976" s="2">
        <v>0</v>
      </c>
      <c r="F976">
        <f t="shared" si="446"/>
        <v>55</v>
      </c>
      <c r="G976">
        <f t="shared" si="447"/>
        <v>0.71900000000000008</v>
      </c>
      <c r="H976" s="3">
        <v>0.08</v>
      </c>
      <c r="I976" s="2">
        <v>2</v>
      </c>
      <c r="J976" s="2">
        <v>0</v>
      </c>
      <c r="K976" s="2">
        <v>1</v>
      </c>
      <c r="L976" s="16">
        <v>3</v>
      </c>
      <c r="M976" s="5">
        <f t="shared" si="448"/>
        <v>560</v>
      </c>
      <c r="N976" s="6">
        <f t="shared" si="449"/>
        <v>42.708600000000004</v>
      </c>
      <c r="O976">
        <f t="shared" si="450"/>
        <v>504</v>
      </c>
      <c r="P976" s="7">
        <f t="shared" si="452"/>
        <v>11.800901926075777</v>
      </c>
      <c r="Q976">
        <f>ROUNDUP(몬스터!$P$12/F976, 0)</f>
        <v>10</v>
      </c>
      <c r="R976" s="6">
        <f t="shared" si="451"/>
        <v>13.908205841446453</v>
      </c>
      <c r="S976" s="7">
        <f>B976/몬스터!$C$12*R976</f>
        <v>227.99523147228291</v>
      </c>
      <c r="U976">
        <f>ROUNDDOWN(R976*몬스터!$H$12, 0)*몬스터!$G$12*(1+몬스터!$I$12)</f>
        <v>420.86249999999995</v>
      </c>
      <c r="V976" s="2">
        <f t="shared" si="453"/>
        <v>0.83504464285714275</v>
      </c>
    </row>
    <row r="977" spans="1:22" x14ac:dyDescent="0.4">
      <c r="A977">
        <v>28</v>
      </c>
      <c r="B977" s="4">
        <f>170*A977</f>
        <v>4760</v>
      </c>
      <c r="C977">
        <f t="shared" si="444"/>
        <v>410</v>
      </c>
      <c r="D977">
        <f t="shared" si="445"/>
        <v>26</v>
      </c>
      <c r="E977" s="2">
        <v>0</v>
      </c>
      <c r="F977">
        <f t="shared" si="446"/>
        <v>56</v>
      </c>
      <c r="G977">
        <f t="shared" si="447"/>
        <v>0.72100000000000009</v>
      </c>
      <c r="H977" s="3">
        <v>0.08</v>
      </c>
      <c r="I977" s="2">
        <v>2</v>
      </c>
      <c r="J977" s="2">
        <v>0</v>
      </c>
      <c r="K977" s="2">
        <v>1</v>
      </c>
      <c r="L977" s="16">
        <v>3</v>
      </c>
      <c r="M977" s="5">
        <f t="shared" si="448"/>
        <v>570</v>
      </c>
      <c r="N977" s="6">
        <f t="shared" si="449"/>
        <v>43.606080000000006</v>
      </c>
      <c r="O977">
        <f t="shared" si="450"/>
        <v>516.6</v>
      </c>
      <c r="P977" s="7">
        <f t="shared" si="452"/>
        <v>11.846971798428108</v>
      </c>
      <c r="Q977">
        <f>ROUNDUP(몬스터!$P$12/F977, 0)</f>
        <v>10</v>
      </c>
      <c r="R977" s="6">
        <f t="shared" si="451"/>
        <v>13.869625520110956</v>
      </c>
      <c r="S977" s="7">
        <f>B977/몬스터!$C$12*R977</f>
        <v>235.78363384188626</v>
      </c>
      <c r="U977">
        <f>ROUNDDOWN(R977*몬스터!$H$12, 0)*몬스터!$G$12*(1+몬스터!$I$12)</f>
        <v>420.86249999999995</v>
      </c>
      <c r="V977" s="2">
        <f t="shared" si="453"/>
        <v>0.8146777003484319</v>
      </c>
    </row>
    <row r="978" spans="1:22" x14ac:dyDescent="0.4">
      <c r="A978">
        <v>29</v>
      </c>
      <c r="B978" s="4">
        <f>170*A978</f>
        <v>4930</v>
      </c>
      <c r="C978">
        <f t="shared" si="444"/>
        <v>420</v>
      </c>
      <c r="D978">
        <f t="shared" si="445"/>
        <v>26</v>
      </c>
      <c r="E978" s="2">
        <v>0</v>
      </c>
      <c r="F978">
        <f t="shared" si="446"/>
        <v>57</v>
      </c>
      <c r="G978">
        <f t="shared" si="447"/>
        <v>0.72300000000000009</v>
      </c>
      <c r="H978" s="3">
        <v>0.08</v>
      </c>
      <c r="I978" s="2">
        <v>2</v>
      </c>
      <c r="J978" s="2">
        <v>0</v>
      </c>
      <c r="K978" s="2">
        <v>1</v>
      </c>
      <c r="L978" s="16">
        <v>3</v>
      </c>
      <c r="M978" s="5">
        <f t="shared" si="448"/>
        <v>580</v>
      </c>
      <c r="N978" s="6">
        <f t="shared" si="449"/>
        <v>44.507880000000007</v>
      </c>
      <c r="O978">
        <f t="shared" si="450"/>
        <v>529.20000000000005</v>
      </c>
      <c r="P978" s="7">
        <f t="shared" si="452"/>
        <v>11.89002936109291</v>
      </c>
      <c r="Q978">
        <f>ROUNDUP(몬스터!$P$12/F978, 0)</f>
        <v>10</v>
      </c>
      <c r="R978" s="6">
        <f t="shared" si="451"/>
        <v>13.831258644536652</v>
      </c>
      <c r="S978" s="7">
        <f>B978/몬스터!$C$12*R978</f>
        <v>243.5289468484489</v>
      </c>
      <c r="U978">
        <f>ROUNDDOWN(R978*몬스터!$H$12, 0)*몬스터!$G$12*(1+몬스터!$I$12)</f>
        <v>420.86249999999995</v>
      </c>
      <c r="V978" s="2">
        <f t="shared" si="453"/>
        <v>0.79528061224489777</v>
      </c>
    </row>
    <row r="979" spans="1:22" x14ac:dyDescent="0.4">
      <c r="A979">
        <v>30</v>
      </c>
      <c r="B979" s="4">
        <f>170*A979</f>
        <v>5100</v>
      </c>
      <c r="C979">
        <f t="shared" si="444"/>
        <v>430</v>
      </c>
      <c r="D979">
        <f t="shared" si="445"/>
        <v>27</v>
      </c>
      <c r="E979" s="2">
        <v>0</v>
      </c>
      <c r="F979">
        <f t="shared" si="446"/>
        <v>59</v>
      </c>
      <c r="G979">
        <f t="shared" si="447"/>
        <v>0.72500000000000009</v>
      </c>
      <c r="H979" s="3">
        <v>0.08</v>
      </c>
      <c r="I979" s="2">
        <v>2</v>
      </c>
      <c r="J979" s="2">
        <v>0</v>
      </c>
      <c r="K979" s="2">
        <v>1</v>
      </c>
      <c r="L979" s="16">
        <v>3</v>
      </c>
      <c r="M979" s="5">
        <f t="shared" si="448"/>
        <v>590</v>
      </c>
      <c r="N979" s="6">
        <f t="shared" si="449"/>
        <v>46.19700000000001</v>
      </c>
      <c r="O979">
        <f t="shared" si="450"/>
        <v>546.1</v>
      </c>
      <c r="P979" s="7">
        <f t="shared" si="452"/>
        <v>11.821113925146653</v>
      </c>
      <c r="Q979">
        <f>ROUNDUP(몬스터!$P$12/F979, 0)</f>
        <v>9</v>
      </c>
      <c r="R979" s="6">
        <f t="shared" si="451"/>
        <v>12.413793103448274</v>
      </c>
      <c r="S979" s="7">
        <f>B979/몬스터!$C$12*R979</f>
        <v>226.10837438423644</v>
      </c>
      <c r="T979" s="7">
        <f t="shared" ref="T979" si="457">SUM(S975:S979)</f>
        <v>1153.5795657060496</v>
      </c>
      <c r="U979">
        <f>ROUNDDOWN(R979*몬스터!$H$12, 0)*몬스터!$G$12*(1+몬스터!$I$12)</f>
        <v>374.09999999999997</v>
      </c>
      <c r="V979" s="2">
        <f t="shared" si="453"/>
        <v>0.68503937007874005</v>
      </c>
    </row>
    <row r="980" spans="1:22" x14ac:dyDescent="0.4">
      <c r="A980">
        <v>31</v>
      </c>
      <c r="B980" s="4">
        <f>160*A980</f>
        <v>4960</v>
      </c>
      <c r="C980">
        <f t="shared" si="444"/>
        <v>440</v>
      </c>
      <c r="D980">
        <f t="shared" si="445"/>
        <v>27</v>
      </c>
      <c r="E980" s="2">
        <v>0</v>
      </c>
      <c r="F980">
        <f t="shared" si="446"/>
        <v>60</v>
      </c>
      <c r="G980">
        <f t="shared" si="447"/>
        <v>0.72700000000000009</v>
      </c>
      <c r="H980" s="3">
        <v>0.08</v>
      </c>
      <c r="I980" s="2">
        <v>2</v>
      </c>
      <c r="J980" s="2">
        <v>0</v>
      </c>
      <c r="K980" s="2">
        <v>1</v>
      </c>
      <c r="L980" s="16">
        <v>3</v>
      </c>
      <c r="M980" s="5">
        <f t="shared" si="448"/>
        <v>600</v>
      </c>
      <c r="N980" s="6">
        <f t="shared" si="449"/>
        <v>47.109600000000007</v>
      </c>
      <c r="O980">
        <f t="shared" si="450"/>
        <v>558.79999999999995</v>
      </c>
      <c r="P980" s="7">
        <f t="shared" si="452"/>
        <v>11.861701224378892</v>
      </c>
      <c r="Q980">
        <f>ROUNDUP(몬스터!$P$13/F980, 0)</f>
        <v>11</v>
      </c>
      <c r="R980" s="6">
        <f t="shared" si="451"/>
        <v>15.13067400275103</v>
      </c>
      <c r="S980" s="7">
        <f>B980/몬스터!$C$13*R980</f>
        <v>227.41861531407611</v>
      </c>
      <c r="U980">
        <f>ROUNDDOWN(R980*몬스터!$H$13, 0)*몬스터!$G$13*(1+몬스터!$I$13)</f>
        <v>558.44999999999993</v>
      </c>
      <c r="V980" s="2">
        <f t="shared" si="453"/>
        <v>0.99937365783822474</v>
      </c>
    </row>
    <row r="981" spans="1:22" x14ac:dyDescent="0.4">
      <c r="A981">
        <v>32</v>
      </c>
      <c r="B981" s="4">
        <f>160*A981</f>
        <v>5120</v>
      </c>
      <c r="C981">
        <f t="shared" si="444"/>
        <v>450</v>
      </c>
      <c r="D981">
        <f t="shared" si="445"/>
        <v>27</v>
      </c>
      <c r="E981" s="2">
        <v>0</v>
      </c>
      <c r="F981">
        <f t="shared" si="446"/>
        <v>61</v>
      </c>
      <c r="G981">
        <f t="shared" si="447"/>
        <v>0.72900000000000009</v>
      </c>
      <c r="H981" s="3">
        <v>0.08</v>
      </c>
      <c r="I981" s="2">
        <v>2</v>
      </c>
      <c r="J981" s="2">
        <v>0</v>
      </c>
      <c r="K981" s="2">
        <v>1</v>
      </c>
      <c r="L981" s="16">
        <v>3</v>
      </c>
      <c r="M981" s="5">
        <f t="shared" si="448"/>
        <v>610</v>
      </c>
      <c r="N981" s="6">
        <f t="shared" si="449"/>
        <v>48.026520000000012</v>
      </c>
      <c r="O981">
        <f t="shared" si="450"/>
        <v>571.5</v>
      </c>
      <c r="P981" s="7">
        <f t="shared" si="452"/>
        <v>11.899675429325296</v>
      </c>
      <c r="Q981">
        <f>ROUNDUP(몬스터!$P$13/F981, 0)</f>
        <v>11</v>
      </c>
      <c r="R981" s="6">
        <f t="shared" si="451"/>
        <v>15.089163237311384</v>
      </c>
      <c r="S981" s="7">
        <f>B981/몬스터!$C$13*R981</f>
        <v>234.11065386374025</v>
      </c>
      <c r="U981">
        <f>ROUNDDOWN(R981*몬스터!$H$13, 0)*몬스터!$G$13*(1+몬스터!$I$13)</f>
        <v>558.44999999999993</v>
      </c>
      <c r="V981" s="2">
        <f t="shared" si="453"/>
        <v>0.9771653543307085</v>
      </c>
    </row>
    <row r="982" spans="1:22" x14ac:dyDescent="0.4">
      <c r="A982">
        <v>33</v>
      </c>
      <c r="B982" s="4">
        <f>160*A982</f>
        <v>5280</v>
      </c>
      <c r="C982">
        <f t="shared" ref="C982:C1013" si="458">MROUND((150+A982*11)*0.9,5)</f>
        <v>460</v>
      </c>
      <c r="D982">
        <f t="shared" ref="D982:D1013" si="459">ROUNDDOWN((18+A982*0.3), 0)</f>
        <v>27</v>
      </c>
      <c r="E982" s="2">
        <v>0</v>
      </c>
      <c r="F982">
        <f t="shared" ref="F982:F1013" si="460">ROUND((28+A982*2)*2/3, 0)</f>
        <v>63</v>
      </c>
      <c r="G982">
        <f t="shared" ref="G982:G1013" si="461">0.665+0.002*A982</f>
        <v>0.73100000000000009</v>
      </c>
      <c r="H982" s="3">
        <v>0.08</v>
      </c>
      <c r="I982" s="2">
        <v>2</v>
      </c>
      <c r="J982" s="2">
        <v>0</v>
      </c>
      <c r="K982" s="2">
        <v>1</v>
      </c>
      <c r="L982" s="16">
        <v>3</v>
      </c>
      <c r="M982" s="5">
        <f t="shared" ref="M982:M1013" si="462">290+10*A982</f>
        <v>620</v>
      </c>
      <c r="N982" s="6">
        <f t="shared" ref="N982:N1013" si="463">F982*G982*(1+H982)</f>
        <v>49.737240000000007</v>
      </c>
      <c r="O982">
        <f t="shared" ref="O982:O1013" si="464">C982*(1+D982/100)*(1+E982)</f>
        <v>584.20000000000005</v>
      </c>
      <c r="P982" s="7">
        <f t="shared" si="452"/>
        <v>11.745726140010985</v>
      </c>
      <c r="Q982">
        <f>ROUNDUP(몬스터!$P$13/F982, 0)</f>
        <v>10</v>
      </c>
      <c r="R982" s="6">
        <f t="shared" ref="R982:R1013" si="465">Q982/G982</f>
        <v>13.679890560875512</v>
      </c>
      <c r="S982" s="7">
        <f>B982/몬스터!$C$13*R982</f>
        <v>218.87824897400819</v>
      </c>
      <c r="U982">
        <f>ROUNDDOWN(R982*몬스터!$H$13, 0)*몬스터!$G$13*(1+몬스터!$I$13)</f>
        <v>502.60499999999996</v>
      </c>
      <c r="V982" s="2">
        <f t="shared" si="453"/>
        <v>0.86033036631290638</v>
      </c>
    </row>
    <row r="983" spans="1:22" x14ac:dyDescent="0.4">
      <c r="A983">
        <v>34</v>
      </c>
      <c r="B983" s="4">
        <f>160*A983</f>
        <v>5440</v>
      </c>
      <c r="C983">
        <f t="shared" si="458"/>
        <v>470</v>
      </c>
      <c r="D983">
        <f t="shared" si="459"/>
        <v>28</v>
      </c>
      <c r="E983" s="2">
        <v>0</v>
      </c>
      <c r="F983">
        <f t="shared" si="460"/>
        <v>64</v>
      </c>
      <c r="G983">
        <f t="shared" si="461"/>
        <v>0.7330000000000001</v>
      </c>
      <c r="H983" s="3">
        <v>0.08</v>
      </c>
      <c r="I983" s="2">
        <v>2</v>
      </c>
      <c r="J983" s="2">
        <v>0</v>
      </c>
      <c r="K983" s="2">
        <v>1</v>
      </c>
      <c r="L983" s="16">
        <v>3</v>
      </c>
      <c r="M983" s="5">
        <f t="shared" si="462"/>
        <v>630</v>
      </c>
      <c r="N983" s="6">
        <f t="shared" si="463"/>
        <v>50.664960000000008</v>
      </c>
      <c r="O983">
        <f t="shared" si="464"/>
        <v>601.6</v>
      </c>
      <c r="P983" s="7">
        <f t="shared" si="452"/>
        <v>11.874084179677629</v>
      </c>
      <c r="Q983">
        <f>ROUNDUP(몬스터!$P$13/F983, 0)</f>
        <v>10</v>
      </c>
      <c r="R983" s="6">
        <f t="shared" si="465"/>
        <v>13.642564802182809</v>
      </c>
      <c r="S983" s="7">
        <f>B983/몬스터!$C$13*R983</f>
        <v>224.89561370871056</v>
      </c>
      <c r="U983">
        <f>ROUNDDOWN(R983*몬스터!$H$13, 0)*몬스터!$G$13*(1+몬스터!$I$13)</f>
        <v>502.60499999999996</v>
      </c>
      <c r="V983" s="2">
        <f t="shared" si="453"/>
        <v>0.83544714095744677</v>
      </c>
    </row>
    <row r="984" spans="1:22" x14ac:dyDescent="0.4">
      <c r="A984">
        <v>35</v>
      </c>
      <c r="B984" s="4">
        <f>160*A984</f>
        <v>5600</v>
      </c>
      <c r="C984">
        <f t="shared" si="458"/>
        <v>480</v>
      </c>
      <c r="D984">
        <f t="shared" si="459"/>
        <v>28</v>
      </c>
      <c r="E984" s="2">
        <v>0</v>
      </c>
      <c r="F984">
        <f t="shared" si="460"/>
        <v>65</v>
      </c>
      <c r="G984">
        <f t="shared" si="461"/>
        <v>0.7350000000000001</v>
      </c>
      <c r="H984" s="3">
        <v>0.08</v>
      </c>
      <c r="I984" s="2">
        <v>2</v>
      </c>
      <c r="J984" s="2">
        <v>0</v>
      </c>
      <c r="K984" s="2">
        <v>1</v>
      </c>
      <c r="L984" s="16">
        <v>3</v>
      </c>
      <c r="M984" s="5">
        <f t="shared" si="462"/>
        <v>640</v>
      </c>
      <c r="N984" s="6">
        <f t="shared" si="463"/>
        <v>51.597000000000008</v>
      </c>
      <c r="O984">
        <f t="shared" si="464"/>
        <v>614.4</v>
      </c>
      <c r="P984" s="7">
        <f t="shared" si="452"/>
        <v>11.907669050526192</v>
      </c>
      <c r="Q984">
        <f>ROUNDUP(몬스터!$P$13/F984, 0)</f>
        <v>10</v>
      </c>
      <c r="R984" s="6">
        <f t="shared" si="465"/>
        <v>13.605442176870746</v>
      </c>
      <c r="S984" s="7">
        <f>B984/몬스터!$C$13*R984</f>
        <v>230.88023088023081</v>
      </c>
      <c r="T984" s="7">
        <f t="shared" ref="T984" si="466">SUM(S980:S984)</f>
        <v>1136.1833627407659</v>
      </c>
      <c r="U984">
        <f>ROUNDDOWN(R984*몬스터!$H$13, 0)*몬스터!$G$13*(1+몬스터!$I$13)</f>
        <v>502.60499999999996</v>
      </c>
      <c r="V984" s="2">
        <f t="shared" si="453"/>
        <v>0.81804199218749996</v>
      </c>
    </row>
    <row r="985" spans="1:22" x14ac:dyDescent="0.4">
      <c r="A985">
        <v>36</v>
      </c>
      <c r="B985" s="4">
        <f>170*A985</f>
        <v>6120</v>
      </c>
      <c r="C985">
        <f t="shared" si="458"/>
        <v>490</v>
      </c>
      <c r="D985">
        <f t="shared" si="459"/>
        <v>28</v>
      </c>
      <c r="E985" s="2">
        <v>0</v>
      </c>
      <c r="F985">
        <f t="shared" si="460"/>
        <v>67</v>
      </c>
      <c r="G985">
        <f t="shared" si="461"/>
        <v>0.7370000000000001</v>
      </c>
      <c r="H985" s="3">
        <v>0.08</v>
      </c>
      <c r="I985" s="2">
        <v>2</v>
      </c>
      <c r="J985" s="2">
        <v>0</v>
      </c>
      <c r="K985" s="2">
        <v>1</v>
      </c>
      <c r="L985" s="16">
        <v>3</v>
      </c>
      <c r="M985" s="5">
        <f t="shared" si="462"/>
        <v>650</v>
      </c>
      <c r="N985" s="6">
        <f t="shared" si="463"/>
        <v>53.32932000000001</v>
      </c>
      <c r="O985">
        <f t="shared" si="464"/>
        <v>627.20000000000005</v>
      </c>
      <c r="P985" s="7">
        <f t="shared" si="452"/>
        <v>11.760885006596745</v>
      </c>
      <c r="Q985">
        <f>ROUNDUP(몬스터!$P$14/F985, 0)</f>
        <v>10</v>
      </c>
      <c r="R985" s="6">
        <f t="shared" si="465"/>
        <v>13.568521031207597</v>
      </c>
      <c r="S985" s="7">
        <f>B985/몬스터!$C$14*R985</f>
        <v>218.52460187102761</v>
      </c>
      <c r="U985">
        <f>ROUNDDOWN(R985*몬스터!$H$14, 0)*몬스터!$G$14*(1+몬스터!$I$14)</f>
        <v>575.505</v>
      </c>
      <c r="V985" s="2">
        <f t="shared" si="453"/>
        <v>0.91757812499999991</v>
      </c>
    </row>
    <row r="986" spans="1:22" x14ac:dyDescent="0.4">
      <c r="A986">
        <v>37</v>
      </c>
      <c r="B986" s="4">
        <f>170*A986</f>
        <v>6290</v>
      </c>
      <c r="C986">
        <f t="shared" si="458"/>
        <v>500</v>
      </c>
      <c r="D986">
        <f t="shared" si="459"/>
        <v>29</v>
      </c>
      <c r="E986" s="2">
        <v>0</v>
      </c>
      <c r="F986">
        <f t="shared" si="460"/>
        <v>68</v>
      </c>
      <c r="G986">
        <f t="shared" si="461"/>
        <v>0.73899999999999999</v>
      </c>
      <c r="H986" s="3">
        <v>0.08</v>
      </c>
      <c r="I986" s="2">
        <v>2</v>
      </c>
      <c r="J986" s="2">
        <v>0</v>
      </c>
      <c r="K986" s="2">
        <v>1</v>
      </c>
      <c r="L986" s="16">
        <v>3</v>
      </c>
      <c r="M986" s="5">
        <f t="shared" si="462"/>
        <v>660</v>
      </c>
      <c r="N986" s="6">
        <f t="shared" si="463"/>
        <v>54.272160000000007</v>
      </c>
      <c r="O986">
        <f t="shared" si="464"/>
        <v>645</v>
      </c>
      <c r="P986" s="7">
        <f t="shared" si="452"/>
        <v>11.884546330936523</v>
      </c>
      <c r="Q986">
        <f>ROUNDUP(몬스터!$P$14/F986, 0)</f>
        <v>10</v>
      </c>
      <c r="R986" s="6">
        <f t="shared" si="465"/>
        <v>13.531799729364005</v>
      </c>
      <c r="S986" s="7">
        <f>B986/몬스터!$C$14*R986</f>
        <v>223.9868955202621</v>
      </c>
      <c r="U986">
        <f>ROUNDDOWN(R986*몬스터!$H$14, 0)*몬스터!$G$14*(1+몬스터!$I$14)</f>
        <v>575.505</v>
      </c>
      <c r="V986" s="2">
        <f t="shared" si="453"/>
        <v>0.89225581395348841</v>
      </c>
    </row>
    <row r="987" spans="1:22" x14ac:dyDescent="0.4">
      <c r="A987">
        <v>38</v>
      </c>
      <c r="B987" s="4">
        <f>170*A987</f>
        <v>6460</v>
      </c>
      <c r="C987">
        <f t="shared" si="458"/>
        <v>510</v>
      </c>
      <c r="D987">
        <f t="shared" si="459"/>
        <v>29</v>
      </c>
      <c r="E987" s="2">
        <v>0</v>
      </c>
      <c r="F987">
        <f t="shared" si="460"/>
        <v>69</v>
      </c>
      <c r="G987">
        <f t="shared" si="461"/>
        <v>0.74099999999999999</v>
      </c>
      <c r="H987" s="3">
        <v>0.08</v>
      </c>
      <c r="I987" s="2">
        <v>2</v>
      </c>
      <c r="J987" s="2">
        <v>0</v>
      </c>
      <c r="K987" s="2">
        <v>1</v>
      </c>
      <c r="L987" s="16">
        <v>3</v>
      </c>
      <c r="M987" s="5">
        <f t="shared" si="462"/>
        <v>670</v>
      </c>
      <c r="N987" s="6">
        <f t="shared" si="463"/>
        <v>55.219320000000003</v>
      </c>
      <c r="O987">
        <f t="shared" si="464"/>
        <v>657.9</v>
      </c>
      <c r="P987" s="7">
        <f t="shared" si="452"/>
        <v>11.914308252981021</v>
      </c>
      <c r="Q987">
        <f>ROUNDUP(몬스터!$P$14/F987, 0)</f>
        <v>10</v>
      </c>
      <c r="R987" s="6">
        <f t="shared" si="465"/>
        <v>13.495276653171389</v>
      </c>
      <c r="S987" s="7">
        <f>B987/몬스터!$C$14*R987</f>
        <v>229.41970310391363</v>
      </c>
      <c r="U987">
        <f>ROUNDDOWN(R987*몬스터!$H$14, 0)*몬스터!$G$14*(1+몬스터!$I$14)</f>
        <v>575.505</v>
      </c>
      <c r="V987" s="2">
        <f t="shared" si="453"/>
        <v>0.87476060191518468</v>
      </c>
    </row>
    <row r="988" spans="1:22" x14ac:dyDescent="0.4">
      <c r="A988">
        <v>39</v>
      </c>
      <c r="B988" s="4">
        <f>170*A988</f>
        <v>6630</v>
      </c>
      <c r="C988">
        <f t="shared" si="458"/>
        <v>520</v>
      </c>
      <c r="D988">
        <f t="shared" si="459"/>
        <v>29</v>
      </c>
      <c r="E988" s="2">
        <v>0</v>
      </c>
      <c r="F988">
        <f t="shared" si="460"/>
        <v>71</v>
      </c>
      <c r="G988">
        <f t="shared" si="461"/>
        <v>0.74299999999999999</v>
      </c>
      <c r="H988" s="3">
        <v>0.08</v>
      </c>
      <c r="I988" s="2">
        <v>2</v>
      </c>
      <c r="J988" s="2">
        <v>0</v>
      </c>
      <c r="K988" s="2">
        <v>1</v>
      </c>
      <c r="L988" s="16">
        <v>3</v>
      </c>
      <c r="M988" s="5">
        <f t="shared" si="462"/>
        <v>680</v>
      </c>
      <c r="N988" s="6">
        <f t="shared" si="463"/>
        <v>56.973240000000004</v>
      </c>
      <c r="O988">
        <f t="shared" si="464"/>
        <v>670.80000000000007</v>
      </c>
      <c r="P988" s="7">
        <f t="shared" si="452"/>
        <v>11.773948611664002</v>
      </c>
      <c r="Q988">
        <f>ROUNDUP(몬스터!$P$14/F988, 0)</f>
        <v>10</v>
      </c>
      <c r="R988" s="6">
        <f t="shared" si="465"/>
        <v>13.458950201884253</v>
      </c>
      <c r="S988" s="7">
        <f>B988/몬스터!$C$14*R988</f>
        <v>234.82326273287524</v>
      </c>
      <c r="U988">
        <f>ROUNDDOWN(R988*몬스터!$H$14, 0)*몬스터!$G$14*(1+몬스터!$I$14)</f>
        <v>575.505</v>
      </c>
      <c r="V988" s="2">
        <f t="shared" si="453"/>
        <v>0.85793828264758487</v>
      </c>
    </row>
    <row r="989" spans="1:22" x14ac:dyDescent="0.4">
      <c r="A989">
        <v>40</v>
      </c>
      <c r="B989" s="4">
        <f>170*A989</f>
        <v>6800</v>
      </c>
      <c r="C989">
        <f t="shared" si="458"/>
        <v>530</v>
      </c>
      <c r="D989">
        <f t="shared" si="459"/>
        <v>30</v>
      </c>
      <c r="E989" s="2">
        <v>0</v>
      </c>
      <c r="F989">
        <f t="shared" si="460"/>
        <v>72</v>
      </c>
      <c r="G989">
        <f t="shared" si="461"/>
        <v>0.745</v>
      </c>
      <c r="H989" s="3">
        <v>0.08</v>
      </c>
      <c r="I989" s="2">
        <v>2</v>
      </c>
      <c r="J989" s="2">
        <v>0</v>
      </c>
      <c r="K989" s="2">
        <v>1</v>
      </c>
      <c r="L989" s="16">
        <v>3</v>
      </c>
      <c r="M989" s="5">
        <f t="shared" si="462"/>
        <v>690</v>
      </c>
      <c r="N989" s="6">
        <f t="shared" si="463"/>
        <v>57.931200000000004</v>
      </c>
      <c r="O989">
        <f t="shared" si="464"/>
        <v>689</v>
      </c>
      <c r="P989" s="7">
        <f t="shared" si="452"/>
        <v>11.893418399756952</v>
      </c>
      <c r="Q989">
        <f>ROUNDUP(몬스터!$P$14/F989, 0)</f>
        <v>10</v>
      </c>
      <c r="R989" s="6">
        <f t="shared" si="465"/>
        <v>13.422818791946309</v>
      </c>
      <c r="S989" s="7">
        <f>B989/몬스터!$C$14*R989</f>
        <v>240.19780996114449</v>
      </c>
      <c r="T989" s="7">
        <f t="shared" ref="T989" si="467">SUM(S985:S989)</f>
        <v>1146.9522731892232</v>
      </c>
      <c r="U989">
        <f>ROUNDDOWN(R989*몬스터!$H$14, 0)*몬스터!$G$14*(1+몬스터!$I$14)</f>
        <v>575.505</v>
      </c>
      <c r="V989" s="2">
        <f t="shared" si="453"/>
        <v>0.83527576197387521</v>
      </c>
    </row>
    <row r="990" spans="1:22" x14ac:dyDescent="0.4">
      <c r="A990">
        <v>41</v>
      </c>
      <c r="B990" s="4">
        <f>160*A990</f>
        <v>6560</v>
      </c>
      <c r="C990">
        <f t="shared" si="458"/>
        <v>540</v>
      </c>
      <c r="D990">
        <f t="shared" si="459"/>
        <v>30</v>
      </c>
      <c r="E990" s="2">
        <v>0</v>
      </c>
      <c r="F990">
        <f t="shared" si="460"/>
        <v>73</v>
      </c>
      <c r="G990">
        <f t="shared" si="461"/>
        <v>0.747</v>
      </c>
      <c r="H990" s="3">
        <v>0.08</v>
      </c>
      <c r="I990" s="2">
        <v>2</v>
      </c>
      <c r="J990" s="2">
        <v>0</v>
      </c>
      <c r="K990" s="2">
        <v>1</v>
      </c>
      <c r="L990" s="16">
        <v>3</v>
      </c>
      <c r="M990" s="5">
        <f t="shared" si="462"/>
        <v>700</v>
      </c>
      <c r="N990" s="6">
        <f t="shared" si="463"/>
        <v>58.893480000000004</v>
      </c>
      <c r="O990">
        <f t="shared" si="464"/>
        <v>702</v>
      </c>
      <c r="P990" s="7">
        <f t="shared" si="452"/>
        <v>11.919825420403074</v>
      </c>
      <c r="Q990">
        <f>ROUNDUP(몬스터!$P$17/F990, 0)</f>
        <v>12</v>
      </c>
      <c r="R990" s="6">
        <f t="shared" si="465"/>
        <v>16.064257028112451</v>
      </c>
      <c r="S990" s="7">
        <f>B990/몬스터!$C$17*R990</f>
        <v>245.07331652190157</v>
      </c>
      <c r="U990">
        <f>ROUNDDOWN(R990*몬스터!$H$17, 0)*몬스터!$G$17*(1+몬스터!$I$17)</f>
        <v>805.86000000000013</v>
      </c>
      <c r="V990" s="2">
        <f t="shared" si="453"/>
        <v>1.1479487179487182</v>
      </c>
    </row>
    <row r="991" spans="1:22" x14ac:dyDescent="0.4">
      <c r="A991">
        <v>42</v>
      </c>
      <c r="B991" s="4">
        <f>160*A991</f>
        <v>6720</v>
      </c>
      <c r="C991">
        <f t="shared" si="458"/>
        <v>550</v>
      </c>
      <c r="D991">
        <f t="shared" si="459"/>
        <v>30</v>
      </c>
      <c r="E991" s="2">
        <v>0</v>
      </c>
      <c r="F991">
        <f t="shared" si="460"/>
        <v>75</v>
      </c>
      <c r="G991">
        <f t="shared" si="461"/>
        <v>0.749</v>
      </c>
      <c r="H991" s="3">
        <v>0.08</v>
      </c>
      <c r="I991" s="2">
        <v>2</v>
      </c>
      <c r="J991" s="2">
        <v>0</v>
      </c>
      <c r="K991" s="2">
        <v>1</v>
      </c>
      <c r="L991" s="16">
        <v>3</v>
      </c>
      <c r="M991" s="5">
        <f t="shared" si="462"/>
        <v>710</v>
      </c>
      <c r="N991" s="6">
        <f t="shared" si="463"/>
        <v>60.669000000000004</v>
      </c>
      <c r="O991">
        <f t="shared" si="464"/>
        <v>715</v>
      </c>
      <c r="P991" s="7">
        <f t="shared" si="452"/>
        <v>11.785261006444806</v>
      </c>
      <c r="Q991">
        <f>ROUNDUP(몬스터!$P$17/F991, 0)</f>
        <v>12</v>
      </c>
      <c r="R991" s="6">
        <f t="shared" si="465"/>
        <v>16.021361815754339</v>
      </c>
      <c r="S991" s="7">
        <f>B991/몬스터!$C$17*R991</f>
        <v>250.38035209737012</v>
      </c>
      <c r="U991">
        <f>ROUNDDOWN(R991*몬스터!$H$17, 0)*몬스터!$G$17*(1+몬스터!$I$17)</f>
        <v>805.86000000000013</v>
      </c>
      <c r="V991" s="2">
        <f t="shared" si="453"/>
        <v>1.1270769230769233</v>
      </c>
    </row>
    <row r="992" spans="1:22" x14ac:dyDescent="0.4">
      <c r="A992">
        <v>43</v>
      </c>
      <c r="B992" s="4">
        <f>160*A992</f>
        <v>6880</v>
      </c>
      <c r="C992">
        <f t="shared" si="458"/>
        <v>560</v>
      </c>
      <c r="D992">
        <f t="shared" si="459"/>
        <v>30</v>
      </c>
      <c r="E992" s="2">
        <v>0</v>
      </c>
      <c r="F992">
        <f t="shared" si="460"/>
        <v>76</v>
      </c>
      <c r="G992">
        <f t="shared" si="461"/>
        <v>0.751</v>
      </c>
      <c r="H992" s="3">
        <v>0.08</v>
      </c>
      <c r="I992" s="2">
        <v>2</v>
      </c>
      <c r="J992" s="2">
        <v>0</v>
      </c>
      <c r="K992" s="2">
        <v>1</v>
      </c>
      <c r="L992" s="16">
        <v>3</v>
      </c>
      <c r="M992" s="5">
        <f t="shared" si="462"/>
        <v>720</v>
      </c>
      <c r="N992" s="6">
        <f t="shared" si="463"/>
        <v>61.642080000000007</v>
      </c>
      <c r="O992">
        <f t="shared" si="464"/>
        <v>728</v>
      </c>
      <c r="P992" s="7">
        <f t="shared" si="452"/>
        <v>11.810114129828193</v>
      </c>
      <c r="Q992">
        <f>ROUNDUP(몬스터!$P$17/F992, 0)</f>
        <v>11</v>
      </c>
      <c r="R992" s="6">
        <f t="shared" si="465"/>
        <v>14.647137150466046</v>
      </c>
      <c r="S992" s="7">
        <f>B992/몬스터!$C$17*R992</f>
        <v>234.35419440745673</v>
      </c>
      <c r="U992">
        <f>ROUNDDOWN(R992*몬스터!$H$17, 0)*몬스터!$G$17*(1+몬스터!$I$17)</f>
        <v>732.6</v>
      </c>
      <c r="V992" s="2">
        <f t="shared" si="453"/>
        <v>1.0063186813186813</v>
      </c>
    </row>
    <row r="993" spans="1:22" x14ac:dyDescent="0.4">
      <c r="A993">
        <v>44</v>
      </c>
      <c r="B993" s="4">
        <f>160*A993</f>
        <v>7040</v>
      </c>
      <c r="C993">
        <f t="shared" si="458"/>
        <v>570</v>
      </c>
      <c r="D993">
        <f t="shared" si="459"/>
        <v>31</v>
      </c>
      <c r="E993" s="2">
        <v>0</v>
      </c>
      <c r="F993">
        <f t="shared" si="460"/>
        <v>77</v>
      </c>
      <c r="G993">
        <f t="shared" si="461"/>
        <v>0.753</v>
      </c>
      <c r="H993" s="3">
        <v>0.08</v>
      </c>
      <c r="I993" s="2">
        <v>2</v>
      </c>
      <c r="J993" s="2">
        <v>0</v>
      </c>
      <c r="K993" s="2">
        <v>1</v>
      </c>
      <c r="L993" s="16">
        <v>3</v>
      </c>
      <c r="M993" s="5">
        <f t="shared" si="462"/>
        <v>730</v>
      </c>
      <c r="N993" s="6">
        <f t="shared" si="463"/>
        <v>62.619480000000003</v>
      </c>
      <c r="O993">
        <f t="shared" si="464"/>
        <v>746.7</v>
      </c>
      <c r="P993" s="7">
        <f t="shared" si="452"/>
        <v>11.92440435468324</v>
      </c>
      <c r="Q993">
        <f>ROUNDUP(몬스터!$P$17/F993, 0)</f>
        <v>11</v>
      </c>
      <c r="R993" s="6">
        <f t="shared" si="465"/>
        <v>14.608233731739707</v>
      </c>
      <c r="S993" s="7">
        <f>B993/몬스터!$C$17*R993</f>
        <v>239.16736156150591</v>
      </c>
      <c r="U993">
        <f>ROUNDDOWN(R993*몬스터!$H$17, 0)*몬스터!$G$17*(1+몬스터!$I$17)</f>
        <v>732.6</v>
      </c>
      <c r="V993" s="2">
        <f t="shared" si="453"/>
        <v>0.98111691442346316</v>
      </c>
    </row>
    <row r="994" spans="1:22" x14ac:dyDescent="0.4">
      <c r="A994">
        <v>45</v>
      </c>
      <c r="B994" s="4">
        <f>160*A994</f>
        <v>7200</v>
      </c>
      <c r="C994">
        <f t="shared" si="458"/>
        <v>580</v>
      </c>
      <c r="D994">
        <f t="shared" si="459"/>
        <v>31</v>
      </c>
      <c r="E994" s="2">
        <v>0</v>
      </c>
      <c r="F994">
        <f t="shared" si="460"/>
        <v>79</v>
      </c>
      <c r="G994">
        <f t="shared" si="461"/>
        <v>0.755</v>
      </c>
      <c r="H994" s="3">
        <v>0.08</v>
      </c>
      <c r="I994" s="2">
        <v>2</v>
      </c>
      <c r="J994" s="2">
        <v>0</v>
      </c>
      <c r="K994" s="2">
        <v>1</v>
      </c>
      <c r="L994" s="16">
        <v>3</v>
      </c>
      <c r="M994" s="5">
        <f t="shared" si="462"/>
        <v>740</v>
      </c>
      <c r="N994" s="6">
        <f t="shared" si="463"/>
        <v>64.416600000000003</v>
      </c>
      <c r="O994">
        <f t="shared" si="464"/>
        <v>759.80000000000007</v>
      </c>
      <c r="P994" s="7">
        <f t="shared" si="452"/>
        <v>11.795096295054382</v>
      </c>
      <c r="Q994">
        <f>ROUNDUP(몬스터!$P$17/F994, 0)</f>
        <v>11</v>
      </c>
      <c r="R994" s="6">
        <f t="shared" si="465"/>
        <v>14.569536423841059</v>
      </c>
      <c r="S994" s="7">
        <f>B994/몬스터!$C$17*R994</f>
        <v>243.9550284922224</v>
      </c>
      <c r="T994" s="7">
        <f t="shared" ref="T994" si="468">SUM(S990:S994)</f>
        <v>1212.9302530804569</v>
      </c>
      <c r="U994">
        <f>ROUNDDOWN(R994*몬스터!$H$17, 0)*몬스터!$G$17*(1+몬스터!$I$17)</f>
        <v>732.6</v>
      </c>
      <c r="V994" s="2">
        <f t="shared" si="453"/>
        <v>0.96420110555409311</v>
      </c>
    </row>
    <row r="995" spans="1:22" x14ac:dyDescent="0.4">
      <c r="A995">
        <v>46</v>
      </c>
      <c r="B995" s="4">
        <f>170*A995-620</f>
        <v>7200</v>
      </c>
      <c r="C995">
        <f t="shared" si="458"/>
        <v>590</v>
      </c>
      <c r="D995">
        <f t="shared" si="459"/>
        <v>31</v>
      </c>
      <c r="E995" s="2">
        <v>0</v>
      </c>
      <c r="F995">
        <f t="shared" si="460"/>
        <v>80</v>
      </c>
      <c r="G995">
        <f t="shared" si="461"/>
        <v>0.75700000000000001</v>
      </c>
      <c r="H995" s="3">
        <v>0.08</v>
      </c>
      <c r="I995" s="2">
        <v>2</v>
      </c>
      <c r="J995" s="2">
        <v>0</v>
      </c>
      <c r="K995" s="2">
        <v>1</v>
      </c>
      <c r="L995" s="16">
        <v>3</v>
      </c>
      <c r="M995" s="5">
        <f t="shared" si="462"/>
        <v>750</v>
      </c>
      <c r="N995" s="6">
        <f t="shared" si="463"/>
        <v>65.404800000000009</v>
      </c>
      <c r="O995">
        <f t="shared" si="464"/>
        <v>772.9</v>
      </c>
      <c r="P995" s="7">
        <f t="shared" si="452"/>
        <v>11.817175497822788</v>
      </c>
      <c r="Q995">
        <f>ROUNDUP(몬스터!$P$18/F995, 0)</f>
        <v>12</v>
      </c>
      <c r="R995" s="6">
        <f t="shared" si="465"/>
        <v>15.852047556142669</v>
      </c>
      <c r="S995" s="7">
        <f>B995/몬스터!$C$18*R995</f>
        <v>237.78071334214002</v>
      </c>
      <c r="U995">
        <f>ROUNDDOWN(R995*몬스터!$H$18, 0)*몬스터!$G$18*(1+몬스터!$I$18)</f>
        <v>897.35249999999996</v>
      </c>
      <c r="V995" s="2">
        <f t="shared" si="453"/>
        <v>1.1610201837236382</v>
      </c>
    </row>
    <row r="996" spans="1:22" x14ac:dyDescent="0.4">
      <c r="A996">
        <v>47</v>
      </c>
      <c r="B996" s="4">
        <f>170*A996</f>
        <v>7990</v>
      </c>
      <c r="C996">
        <f t="shared" si="458"/>
        <v>600</v>
      </c>
      <c r="D996">
        <f t="shared" si="459"/>
        <v>32</v>
      </c>
      <c r="E996" s="2">
        <v>0</v>
      </c>
      <c r="F996">
        <f t="shared" si="460"/>
        <v>81</v>
      </c>
      <c r="G996">
        <f t="shared" si="461"/>
        <v>0.75900000000000001</v>
      </c>
      <c r="H996" s="3">
        <v>0.08</v>
      </c>
      <c r="I996" s="2">
        <v>2</v>
      </c>
      <c r="J996" s="2">
        <v>0</v>
      </c>
      <c r="K996" s="2">
        <v>1</v>
      </c>
      <c r="L996" s="16">
        <v>3</v>
      </c>
      <c r="M996" s="5">
        <f t="shared" si="462"/>
        <v>760</v>
      </c>
      <c r="N996" s="6">
        <f t="shared" si="463"/>
        <v>66.397320000000008</v>
      </c>
      <c r="O996">
        <f t="shared" si="464"/>
        <v>792</v>
      </c>
      <c r="P996" s="7">
        <f t="shared" si="452"/>
        <v>11.928192282459593</v>
      </c>
      <c r="Q996">
        <f>ROUNDUP(몬스터!$P$18/F996, 0)</f>
        <v>12</v>
      </c>
      <c r="R996" s="6">
        <f t="shared" si="465"/>
        <v>15.810276679841897</v>
      </c>
      <c r="S996" s="7">
        <f>B996/몬스터!$C$18*R996</f>
        <v>263.17523056653488</v>
      </c>
      <c r="U996">
        <f>ROUNDDOWN(R996*몬스터!$H$18, 0)*몬스터!$G$18*(1+몬스터!$I$18)</f>
        <v>897.35249999999996</v>
      </c>
      <c r="V996" s="2">
        <f t="shared" si="453"/>
        <v>1.1330208333333334</v>
      </c>
    </row>
    <row r="997" spans="1:22" x14ac:dyDescent="0.4">
      <c r="A997">
        <v>48</v>
      </c>
      <c r="B997" s="4">
        <f>170*A997</f>
        <v>8160</v>
      </c>
      <c r="C997">
        <f t="shared" si="458"/>
        <v>610</v>
      </c>
      <c r="D997">
        <f t="shared" si="459"/>
        <v>32</v>
      </c>
      <c r="E997" s="2">
        <v>0</v>
      </c>
      <c r="F997">
        <f t="shared" si="460"/>
        <v>83</v>
      </c>
      <c r="G997">
        <f t="shared" si="461"/>
        <v>0.76100000000000001</v>
      </c>
      <c r="H997" s="3">
        <v>0.08</v>
      </c>
      <c r="I997" s="2">
        <v>2</v>
      </c>
      <c r="J997" s="2">
        <v>0</v>
      </c>
      <c r="K997" s="2">
        <v>1</v>
      </c>
      <c r="L997" s="16">
        <v>3</v>
      </c>
      <c r="M997" s="5">
        <f t="shared" si="462"/>
        <v>770</v>
      </c>
      <c r="N997" s="6">
        <f t="shared" si="463"/>
        <v>68.216040000000007</v>
      </c>
      <c r="O997">
        <f t="shared" si="464"/>
        <v>805.2</v>
      </c>
      <c r="P997" s="7">
        <f t="shared" si="452"/>
        <v>11.803675499193444</v>
      </c>
      <c r="Q997">
        <f>ROUNDUP(몬스터!$P$18/F997, 0)</f>
        <v>12</v>
      </c>
      <c r="R997" s="6">
        <f t="shared" si="465"/>
        <v>15.768725361366622</v>
      </c>
      <c r="S997" s="7">
        <f>B997/몬스터!$C$18*R997</f>
        <v>268.06833114323257</v>
      </c>
      <c r="U997">
        <f>ROUNDDOWN(R997*몬스터!$H$18, 0)*몬스터!$G$18*(1+몬스터!$I$18)</f>
        <v>897.35249999999996</v>
      </c>
      <c r="V997" s="2">
        <f t="shared" si="453"/>
        <v>1.1144467213114753</v>
      </c>
    </row>
    <row r="998" spans="1:22" x14ac:dyDescent="0.4">
      <c r="A998">
        <v>49</v>
      </c>
      <c r="B998" s="4">
        <f>170*A998</f>
        <v>8330</v>
      </c>
      <c r="C998">
        <f t="shared" si="458"/>
        <v>620</v>
      </c>
      <c r="D998">
        <f t="shared" si="459"/>
        <v>32</v>
      </c>
      <c r="E998" s="2">
        <v>0</v>
      </c>
      <c r="F998">
        <f t="shared" si="460"/>
        <v>84</v>
      </c>
      <c r="G998">
        <f t="shared" si="461"/>
        <v>0.76300000000000001</v>
      </c>
      <c r="H998" s="3">
        <v>0.08</v>
      </c>
      <c r="I998" s="2">
        <v>2</v>
      </c>
      <c r="J998" s="2">
        <v>0</v>
      </c>
      <c r="K998" s="2">
        <v>1</v>
      </c>
      <c r="L998" s="16">
        <v>3</v>
      </c>
      <c r="M998" s="5">
        <f t="shared" si="462"/>
        <v>780</v>
      </c>
      <c r="N998" s="6">
        <f t="shared" si="463"/>
        <v>69.219360000000009</v>
      </c>
      <c r="O998">
        <f t="shared" si="464"/>
        <v>818.40000000000009</v>
      </c>
      <c r="P998" s="7">
        <f t="shared" si="452"/>
        <v>11.823281810175651</v>
      </c>
      <c r="Q998">
        <f>ROUNDUP(몬스터!$P$18/F998, 0)</f>
        <v>12</v>
      </c>
      <c r="R998" s="6">
        <f t="shared" si="465"/>
        <v>15.727391874180865</v>
      </c>
      <c r="S998" s="7">
        <f>B998/몬스터!$C$18*R998</f>
        <v>272.93577981651379</v>
      </c>
      <c r="U998">
        <f>ROUNDDOWN(R998*몬스터!$H$18, 0)*몬스터!$G$18*(1+몬스터!$I$18)</f>
        <v>897.35249999999996</v>
      </c>
      <c r="V998" s="2">
        <f t="shared" si="453"/>
        <v>1.0964717741935481</v>
      </c>
    </row>
    <row r="999" spans="1:22" x14ac:dyDescent="0.4">
      <c r="A999">
        <v>50</v>
      </c>
      <c r="B999" s="4">
        <f>170*A999</f>
        <v>8500</v>
      </c>
      <c r="C999">
        <f t="shared" si="458"/>
        <v>630</v>
      </c>
      <c r="D999">
        <f t="shared" si="459"/>
        <v>33</v>
      </c>
      <c r="E999" s="2">
        <v>0</v>
      </c>
      <c r="F999">
        <f t="shared" si="460"/>
        <v>85</v>
      </c>
      <c r="G999">
        <f t="shared" si="461"/>
        <v>0.76500000000000001</v>
      </c>
      <c r="H999" s="3">
        <v>0.08</v>
      </c>
      <c r="I999" s="2">
        <v>2</v>
      </c>
      <c r="J999" s="2">
        <v>0</v>
      </c>
      <c r="K999" s="2">
        <v>1</v>
      </c>
      <c r="L999" s="16">
        <v>3</v>
      </c>
      <c r="M999" s="5">
        <f t="shared" si="462"/>
        <v>790</v>
      </c>
      <c r="N999" s="6">
        <f t="shared" si="463"/>
        <v>70.227000000000004</v>
      </c>
      <c r="O999">
        <f t="shared" si="464"/>
        <v>837.90000000000009</v>
      </c>
      <c r="P999" s="7">
        <f t="shared" si="452"/>
        <v>11.931308471100859</v>
      </c>
      <c r="Q999">
        <f>ROUNDUP(몬스터!$P$18/F999, 0)</f>
        <v>12</v>
      </c>
      <c r="R999" s="6">
        <f t="shared" si="465"/>
        <v>15.686274509803921</v>
      </c>
      <c r="S999" s="7">
        <f>B999/몬스터!$C$18*R999</f>
        <v>277.77777777777777</v>
      </c>
      <c r="T999" s="7">
        <f t="shared" ref="T999" si="469">SUM(S995:S999)</f>
        <v>1319.737832646199</v>
      </c>
      <c r="U999">
        <f>ROUNDDOWN(R999*몬스터!$H$18, 0)*몬스터!$G$18*(1+몬스터!$I$18)</f>
        <v>897.35249999999996</v>
      </c>
      <c r="V999" s="2">
        <f t="shared" si="453"/>
        <v>1.0709541711421409</v>
      </c>
    </row>
    <row r="1000" spans="1:22" x14ac:dyDescent="0.4">
      <c r="A1000">
        <v>51</v>
      </c>
      <c r="B1000" s="4">
        <f>160*A1000</f>
        <v>8160</v>
      </c>
      <c r="C1000">
        <f t="shared" si="458"/>
        <v>640</v>
      </c>
      <c r="D1000">
        <f t="shared" si="459"/>
        <v>33</v>
      </c>
      <c r="E1000" s="2">
        <v>0</v>
      </c>
      <c r="F1000">
        <f t="shared" si="460"/>
        <v>87</v>
      </c>
      <c r="G1000">
        <f t="shared" si="461"/>
        <v>0.76700000000000002</v>
      </c>
      <c r="H1000" s="3">
        <v>0.08</v>
      </c>
      <c r="I1000" s="2">
        <v>2</v>
      </c>
      <c r="J1000" s="2">
        <v>0</v>
      </c>
      <c r="K1000" s="2">
        <v>1</v>
      </c>
      <c r="L1000" s="16">
        <v>3</v>
      </c>
      <c r="M1000" s="5">
        <f t="shared" si="462"/>
        <v>800</v>
      </c>
      <c r="N1000" s="6">
        <f t="shared" si="463"/>
        <v>72.067320000000009</v>
      </c>
      <c r="O1000">
        <f t="shared" si="464"/>
        <v>851.2</v>
      </c>
      <c r="P1000" s="7">
        <f t="shared" si="452"/>
        <v>11.811178770072203</v>
      </c>
      <c r="Q1000">
        <f>ROUNDUP(몬스터!$P$19/F1000, 0)</f>
        <v>13</v>
      </c>
      <c r="R1000" s="6">
        <f t="shared" si="465"/>
        <v>16.949152542372882</v>
      </c>
      <c r="S1000" s="7">
        <f>B1000/몬스터!$C$19*R1000</f>
        <v>260.95299008634476</v>
      </c>
      <c r="U1000">
        <f>ROUNDDOWN(R1000*몬스터!$H$19, 0)*몬스터!$G$19*(1+몬스터!$I$19)</f>
        <v>1093.5</v>
      </c>
      <c r="V1000" s="2">
        <f t="shared" si="453"/>
        <v>1.284656954887218</v>
      </c>
    </row>
    <row r="1001" spans="1:22" x14ac:dyDescent="0.4">
      <c r="A1001">
        <v>52</v>
      </c>
      <c r="B1001" s="4">
        <f>160*A1001</f>
        <v>8320</v>
      </c>
      <c r="C1001">
        <f t="shared" si="458"/>
        <v>650</v>
      </c>
      <c r="D1001">
        <f t="shared" si="459"/>
        <v>33</v>
      </c>
      <c r="E1001" s="2">
        <v>0</v>
      </c>
      <c r="F1001">
        <f t="shared" si="460"/>
        <v>88</v>
      </c>
      <c r="G1001">
        <f t="shared" si="461"/>
        <v>0.76900000000000002</v>
      </c>
      <c r="H1001" s="3">
        <v>0.08</v>
      </c>
      <c r="I1001" s="2">
        <v>2</v>
      </c>
      <c r="J1001" s="2">
        <v>0</v>
      </c>
      <c r="K1001" s="2">
        <v>1</v>
      </c>
      <c r="L1001" s="16">
        <v>3</v>
      </c>
      <c r="M1001" s="5">
        <f t="shared" si="462"/>
        <v>810</v>
      </c>
      <c r="N1001" s="6">
        <f t="shared" si="463"/>
        <v>73.085760000000008</v>
      </c>
      <c r="O1001">
        <f t="shared" si="464"/>
        <v>864.5</v>
      </c>
      <c r="P1001" s="7">
        <f t="shared" si="452"/>
        <v>11.828569614655439</v>
      </c>
      <c r="Q1001">
        <f>ROUNDUP(몬스터!$P$19/F1001, 0)</f>
        <v>13</v>
      </c>
      <c r="R1001" s="6">
        <f t="shared" si="465"/>
        <v>16.905071521456435</v>
      </c>
      <c r="S1001" s="7">
        <f>B1001/몬스터!$C$19*R1001</f>
        <v>265.37772652550478</v>
      </c>
      <c r="U1001">
        <f>ROUNDDOWN(R1001*몬스터!$H$19, 0)*몬스터!$G$19*(1+몬스터!$I$19)</f>
        <v>1093.5</v>
      </c>
      <c r="V1001" s="2">
        <f t="shared" si="453"/>
        <v>1.264893001735107</v>
      </c>
    </row>
    <row r="1002" spans="1:22" x14ac:dyDescent="0.4">
      <c r="A1002">
        <v>53</v>
      </c>
      <c r="B1002" s="4">
        <f>160*A1002</f>
        <v>8480</v>
      </c>
      <c r="C1002">
        <f t="shared" si="458"/>
        <v>660</v>
      </c>
      <c r="D1002">
        <f t="shared" si="459"/>
        <v>33</v>
      </c>
      <c r="E1002" s="2">
        <v>0</v>
      </c>
      <c r="F1002">
        <f t="shared" si="460"/>
        <v>89</v>
      </c>
      <c r="G1002">
        <f t="shared" si="461"/>
        <v>0.77100000000000002</v>
      </c>
      <c r="H1002" s="3">
        <v>0.08</v>
      </c>
      <c r="I1002" s="2">
        <v>2</v>
      </c>
      <c r="J1002" s="2">
        <v>0</v>
      </c>
      <c r="K1002" s="2">
        <v>1</v>
      </c>
      <c r="L1002" s="16">
        <v>3</v>
      </c>
      <c r="M1002" s="5">
        <f t="shared" si="462"/>
        <v>820</v>
      </c>
      <c r="N1002" s="6">
        <f t="shared" si="463"/>
        <v>74.108519999999999</v>
      </c>
      <c r="O1002">
        <f t="shared" si="464"/>
        <v>877.80000000000007</v>
      </c>
      <c r="P1002" s="7">
        <f t="shared" si="452"/>
        <v>11.844791934854456</v>
      </c>
      <c r="Q1002">
        <f>ROUNDUP(몬스터!$P$19/F1002, 0)</f>
        <v>13</v>
      </c>
      <c r="R1002" s="6">
        <f t="shared" si="465"/>
        <v>16.861219195849547</v>
      </c>
      <c r="S1002" s="7">
        <f>B1002/몬스터!$C$19*R1002</f>
        <v>269.77950713359274</v>
      </c>
      <c r="U1002">
        <f>ROUNDDOWN(R1002*몬스터!$H$19, 0)*몬스터!$G$19*(1+몬스터!$I$19)</f>
        <v>1093.5</v>
      </c>
      <c r="V1002" s="2">
        <f t="shared" si="453"/>
        <v>1.245727956254272</v>
      </c>
    </row>
    <row r="1003" spans="1:22" x14ac:dyDescent="0.4">
      <c r="A1003">
        <v>54</v>
      </c>
      <c r="B1003" s="4">
        <f>160*A1003</f>
        <v>8640</v>
      </c>
      <c r="C1003">
        <f t="shared" si="458"/>
        <v>670</v>
      </c>
      <c r="D1003">
        <f t="shared" si="459"/>
        <v>34</v>
      </c>
      <c r="E1003" s="2">
        <v>0</v>
      </c>
      <c r="F1003">
        <f t="shared" si="460"/>
        <v>91</v>
      </c>
      <c r="G1003">
        <f t="shared" si="461"/>
        <v>0.77300000000000002</v>
      </c>
      <c r="H1003" s="3">
        <v>0.08</v>
      </c>
      <c r="I1003" s="2">
        <v>2</v>
      </c>
      <c r="J1003" s="2">
        <v>0</v>
      </c>
      <c r="K1003" s="2">
        <v>1</v>
      </c>
      <c r="L1003" s="16">
        <v>3</v>
      </c>
      <c r="M1003" s="5">
        <f t="shared" si="462"/>
        <v>830</v>
      </c>
      <c r="N1003" s="6">
        <f t="shared" si="463"/>
        <v>75.970440000000011</v>
      </c>
      <c r="O1003">
        <f t="shared" si="464"/>
        <v>897.80000000000007</v>
      </c>
      <c r="P1003" s="7">
        <f t="shared" si="452"/>
        <v>11.817754379203279</v>
      </c>
      <c r="Q1003">
        <f>ROUNDUP(몬스터!$P$19/F1003, 0)</f>
        <v>12</v>
      </c>
      <c r="R1003" s="6">
        <f t="shared" si="465"/>
        <v>15.523932729624837</v>
      </c>
      <c r="S1003" s="7">
        <f>B1003/몬스터!$C$19*R1003</f>
        <v>253.06939393199735</v>
      </c>
      <c r="U1003">
        <f>ROUNDDOWN(R1003*몬스터!$H$19, 0)*몬스터!$G$19*(1+몬스터!$I$19)</f>
        <v>1002.375</v>
      </c>
      <c r="V1003" s="2">
        <f t="shared" si="453"/>
        <v>1.1164791713076407</v>
      </c>
    </row>
    <row r="1004" spans="1:22" x14ac:dyDescent="0.4">
      <c r="A1004">
        <v>55</v>
      </c>
      <c r="B1004" s="4">
        <f>160*A1004</f>
        <v>8800</v>
      </c>
      <c r="C1004">
        <f t="shared" si="458"/>
        <v>680</v>
      </c>
      <c r="D1004">
        <f t="shared" si="459"/>
        <v>34</v>
      </c>
      <c r="E1004" s="2">
        <v>0</v>
      </c>
      <c r="F1004">
        <f t="shared" si="460"/>
        <v>92</v>
      </c>
      <c r="G1004">
        <f t="shared" si="461"/>
        <v>0.77500000000000002</v>
      </c>
      <c r="H1004" s="3">
        <v>0.08</v>
      </c>
      <c r="I1004" s="2">
        <v>2</v>
      </c>
      <c r="J1004" s="2">
        <v>0</v>
      </c>
      <c r="K1004" s="2">
        <v>1</v>
      </c>
      <c r="L1004" s="16">
        <v>3</v>
      </c>
      <c r="M1004" s="5">
        <f t="shared" si="462"/>
        <v>840</v>
      </c>
      <c r="N1004" s="6">
        <f t="shared" si="463"/>
        <v>77.004000000000005</v>
      </c>
      <c r="O1004">
        <f t="shared" si="464"/>
        <v>911.2</v>
      </c>
      <c r="P1004" s="7">
        <f t="shared" si="452"/>
        <v>11.833151524596124</v>
      </c>
      <c r="Q1004">
        <f>ROUNDUP(몬스터!$P$19/F1004, 0)</f>
        <v>12</v>
      </c>
      <c r="R1004" s="6">
        <f t="shared" si="465"/>
        <v>15.483870967741934</v>
      </c>
      <c r="S1004" s="7">
        <f>B1004/몬스터!$C$19*R1004</f>
        <v>257.09068776628118</v>
      </c>
      <c r="T1004" s="7">
        <f t="shared" ref="T1004" si="470">SUM(S1000:S1004)</f>
        <v>1306.2703054437209</v>
      </c>
      <c r="U1004">
        <f>ROUNDDOWN(R1004*몬스터!$H$19, 0)*몬스터!$G$19*(1+몬스터!$I$19)</f>
        <v>1002.375</v>
      </c>
      <c r="V1004" s="2">
        <f t="shared" si="453"/>
        <v>1.1000603599648815</v>
      </c>
    </row>
    <row r="1005" spans="1:22" x14ac:dyDescent="0.4">
      <c r="A1005">
        <v>56</v>
      </c>
      <c r="B1005" s="4">
        <f>170*A1005</f>
        <v>9520</v>
      </c>
      <c r="C1005">
        <f t="shared" si="458"/>
        <v>690</v>
      </c>
      <c r="D1005">
        <f t="shared" si="459"/>
        <v>34</v>
      </c>
      <c r="E1005" s="2">
        <v>0</v>
      </c>
      <c r="F1005">
        <f t="shared" si="460"/>
        <v>93</v>
      </c>
      <c r="G1005">
        <f t="shared" si="461"/>
        <v>0.77700000000000002</v>
      </c>
      <c r="H1005" s="3">
        <v>0.08</v>
      </c>
      <c r="I1005" s="2">
        <v>2</v>
      </c>
      <c r="J1005" s="2">
        <v>0</v>
      </c>
      <c r="K1005" s="2">
        <v>1</v>
      </c>
      <c r="L1005" s="16">
        <v>3</v>
      </c>
      <c r="M1005" s="5">
        <f t="shared" si="462"/>
        <v>850</v>
      </c>
      <c r="N1005" s="6">
        <f t="shared" si="463"/>
        <v>78.041880000000006</v>
      </c>
      <c r="O1005">
        <f t="shared" si="464"/>
        <v>924.6</v>
      </c>
      <c r="P1005" s="7">
        <f t="shared" si="452"/>
        <v>11.847484965764535</v>
      </c>
      <c r="Q1005">
        <f>ROUNDUP(몬스터!$P$20/F1005, 0)</f>
        <v>13</v>
      </c>
      <c r="R1005" s="6">
        <f t="shared" si="465"/>
        <v>16.73101673101673</v>
      </c>
      <c r="S1005" s="7">
        <f>B1005/몬스터!$C$20*R1005</f>
        <v>274.61944703324014</v>
      </c>
      <c r="U1005">
        <f>ROUNDDOWN(R1005*몬스터!$H$20, 0)*몬스터!$G$20*(1+몬스터!$I$20)</f>
        <v>1195.92</v>
      </c>
      <c r="V1005" s="2">
        <f t="shared" si="453"/>
        <v>1.2934458144062297</v>
      </c>
    </row>
    <row r="1006" spans="1:22" x14ac:dyDescent="0.4">
      <c r="A1006">
        <v>57</v>
      </c>
      <c r="B1006" s="4">
        <f>170*A1006</f>
        <v>9690</v>
      </c>
      <c r="C1006">
        <f t="shared" si="458"/>
        <v>700</v>
      </c>
      <c r="D1006">
        <f t="shared" si="459"/>
        <v>35</v>
      </c>
      <c r="E1006" s="2">
        <v>0</v>
      </c>
      <c r="F1006">
        <f t="shared" si="460"/>
        <v>95</v>
      </c>
      <c r="G1006">
        <f t="shared" si="461"/>
        <v>0.77900000000000003</v>
      </c>
      <c r="H1006" s="3">
        <v>0.08</v>
      </c>
      <c r="I1006" s="2">
        <v>2</v>
      </c>
      <c r="J1006" s="2">
        <v>0</v>
      </c>
      <c r="K1006" s="2">
        <v>1</v>
      </c>
      <c r="L1006" s="16">
        <v>3</v>
      </c>
      <c r="M1006" s="5">
        <f t="shared" si="462"/>
        <v>860</v>
      </c>
      <c r="N1006" s="6">
        <f t="shared" si="463"/>
        <v>79.925399999999996</v>
      </c>
      <c r="O1006">
        <f t="shared" si="464"/>
        <v>945.00000000000011</v>
      </c>
      <c r="P1006" s="7">
        <f t="shared" si="452"/>
        <v>11.823525437470444</v>
      </c>
      <c r="Q1006">
        <f>ROUNDUP(몬스터!$P$20/F1006, 0)</f>
        <v>13</v>
      </c>
      <c r="R1006" s="6">
        <f t="shared" si="465"/>
        <v>16.688061617458278</v>
      </c>
      <c r="S1006" s="7">
        <f>B1006/몬스터!$C$20*R1006</f>
        <v>278.80571909167367</v>
      </c>
      <c r="U1006">
        <f>ROUNDDOWN(R1006*몬스터!$H$20, 0)*몬스터!$G$20*(1+몬스터!$I$20)</f>
        <v>1195.92</v>
      </c>
      <c r="V1006" s="2">
        <f t="shared" si="453"/>
        <v>1.2655238095238095</v>
      </c>
    </row>
    <row r="1007" spans="1:22" x14ac:dyDescent="0.4">
      <c r="A1007">
        <v>58</v>
      </c>
      <c r="B1007" s="4">
        <f>170*A1007</f>
        <v>9860</v>
      </c>
      <c r="C1007">
        <f t="shared" si="458"/>
        <v>710</v>
      </c>
      <c r="D1007">
        <f t="shared" si="459"/>
        <v>35</v>
      </c>
      <c r="E1007" s="2">
        <v>0</v>
      </c>
      <c r="F1007">
        <f t="shared" si="460"/>
        <v>96</v>
      </c>
      <c r="G1007">
        <f t="shared" si="461"/>
        <v>0.78100000000000003</v>
      </c>
      <c r="H1007" s="3">
        <v>0.08</v>
      </c>
      <c r="I1007" s="2">
        <v>2</v>
      </c>
      <c r="J1007" s="2">
        <v>0</v>
      </c>
      <c r="K1007" s="2">
        <v>1</v>
      </c>
      <c r="L1007" s="16">
        <v>3</v>
      </c>
      <c r="M1007" s="5">
        <f t="shared" si="462"/>
        <v>870</v>
      </c>
      <c r="N1007" s="6">
        <f t="shared" si="463"/>
        <v>80.974080000000001</v>
      </c>
      <c r="O1007">
        <f t="shared" si="464"/>
        <v>958.50000000000011</v>
      </c>
      <c r="P1007" s="7">
        <f t="shared" si="452"/>
        <v>11.837121212121213</v>
      </c>
      <c r="Q1007">
        <f>ROUNDUP(몬스터!$P$20/F1007, 0)</f>
        <v>13</v>
      </c>
      <c r="R1007" s="6">
        <f t="shared" si="465"/>
        <v>16.645326504481435</v>
      </c>
      <c r="S1007" s="7">
        <f>B1007/몬스터!$C$20*R1007</f>
        <v>282.97055057618439</v>
      </c>
      <c r="U1007">
        <f>ROUNDDOWN(R1007*몬스터!$H$20, 0)*몬스터!$G$20*(1+몬스터!$I$20)</f>
        <v>1195.92</v>
      </c>
      <c r="V1007" s="2">
        <f t="shared" si="453"/>
        <v>1.2476995305164318</v>
      </c>
    </row>
    <row r="1008" spans="1:22" x14ac:dyDescent="0.4">
      <c r="A1008">
        <v>59</v>
      </c>
      <c r="B1008" s="4">
        <f>170*A1008</f>
        <v>10030</v>
      </c>
      <c r="C1008">
        <f t="shared" si="458"/>
        <v>720</v>
      </c>
      <c r="D1008">
        <f t="shared" si="459"/>
        <v>35</v>
      </c>
      <c r="E1008" s="2">
        <v>0</v>
      </c>
      <c r="F1008">
        <f t="shared" si="460"/>
        <v>97</v>
      </c>
      <c r="G1008">
        <f t="shared" si="461"/>
        <v>0.78300000000000003</v>
      </c>
      <c r="H1008" s="3">
        <v>0.08</v>
      </c>
      <c r="I1008" s="2">
        <v>2</v>
      </c>
      <c r="J1008" s="2">
        <v>0</v>
      </c>
      <c r="K1008" s="2">
        <v>1</v>
      </c>
      <c r="L1008" s="16">
        <v>3</v>
      </c>
      <c r="M1008" s="5">
        <f t="shared" si="462"/>
        <v>880</v>
      </c>
      <c r="N1008" s="6">
        <f t="shared" si="463"/>
        <v>82.027080000000012</v>
      </c>
      <c r="O1008">
        <f t="shared" si="464"/>
        <v>972.00000000000011</v>
      </c>
      <c r="P1008" s="7">
        <f t="shared" si="452"/>
        <v>11.849745230477545</v>
      </c>
      <c r="Q1008">
        <f>ROUNDUP(몬스터!$P$20/F1008, 0)</f>
        <v>13</v>
      </c>
      <c r="R1008" s="6">
        <f t="shared" si="465"/>
        <v>16.602809706257982</v>
      </c>
      <c r="S1008" s="7">
        <f>B1008/몬스터!$C$20*R1008</f>
        <v>287.11410578235785</v>
      </c>
      <c r="U1008">
        <f>ROUNDDOWN(R1008*몬스터!$H$20, 0)*몬스터!$G$20*(1+몬스터!$I$20)</f>
        <v>1195.92</v>
      </c>
      <c r="V1008" s="2">
        <f t="shared" si="453"/>
        <v>1.2303703703703703</v>
      </c>
    </row>
    <row r="1009" spans="1:22" x14ac:dyDescent="0.4">
      <c r="A1009">
        <v>60</v>
      </c>
      <c r="B1009" s="4">
        <f>170*A1009</f>
        <v>10200</v>
      </c>
      <c r="C1009">
        <f t="shared" si="458"/>
        <v>730</v>
      </c>
      <c r="D1009">
        <f t="shared" si="459"/>
        <v>36</v>
      </c>
      <c r="E1009" s="2">
        <v>0</v>
      </c>
      <c r="F1009">
        <f t="shared" si="460"/>
        <v>99</v>
      </c>
      <c r="G1009">
        <f t="shared" si="461"/>
        <v>0.78500000000000003</v>
      </c>
      <c r="H1009" s="3">
        <v>0.08</v>
      </c>
      <c r="I1009" s="2">
        <v>2</v>
      </c>
      <c r="J1009" s="2">
        <v>0</v>
      </c>
      <c r="K1009" s="2">
        <v>1</v>
      </c>
      <c r="L1009" s="16">
        <v>3</v>
      </c>
      <c r="M1009" s="5">
        <f t="shared" si="462"/>
        <v>890</v>
      </c>
      <c r="N1009" s="6">
        <f t="shared" si="463"/>
        <v>83.932200000000009</v>
      </c>
      <c r="O1009">
        <f t="shared" si="464"/>
        <v>992.8</v>
      </c>
      <c r="P1009" s="7">
        <f t="shared" si="452"/>
        <v>11.828594984999796</v>
      </c>
      <c r="Q1009">
        <f>ROUNDUP(몬스터!$P$20/F1009, 0)</f>
        <v>13</v>
      </c>
      <c r="R1009" s="6">
        <f t="shared" si="465"/>
        <v>16.560509554140125</v>
      </c>
      <c r="S1009" s="7">
        <f>B1009/몬스터!$C$20*R1009</f>
        <v>291.23654733142979</v>
      </c>
      <c r="T1009" s="7">
        <f t="shared" ref="T1009" si="471">SUM(S1005:S1009)</f>
        <v>1414.7463698148861</v>
      </c>
      <c r="U1009">
        <f>ROUNDDOWN(R1009*몬스터!$H$20, 0)*몬스터!$G$20*(1+몬스터!$I$20)</f>
        <v>1195.92</v>
      </c>
      <c r="V1009" s="2">
        <f t="shared" si="453"/>
        <v>1.2045930701047542</v>
      </c>
    </row>
    <row r="1010" spans="1:22" x14ac:dyDescent="0.4">
      <c r="A1010">
        <v>61</v>
      </c>
      <c r="B1010" s="4">
        <f>160*A1010-320</f>
        <v>9440</v>
      </c>
      <c r="C1010">
        <f t="shared" si="458"/>
        <v>740</v>
      </c>
      <c r="D1010">
        <f t="shared" si="459"/>
        <v>36</v>
      </c>
      <c r="E1010" s="2">
        <v>0</v>
      </c>
      <c r="F1010">
        <f t="shared" si="460"/>
        <v>100</v>
      </c>
      <c r="G1010">
        <f t="shared" si="461"/>
        <v>0.78700000000000003</v>
      </c>
      <c r="H1010" s="3">
        <v>0.08</v>
      </c>
      <c r="I1010" s="2">
        <v>2</v>
      </c>
      <c r="J1010" s="2">
        <v>0</v>
      </c>
      <c r="K1010" s="2">
        <v>1</v>
      </c>
      <c r="L1010" s="16">
        <v>3</v>
      </c>
      <c r="M1010" s="5">
        <f t="shared" si="462"/>
        <v>900</v>
      </c>
      <c r="N1010" s="6">
        <f t="shared" si="463"/>
        <v>84.996000000000009</v>
      </c>
      <c r="O1010">
        <f t="shared" si="464"/>
        <v>1006.3999999999999</v>
      </c>
      <c r="P1010" s="7">
        <f t="shared" si="452"/>
        <v>11.840557202691889</v>
      </c>
      <c r="Q1010">
        <f>ROUNDUP(몬스터!$P$23/F1010, 0)</f>
        <v>14</v>
      </c>
      <c r="R1010" s="6">
        <f t="shared" si="465"/>
        <v>17.789072426937736</v>
      </c>
      <c r="S1010" s="7">
        <f>B1010/몬스터!$C$23*R1010</f>
        <v>266.55372017506704</v>
      </c>
      <c r="U1010">
        <f>ROUNDDOWN(R1010*몬스터!$H$23, 0)*몬스터!$G$23*(1+몬스터!$I$23)</f>
        <v>1532.16</v>
      </c>
      <c r="V1010" s="2">
        <f t="shared" si="453"/>
        <v>1.5224165341812403</v>
      </c>
    </row>
    <row r="1011" spans="1:22" x14ac:dyDescent="0.4">
      <c r="A1011">
        <v>62</v>
      </c>
      <c r="B1011" s="4">
        <f>160*A1011</f>
        <v>9920</v>
      </c>
      <c r="C1011">
        <f t="shared" si="458"/>
        <v>750</v>
      </c>
      <c r="D1011">
        <f t="shared" si="459"/>
        <v>36</v>
      </c>
      <c r="E1011" s="2">
        <v>0</v>
      </c>
      <c r="F1011">
        <f t="shared" si="460"/>
        <v>101</v>
      </c>
      <c r="G1011">
        <f t="shared" si="461"/>
        <v>0.78900000000000003</v>
      </c>
      <c r="H1011" s="3">
        <v>0.08</v>
      </c>
      <c r="I1011" s="2">
        <v>2</v>
      </c>
      <c r="J1011" s="2">
        <v>0</v>
      </c>
      <c r="K1011" s="2">
        <v>1</v>
      </c>
      <c r="L1011" s="16">
        <v>3</v>
      </c>
      <c r="M1011" s="5">
        <f t="shared" si="462"/>
        <v>910</v>
      </c>
      <c r="N1011" s="6">
        <f t="shared" si="463"/>
        <v>86.064120000000017</v>
      </c>
      <c r="O1011">
        <f t="shared" si="464"/>
        <v>1019.9999999999999</v>
      </c>
      <c r="P1011" s="7">
        <f t="shared" si="452"/>
        <v>11.851628762369263</v>
      </c>
      <c r="Q1011">
        <f>ROUNDUP(몬스터!$P$23/F1011, 0)</f>
        <v>14</v>
      </c>
      <c r="R1011" s="6">
        <f t="shared" si="465"/>
        <v>17.743979721166031</v>
      </c>
      <c r="S1011" s="7">
        <f>B1011/몬스터!$C$23*R1011</f>
        <v>279.39726799042387</v>
      </c>
      <c r="U1011">
        <f>ROUNDDOWN(R1011*몬스터!$H$23, 0)*몬스터!$G$23*(1+몬스터!$I$23)</f>
        <v>1532.16</v>
      </c>
      <c r="V1011" s="2">
        <f t="shared" si="453"/>
        <v>1.5021176470588238</v>
      </c>
    </row>
    <row r="1012" spans="1:22" x14ac:dyDescent="0.4">
      <c r="A1012">
        <v>63</v>
      </c>
      <c r="B1012" s="4">
        <f>160*A1012</f>
        <v>10080</v>
      </c>
      <c r="C1012">
        <f t="shared" si="458"/>
        <v>760</v>
      </c>
      <c r="D1012">
        <f t="shared" si="459"/>
        <v>36</v>
      </c>
      <c r="E1012" s="2">
        <v>0</v>
      </c>
      <c r="F1012">
        <f t="shared" si="460"/>
        <v>103</v>
      </c>
      <c r="G1012">
        <f t="shared" si="461"/>
        <v>0.79100000000000004</v>
      </c>
      <c r="H1012" s="3">
        <v>0.08</v>
      </c>
      <c r="I1012" s="2">
        <v>2</v>
      </c>
      <c r="J1012" s="2">
        <v>0</v>
      </c>
      <c r="K1012" s="2">
        <v>1</v>
      </c>
      <c r="L1012" s="16">
        <v>3</v>
      </c>
      <c r="M1012" s="5">
        <f t="shared" si="462"/>
        <v>920</v>
      </c>
      <c r="N1012" s="6">
        <f t="shared" si="463"/>
        <v>87.990840000000006</v>
      </c>
      <c r="O1012">
        <f t="shared" si="464"/>
        <v>1033.5999999999999</v>
      </c>
      <c r="P1012" s="7">
        <f t="shared" si="452"/>
        <v>11.746677267770144</v>
      </c>
      <c r="Q1012">
        <f>ROUNDUP(몬스터!$P$23/F1012, 0)</f>
        <v>14</v>
      </c>
      <c r="R1012" s="6">
        <f t="shared" si="465"/>
        <v>17.699115044247787</v>
      </c>
      <c r="S1012" s="7">
        <f>B1012/몬스터!$C$23*R1012</f>
        <v>283.18584070796459</v>
      </c>
      <c r="U1012">
        <f>ROUNDDOWN(R1012*몬스터!$H$23, 0)*몬스터!$G$23*(1+몬스터!$I$23)</f>
        <v>1532.16</v>
      </c>
      <c r="V1012" s="2">
        <f t="shared" si="453"/>
        <v>1.4823529411764709</v>
      </c>
    </row>
    <row r="1013" spans="1:22" x14ac:dyDescent="0.4">
      <c r="A1013">
        <v>64</v>
      </c>
      <c r="B1013" s="4">
        <f>160*A1013</f>
        <v>10240</v>
      </c>
      <c r="C1013">
        <f t="shared" si="458"/>
        <v>770</v>
      </c>
      <c r="D1013">
        <f t="shared" si="459"/>
        <v>37</v>
      </c>
      <c r="E1013" s="2">
        <v>0</v>
      </c>
      <c r="F1013">
        <f t="shared" si="460"/>
        <v>104</v>
      </c>
      <c r="G1013">
        <f t="shared" si="461"/>
        <v>0.79300000000000004</v>
      </c>
      <c r="H1013" s="3">
        <v>0.08</v>
      </c>
      <c r="I1013" s="2">
        <v>2</v>
      </c>
      <c r="J1013" s="2">
        <v>0</v>
      </c>
      <c r="K1013" s="2">
        <v>1</v>
      </c>
      <c r="L1013" s="16">
        <v>3</v>
      </c>
      <c r="M1013" s="5">
        <f t="shared" si="462"/>
        <v>930</v>
      </c>
      <c r="N1013" s="6">
        <f t="shared" si="463"/>
        <v>89.069760000000016</v>
      </c>
      <c r="O1013">
        <f t="shared" si="464"/>
        <v>1054.9000000000001</v>
      </c>
      <c r="P1013" s="7">
        <f t="shared" si="452"/>
        <v>11.843525793714948</v>
      </c>
      <c r="Q1013">
        <f>ROUNDUP(몬스터!$P$23/F1013, 0)</f>
        <v>13</v>
      </c>
      <c r="R1013" s="6">
        <f t="shared" si="465"/>
        <v>16.393442622950818</v>
      </c>
      <c r="S1013" s="7">
        <f>B1013/몬스터!$C$23*R1013</f>
        <v>266.45849596669262</v>
      </c>
      <c r="U1013">
        <f>ROUNDDOWN(R1013*몬스터!$H$23, 0)*몬스터!$G$23*(1+몬스터!$I$23)</f>
        <v>1313.2800000000002</v>
      </c>
      <c r="V1013" s="2">
        <f t="shared" si="453"/>
        <v>1.2449331690207603</v>
      </c>
    </row>
    <row r="1014" spans="1:22" x14ac:dyDescent="0.4">
      <c r="A1014">
        <v>65</v>
      </c>
      <c r="B1014" s="4">
        <f>160*A1014</f>
        <v>10400</v>
      </c>
      <c r="C1014">
        <f t="shared" ref="C1014:C1049" si="472">MROUND((150+A1014*11)*0.9,5)</f>
        <v>780</v>
      </c>
      <c r="D1014">
        <f t="shared" ref="D1014:D1049" si="473">ROUNDDOWN((18+A1014*0.3), 0)</f>
        <v>37</v>
      </c>
      <c r="E1014" s="2">
        <v>0</v>
      </c>
      <c r="F1014">
        <f t="shared" ref="F1014:F1049" si="474">ROUND((28+A1014*2)*2/3, 0)</f>
        <v>105</v>
      </c>
      <c r="G1014">
        <f t="shared" ref="G1014:G1049" si="475">0.665+0.002*A1014</f>
        <v>0.79500000000000004</v>
      </c>
      <c r="H1014" s="3">
        <v>0.08</v>
      </c>
      <c r="I1014" s="2">
        <v>2</v>
      </c>
      <c r="J1014" s="2">
        <v>0</v>
      </c>
      <c r="K1014" s="2">
        <v>1</v>
      </c>
      <c r="L1014" s="16">
        <v>3</v>
      </c>
      <c r="M1014" s="5">
        <f t="shared" ref="M1014:M1049" si="476">290+10*A1014</f>
        <v>940</v>
      </c>
      <c r="N1014" s="6">
        <f t="shared" ref="N1014:N1049" si="477">F1014*G1014*(1+H1014)</f>
        <v>90.15300000000002</v>
      </c>
      <c r="O1014">
        <f t="shared" ref="O1014:O1049" si="478">C1014*(1+D1014/100)*(1+E1014)</f>
        <v>1068.6000000000001</v>
      </c>
      <c r="P1014" s="7">
        <f t="shared" si="452"/>
        <v>11.853182922365312</v>
      </c>
      <c r="Q1014">
        <f>ROUNDUP(몬스터!$P$23/F1014, 0)</f>
        <v>13</v>
      </c>
      <c r="R1014" s="6">
        <f t="shared" ref="R1014:R1045" si="479">Q1014/G1014</f>
        <v>16.352201257861633</v>
      </c>
      <c r="S1014" s="7">
        <f>B1014/몬스터!$C$23*R1014</f>
        <v>269.94110012977939</v>
      </c>
      <c r="T1014" s="7">
        <f t="shared" ref="T1014" si="480">SUM(S1010:S1014)</f>
        <v>1365.5364249699276</v>
      </c>
      <c r="U1014">
        <f>ROUNDDOWN(R1014*몬스터!$H$23, 0)*몬스터!$G$23*(1+몬스터!$I$23)</f>
        <v>1313.2800000000002</v>
      </c>
      <c r="V1014" s="2">
        <f t="shared" si="453"/>
        <v>1.2289724873666479</v>
      </c>
    </row>
    <row r="1015" spans="1:22" x14ac:dyDescent="0.4">
      <c r="A1015">
        <v>66</v>
      </c>
      <c r="B1015" s="4">
        <f>170*A1015-680</f>
        <v>10540</v>
      </c>
      <c r="C1015">
        <f t="shared" si="472"/>
        <v>790</v>
      </c>
      <c r="D1015">
        <f t="shared" si="473"/>
        <v>37</v>
      </c>
      <c r="E1015" s="2">
        <v>0</v>
      </c>
      <c r="F1015">
        <f t="shared" si="474"/>
        <v>107</v>
      </c>
      <c r="G1015">
        <f t="shared" si="475"/>
        <v>0.79700000000000004</v>
      </c>
      <c r="H1015" s="3">
        <v>0.08</v>
      </c>
      <c r="I1015" s="2">
        <v>2</v>
      </c>
      <c r="J1015" s="2">
        <v>0</v>
      </c>
      <c r="K1015" s="2">
        <v>1</v>
      </c>
      <c r="L1015" s="16">
        <v>3</v>
      </c>
      <c r="M1015" s="5">
        <f t="shared" si="476"/>
        <v>950</v>
      </c>
      <c r="N1015" s="6">
        <f t="shared" si="477"/>
        <v>92.101320000000015</v>
      </c>
      <c r="O1015">
        <f t="shared" si="478"/>
        <v>1082.3000000000002</v>
      </c>
      <c r="P1015" s="7">
        <f t="shared" ref="P1015:P1049" si="481">O1015/N1015</f>
        <v>11.751188799465632</v>
      </c>
      <c r="Q1015">
        <f>ROUNDUP(몬스터!$P$24/F1015, 0)</f>
        <v>14</v>
      </c>
      <c r="R1015" s="6">
        <f t="shared" si="479"/>
        <v>17.565872020075282</v>
      </c>
      <c r="S1015" s="7">
        <f>B1015/몬스터!$C$24*R1015</f>
        <v>272.27101631116687</v>
      </c>
      <c r="U1015">
        <f>ROUNDDOWN(R1015*몬스터!$H$24, 0)*몬스터!$G$24*(1+몬스터!$I$24)</f>
        <v>1654.6949999999999</v>
      </c>
      <c r="V1015" s="2">
        <f t="shared" ref="V1015:V1049" si="482">U1015/O1015</f>
        <v>1.5288690751178045</v>
      </c>
    </row>
    <row r="1016" spans="1:22" x14ac:dyDescent="0.4">
      <c r="A1016">
        <v>67</v>
      </c>
      <c r="B1016" s="4">
        <f>170*A1016</f>
        <v>11390</v>
      </c>
      <c r="C1016">
        <f t="shared" si="472"/>
        <v>800</v>
      </c>
      <c r="D1016">
        <f t="shared" si="473"/>
        <v>38</v>
      </c>
      <c r="E1016" s="2">
        <v>0</v>
      </c>
      <c r="F1016">
        <f t="shared" si="474"/>
        <v>108</v>
      </c>
      <c r="G1016">
        <f t="shared" si="475"/>
        <v>0.79900000000000004</v>
      </c>
      <c r="H1016" s="3">
        <v>0.08</v>
      </c>
      <c r="I1016" s="2">
        <v>2</v>
      </c>
      <c r="J1016" s="2">
        <v>0</v>
      </c>
      <c r="K1016" s="2">
        <v>1</v>
      </c>
      <c r="L1016" s="16">
        <v>3</v>
      </c>
      <c r="M1016" s="5">
        <f t="shared" si="476"/>
        <v>960</v>
      </c>
      <c r="N1016" s="6">
        <f t="shared" si="477"/>
        <v>93.195360000000008</v>
      </c>
      <c r="O1016">
        <f t="shared" si="478"/>
        <v>1104</v>
      </c>
      <c r="P1016" s="7">
        <f t="shared" si="481"/>
        <v>11.846083324320007</v>
      </c>
      <c r="Q1016">
        <f>ROUNDUP(몬스터!$P$24/F1016, 0)</f>
        <v>14</v>
      </c>
      <c r="R1016" s="6">
        <f t="shared" si="479"/>
        <v>17.521902377972463</v>
      </c>
      <c r="S1016" s="7">
        <f>B1016/몬스터!$C$24*R1016</f>
        <v>293.49186483103875</v>
      </c>
      <c r="U1016">
        <f>ROUNDDOWN(R1016*몬스터!$H$24, 0)*몬스터!$G$24*(1+몬스터!$I$24)</f>
        <v>1654.6949999999999</v>
      </c>
      <c r="V1016" s="2">
        <f t="shared" si="482"/>
        <v>1.4988179347826087</v>
      </c>
    </row>
    <row r="1017" spans="1:22" x14ac:dyDescent="0.4">
      <c r="A1017">
        <v>68</v>
      </c>
      <c r="B1017" s="4">
        <f>170*A1017</f>
        <v>11560</v>
      </c>
      <c r="C1017">
        <f t="shared" si="472"/>
        <v>810</v>
      </c>
      <c r="D1017">
        <f t="shared" si="473"/>
        <v>38</v>
      </c>
      <c r="E1017" s="2">
        <v>0</v>
      </c>
      <c r="F1017">
        <f t="shared" si="474"/>
        <v>109</v>
      </c>
      <c r="G1017">
        <f t="shared" si="475"/>
        <v>0.80100000000000005</v>
      </c>
      <c r="H1017" s="3">
        <v>0.08</v>
      </c>
      <c r="I1017" s="2">
        <v>2</v>
      </c>
      <c r="J1017" s="2">
        <v>0</v>
      </c>
      <c r="K1017" s="2">
        <v>1</v>
      </c>
      <c r="L1017" s="16">
        <v>3</v>
      </c>
      <c r="M1017" s="5">
        <f t="shared" si="476"/>
        <v>970</v>
      </c>
      <c r="N1017" s="6">
        <f t="shared" si="477"/>
        <v>94.293720000000022</v>
      </c>
      <c r="O1017">
        <f t="shared" si="478"/>
        <v>1117.8</v>
      </c>
      <c r="P1017" s="7">
        <f t="shared" si="481"/>
        <v>11.854447995052054</v>
      </c>
      <c r="Q1017">
        <f>ROUNDUP(몬스터!$P$24/F1017, 0)</f>
        <v>14</v>
      </c>
      <c r="R1017" s="6">
        <f t="shared" si="479"/>
        <v>17.478152309612984</v>
      </c>
      <c r="S1017" s="7">
        <f>B1017/몬스터!$C$24*R1017</f>
        <v>297.12858926342074</v>
      </c>
      <c r="U1017">
        <f>ROUNDDOWN(R1017*몬스터!$H$24, 0)*몬스터!$G$24*(1+몬스터!$I$24)</f>
        <v>1654.6949999999999</v>
      </c>
      <c r="V1017" s="2">
        <f t="shared" si="482"/>
        <v>1.4803140096618357</v>
      </c>
    </row>
    <row r="1018" spans="1:22" x14ac:dyDescent="0.4">
      <c r="A1018">
        <v>69</v>
      </c>
      <c r="B1018" s="4">
        <f>170*A1018</f>
        <v>11730</v>
      </c>
      <c r="C1018">
        <f t="shared" si="472"/>
        <v>820</v>
      </c>
      <c r="D1018">
        <f t="shared" si="473"/>
        <v>38</v>
      </c>
      <c r="E1018" s="2">
        <v>0</v>
      </c>
      <c r="F1018">
        <f t="shared" si="474"/>
        <v>111</v>
      </c>
      <c r="G1018">
        <f t="shared" si="475"/>
        <v>0.80300000000000005</v>
      </c>
      <c r="H1018" s="3">
        <v>0.08</v>
      </c>
      <c r="I1018" s="2">
        <v>2</v>
      </c>
      <c r="J1018" s="2">
        <v>0</v>
      </c>
      <c r="K1018" s="2">
        <v>1</v>
      </c>
      <c r="L1018" s="16">
        <v>3</v>
      </c>
      <c r="M1018" s="5">
        <f t="shared" si="476"/>
        <v>980</v>
      </c>
      <c r="N1018" s="6">
        <f t="shared" si="477"/>
        <v>96.263640000000024</v>
      </c>
      <c r="O1018">
        <f t="shared" si="478"/>
        <v>1131.5999999999999</v>
      </c>
      <c r="P1018" s="7">
        <f t="shared" si="481"/>
        <v>11.755217234669285</v>
      </c>
      <c r="Q1018">
        <f>ROUNDUP(몬스터!$P$24/F1018, 0)</f>
        <v>14</v>
      </c>
      <c r="R1018" s="6">
        <f t="shared" si="479"/>
        <v>17.4346201743462</v>
      </c>
      <c r="S1018" s="7">
        <f>B1018/몬스터!$C$24*R1018</f>
        <v>300.74719800747198</v>
      </c>
      <c r="U1018">
        <f>ROUNDDOWN(R1018*몬스터!$H$24, 0)*몬스터!$G$24*(1+몬스터!$I$24)</f>
        <v>1654.6949999999999</v>
      </c>
      <c r="V1018" s="2">
        <f t="shared" si="482"/>
        <v>1.462261399787911</v>
      </c>
    </row>
    <row r="1019" spans="1:22" x14ac:dyDescent="0.4">
      <c r="A1019">
        <v>70</v>
      </c>
      <c r="B1019" s="4">
        <f>170*A1019</f>
        <v>11900</v>
      </c>
      <c r="C1019">
        <f t="shared" si="472"/>
        <v>830</v>
      </c>
      <c r="D1019">
        <f t="shared" si="473"/>
        <v>39</v>
      </c>
      <c r="E1019" s="2">
        <v>0</v>
      </c>
      <c r="F1019">
        <f t="shared" si="474"/>
        <v>112</v>
      </c>
      <c r="G1019">
        <f t="shared" si="475"/>
        <v>0.80500000000000005</v>
      </c>
      <c r="H1019" s="3">
        <v>0.08</v>
      </c>
      <c r="I1019" s="2">
        <v>2</v>
      </c>
      <c r="J1019" s="2">
        <v>0</v>
      </c>
      <c r="K1019" s="2">
        <v>1</v>
      </c>
      <c r="L1019" s="16">
        <v>3</v>
      </c>
      <c r="M1019" s="5">
        <f t="shared" si="476"/>
        <v>990</v>
      </c>
      <c r="N1019" s="6">
        <f t="shared" si="477"/>
        <v>97.372800000000012</v>
      </c>
      <c r="O1019">
        <f t="shared" si="478"/>
        <v>1153.7</v>
      </c>
      <c r="P1019" s="7">
        <f t="shared" si="481"/>
        <v>11.848277958526404</v>
      </c>
      <c r="Q1019">
        <f>ROUNDUP(몬스터!$P$24/F1019, 0)</f>
        <v>14</v>
      </c>
      <c r="R1019" s="6">
        <f t="shared" si="479"/>
        <v>17.391304347826086</v>
      </c>
      <c r="S1019" s="7">
        <f>B1019/몬스터!$C$24*R1019</f>
        <v>304.3478260869565</v>
      </c>
      <c r="T1019" s="7">
        <f t="shared" ref="T1019" si="483">SUM(S1015:S1019)</f>
        <v>1467.986494500055</v>
      </c>
      <c r="U1019">
        <f>ROUNDDOWN(R1019*몬스터!$H$24, 0)*몬스터!$G$24*(1+몬스터!$I$24)</f>
        <v>1654.6949999999999</v>
      </c>
      <c r="V1019" s="2">
        <f t="shared" si="482"/>
        <v>1.4342506717517551</v>
      </c>
    </row>
    <row r="1020" spans="1:22" x14ac:dyDescent="0.4">
      <c r="A1020">
        <v>71</v>
      </c>
      <c r="B1020" s="4">
        <f>160*A1020</f>
        <v>11360</v>
      </c>
      <c r="C1020">
        <f t="shared" si="472"/>
        <v>840</v>
      </c>
      <c r="D1020">
        <f t="shared" si="473"/>
        <v>39</v>
      </c>
      <c r="E1020" s="2">
        <v>0</v>
      </c>
      <c r="F1020">
        <f t="shared" si="474"/>
        <v>113</v>
      </c>
      <c r="G1020">
        <f t="shared" si="475"/>
        <v>0.80700000000000005</v>
      </c>
      <c r="H1020" s="3">
        <v>0.08</v>
      </c>
      <c r="I1020" s="2">
        <v>2</v>
      </c>
      <c r="J1020" s="2">
        <v>0</v>
      </c>
      <c r="K1020" s="2">
        <v>1</v>
      </c>
      <c r="L1020" s="16">
        <v>3</v>
      </c>
      <c r="M1020" s="5">
        <f t="shared" si="476"/>
        <v>1000</v>
      </c>
      <c r="N1020" s="6">
        <f t="shared" si="477"/>
        <v>98.486280000000008</v>
      </c>
      <c r="O1020">
        <f t="shared" si="478"/>
        <v>1167.6000000000001</v>
      </c>
      <c r="P1020" s="7">
        <f t="shared" si="481"/>
        <v>11.855458445582471</v>
      </c>
      <c r="Q1020">
        <f>ROUNDUP(몬스터!$P$25/F1020, 0)</f>
        <v>15</v>
      </c>
      <c r="R1020" s="6">
        <f t="shared" si="479"/>
        <v>18.587360594795538</v>
      </c>
      <c r="S1020" s="7">
        <f>B1020/몬스터!$C$25*R1020</f>
        <v>289.24988542037988</v>
      </c>
      <c r="U1020">
        <f>ROUNDDOWN(R1020*몬스터!$H$25, 0)*몬스터!$G$25*(1+몬스터!$I$25)</f>
        <v>1923.075</v>
      </c>
      <c r="V1020" s="2">
        <f t="shared" si="482"/>
        <v>1.6470323741007193</v>
      </c>
    </row>
    <row r="1021" spans="1:22" x14ac:dyDescent="0.4">
      <c r="A1021">
        <v>72</v>
      </c>
      <c r="B1021" s="4">
        <f>160*A1021</f>
        <v>11520</v>
      </c>
      <c r="C1021">
        <f t="shared" si="472"/>
        <v>850</v>
      </c>
      <c r="D1021">
        <f t="shared" si="473"/>
        <v>39</v>
      </c>
      <c r="E1021" s="2">
        <v>0</v>
      </c>
      <c r="F1021">
        <f t="shared" si="474"/>
        <v>115</v>
      </c>
      <c r="G1021">
        <f t="shared" si="475"/>
        <v>0.80900000000000005</v>
      </c>
      <c r="H1021" s="3">
        <v>0.08</v>
      </c>
      <c r="I1021" s="2">
        <v>2</v>
      </c>
      <c r="J1021" s="2">
        <v>0</v>
      </c>
      <c r="K1021" s="2">
        <v>1</v>
      </c>
      <c r="L1021" s="16">
        <v>3</v>
      </c>
      <c r="M1021" s="5">
        <f t="shared" si="476"/>
        <v>1010</v>
      </c>
      <c r="N1021" s="6">
        <f t="shared" si="477"/>
        <v>100.47780000000002</v>
      </c>
      <c r="O1021">
        <f t="shared" si="478"/>
        <v>1181.5</v>
      </c>
      <c r="P1021" s="7">
        <f t="shared" si="481"/>
        <v>11.758816375358535</v>
      </c>
      <c r="Q1021">
        <f>ROUNDUP(몬스터!$P$25/F1021, 0)</f>
        <v>15</v>
      </c>
      <c r="R1021" s="6">
        <f t="shared" si="479"/>
        <v>18.541409147095177</v>
      </c>
      <c r="S1021" s="7">
        <f>B1021/몬스터!$C$25*R1021</f>
        <v>292.59867585552934</v>
      </c>
      <c r="U1021">
        <f>ROUNDDOWN(R1021*몬스터!$H$25, 0)*몬스터!$G$25*(1+몬스터!$I$25)</f>
        <v>1923.075</v>
      </c>
      <c r="V1021" s="2">
        <f t="shared" si="482"/>
        <v>1.627655522640711</v>
      </c>
    </row>
    <row r="1022" spans="1:22" x14ac:dyDescent="0.4">
      <c r="A1022">
        <v>73</v>
      </c>
      <c r="B1022" s="4">
        <f>160*A1022</f>
        <v>11680</v>
      </c>
      <c r="C1022">
        <f t="shared" si="472"/>
        <v>860</v>
      </c>
      <c r="D1022">
        <f t="shared" si="473"/>
        <v>39</v>
      </c>
      <c r="E1022" s="2">
        <v>0</v>
      </c>
      <c r="F1022">
        <f t="shared" si="474"/>
        <v>116</v>
      </c>
      <c r="G1022">
        <f t="shared" si="475"/>
        <v>0.81100000000000005</v>
      </c>
      <c r="H1022" s="3">
        <v>0.08</v>
      </c>
      <c r="I1022" s="2">
        <v>2</v>
      </c>
      <c r="J1022" s="2">
        <v>0</v>
      </c>
      <c r="K1022" s="2">
        <v>1</v>
      </c>
      <c r="L1022" s="16">
        <v>3</v>
      </c>
      <c r="M1022" s="5">
        <f t="shared" si="476"/>
        <v>1020</v>
      </c>
      <c r="N1022" s="6">
        <f t="shared" si="477"/>
        <v>101.60208000000002</v>
      </c>
      <c r="O1022">
        <f t="shared" si="478"/>
        <v>1195.4000000000001</v>
      </c>
      <c r="P1022" s="7">
        <f t="shared" si="481"/>
        <v>11.765507162845484</v>
      </c>
      <c r="Q1022">
        <f>ROUNDUP(몬스터!$P$25/F1022, 0)</f>
        <v>15</v>
      </c>
      <c r="R1022" s="6">
        <f t="shared" si="479"/>
        <v>18.49568434032059</v>
      </c>
      <c r="S1022" s="7">
        <f>B1022/몬스터!$C$25*R1022</f>
        <v>295.93094944512944</v>
      </c>
      <c r="U1022">
        <f>ROUNDDOWN(R1022*몬스터!$H$25, 0)*몬스터!$G$25*(1+몬스터!$I$25)</f>
        <v>1923.075</v>
      </c>
      <c r="V1022" s="2">
        <f t="shared" si="482"/>
        <v>1.6087292956332608</v>
      </c>
    </row>
    <row r="1023" spans="1:22" x14ac:dyDescent="0.4">
      <c r="A1023">
        <v>74</v>
      </c>
      <c r="B1023" s="4">
        <f>160*A1023</f>
        <v>11840</v>
      </c>
      <c r="C1023">
        <f t="shared" si="472"/>
        <v>870</v>
      </c>
      <c r="D1023">
        <f t="shared" si="473"/>
        <v>40</v>
      </c>
      <c r="E1023" s="2">
        <v>0</v>
      </c>
      <c r="F1023">
        <f t="shared" si="474"/>
        <v>117</v>
      </c>
      <c r="G1023">
        <f t="shared" si="475"/>
        <v>0.81300000000000006</v>
      </c>
      <c r="H1023" s="3">
        <v>0.08</v>
      </c>
      <c r="I1023" s="2">
        <v>2</v>
      </c>
      <c r="J1023" s="2">
        <v>0</v>
      </c>
      <c r="K1023" s="2">
        <v>1</v>
      </c>
      <c r="L1023" s="16">
        <v>3</v>
      </c>
      <c r="M1023" s="5">
        <f t="shared" si="476"/>
        <v>1030</v>
      </c>
      <c r="N1023" s="6">
        <f t="shared" si="477"/>
        <v>102.73068000000002</v>
      </c>
      <c r="O1023">
        <f t="shared" si="478"/>
        <v>1218</v>
      </c>
      <c r="P1023" s="7">
        <f t="shared" si="481"/>
        <v>11.856243918564539</v>
      </c>
      <c r="Q1023">
        <f>ROUNDUP(몬스터!$P$25/F1023, 0)</f>
        <v>15</v>
      </c>
      <c r="R1023" s="6">
        <f t="shared" si="479"/>
        <v>18.450184501845015</v>
      </c>
      <c r="S1023" s="7">
        <f>B1023/몬스터!$C$25*R1023</f>
        <v>299.2468280847192</v>
      </c>
      <c r="U1023">
        <f>ROUNDDOWN(R1023*몬스터!$H$25, 0)*몬스터!$G$25*(1+몬스터!$I$25)</f>
        <v>1923.075</v>
      </c>
      <c r="V1023" s="2">
        <f t="shared" si="482"/>
        <v>1.5788793103448275</v>
      </c>
    </row>
    <row r="1024" spans="1:22" x14ac:dyDescent="0.4">
      <c r="A1024">
        <v>75</v>
      </c>
      <c r="B1024" s="4">
        <f>160*A1024</f>
        <v>12000</v>
      </c>
      <c r="C1024">
        <f t="shared" si="472"/>
        <v>880</v>
      </c>
      <c r="D1024">
        <f t="shared" si="473"/>
        <v>40</v>
      </c>
      <c r="E1024" s="2">
        <v>0</v>
      </c>
      <c r="F1024">
        <f t="shared" si="474"/>
        <v>119</v>
      </c>
      <c r="G1024">
        <f t="shared" si="475"/>
        <v>0.81500000000000006</v>
      </c>
      <c r="H1024" s="3">
        <v>0.08</v>
      </c>
      <c r="I1024" s="2">
        <v>2</v>
      </c>
      <c r="J1024" s="2">
        <v>0</v>
      </c>
      <c r="K1024" s="2">
        <v>1</v>
      </c>
      <c r="L1024" s="16">
        <v>3</v>
      </c>
      <c r="M1024" s="5">
        <f t="shared" si="476"/>
        <v>1040</v>
      </c>
      <c r="N1024" s="6">
        <f t="shared" si="477"/>
        <v>104.74380000000002</v>
      </c>
      <c r="O1024">
        <f t="shared" si="478"/>
        <v>1232</v>
      </c>
      <c r="P1024" s="7">
        <f t="shared" si="481"/>
        <v>11.762032693104507</v>
      </c>
      <c r="Q1024">
        <f>ROUNDUP(몬스터!$P$25/F1024, 0)</f>
        <v>14</v>
      </c>
      <c r="R1024" s="6">
        <f t="shared" si="479"/>
        <v>17.177914110429448</v>
      </c>
      <c r="S1024" s="7">
        <f>B1024/몬스터!$C$25*R1024</f>
        <v>282.37667030842931</v>
      </c>
      <c r="T1024" s="7">
        <f t="shared" ref="T1024" si="484">SUM(S1020:S1024)</f>
        <v>1459.4030091141872</v>
      </c>
      <c r="U1024">
        <f>ROUNDDOWN(R1024*몬스터!$H$25, 0)*몬스터!$G$25*(1+몬스터!$I$25)</f>
        <v>1794.8700000000001</v>
      </c>
      <c r="V1024" s="2">
        <f t="shared" si="482"/>
        <v>1.4568750000000001</v>
      </c>
    </row>
    <row r="1025" spans="1:22" x14ac:dyDescent="0.4">
      <c r="A1025">
        <v>76</v>
      </c>
      <c r="B1025" s="4">
        <f>170*A1025</f>
        <v>12920</v>
      </c>
      <c r="C1025">
        <f t="shared" si="472"/>
        <v>885</v>
      </c>
      <c r="D1025">
        <f t="shared" si="473"/>
        <v>40</v>
      </c>
      <c r="E1025" s="2">
        <v>0</v>
      </c>
      <c r="F1025">
        <f t="shared" si="474"/>
        <v>120</v>
      </c>
      <c r="G1025">
        <f t="shared" si="475"/>
        <v>0.81700000000000006</v>
      </c>
      <c r="H1025" s="3">
        <v>0.08</v>
      </c>
      <c r="I1025" s="2">
        <v>2</v>
      </c>
      <c r="J1025" s="2">
        <v>0</v>
      </c>
      <c r="K1025" s="2">
        <v>1</v>
      </c>
      <c r="L1025" s="16">
        <v>3</v>
      </c>
      <c r="M1025" s="5">
        <f t="shared" si="476"/>
        <v>1050</v>
      </c>
      <c r="N1025" s="6">
        <f t="shared" si="477"/>
        <v>105.88320000000002</v>
      </c>
      <c r="O1025">
        <f t="shared" si="478"/>
        <v>1239</v>
      </c>
      <c r="P1025" s="7">
        <f t="shared" si="481"/>
        <v>11.701573054082232</v>
      </c>
      <c r="Q1025">
        <f>ROUNDUP(몬스터!$P$26/F1025, 0)</f>
        <v>16</v>
      </c>
      <c r="R1025" s="6">
        <f t="shared" si="479"/>
        <v>19.583843329253366</v>
      </c>
      <c r="S1025" s="7">
        <f>B1025/몬스터!$C$26*R1025</f>
        <v>324.38878950506859</v>
      </c>
      <c r="U1025">
        <f>ROUNDDOWN(R1025*몬스터!$H$26, 0)*몬스터!$G$26*(1+몬스터!$I$26)</f>
        <v>2194.8000000000002</v>
      </c>
      <c r="V1025" s="2">
        <f t="shared" si="482"/>
        <v>1.7714285714285716</v>
      </c>
    </row>
    <row r="1026" spans="1:22" x14ac:dyDescent="0.4">
      <c r="A1026">
        <v>77</v>
      </c>
      <c r="B1026" s="4">
        <f>170*A1026</f>
        <v>13090</v>
      </c>
      <c r="C1026">
        <f t="shared" si="472"/>
        <v>895</v>
      </c>
      <c r="D1026">
        <f t="shared" si="473"/>
        <v>41</v>
      </c>
      <c r="E1026" s="2">
        <v>0</v>
      </c>
      <c r="F1026">
        <f t="shared" si="474"/>
        <v>121</v>
      </c>
      <c r="G1026">
        <f t="shared" si="475"/>
        <v>0.81900000000000006</v>
      </c>
      <c r="H1026" s="3">
        <v>0.08</v>
      </c>
      <c r="I1026" s="2">
        <v>2</v>
      </c>
      <c r="J1026" s="2">
        <v>0</v>
      </c>
      <c r="K1026" s="2">
        <v>1</v>
      </c>
      <c r="L1026" s="16">
        <v>3</v>
      </c>
      <c r="M1026" s="5">
        <f t="shared" si="476"/>
        <v>1060</v>
      </c>
      <c r="N1026" s="6">
        <f t="shared" si="477"/>
        <v>107.02692</v>
      </c>
      <c r="O1026">
        <f t="shared" si="478"/>
        <v>1261.9499999999998</v>
      </c>
      <c r="P1026" s="7">
        <f t="shared" si="481"/>
        <v>11.790958760655728</v>
      </c>
      <c r="Q1026">
        <f>ROUNDUP(몬스터!$P$26/F1026, 0)</f>
        <v>15</v>
      </c>
      <c r="R1026" s="6">
        <f t="shared" si="479"/>
        <v>18.315018315018314</v>
      </c>
      <c r="S1026" s="7">
        <f>B1026/몬스터!$C$26*R1026</f>
        <v>307.36357659434577</v>
      </c>
      <c r="U1026">
        <f>ROUNDDOWN(R1026*몬스터!$H$26, 0)*몬스터!$G$26*(1+몬스터!$I$26)</f>
        <v>2057.625</v>
      </c>
      <c r="V1026" s="2">
        <f t="shared" si="482"/>
        <v>1.6305123023891599</v>
      </c>
    </row>
    <row r="1027" spans="1:22" x14ac:dyDescent="0.4">
      <c r="A1027">
        <v>78</v>
      </c>
      <c r="B1027" s="4">
        <f>170*A1027</f>
        <v>13260</v>
      </c>
      <c r="C1027">
        <f t="shared" si="472"/>
        <v>905</v>
      </c>
      <c r="D1027">
        <f t="shared" si="473"/>
        <v>41</v>
      </c>
      <c r="E1027" s="2">
        <v>0</v>
      </c>
      <c r="F1027">
        <f t="shared" si="474"/>
        <v>123</v>
      </c>
      <c r="G1027">
        <f t="shared" si="475"/>
        <v>0.82100000000000006</v>
      </c>
      <c r="H1027" s="3">
        <v>0.08</v>
      </c>
      <c r="I1027" s="2">
        <v>2</v>
      </c>
      <c r="J1027" s="2">
        <v>0</v>
      </c>
      <c r="K1027" s="2">
        <v>1</v>
      </c>
      <c r="L1027" s="16">
        <v>3</v>
      </c>
      <c r="M1027" s="5">
        <f t="shared" si="476"/>
        <v>1070</v>
      </c>
      <c r="N1027" s="6">
        <f t="shared" si="477"/>
        <v>109.06164000000001</v>
      </c>
      <c r="O1027">
        <f t="shared" si="478"/>
        <v>1276.05</v>
      </c>
      <c r="P1027" s="7">
        <f t="shared" si="481"/>
        <v>11.700264180879728</v>
      </c>
      <c r="Q1027">
        <f>ROUNDUP(몬스터!$P$26/F1027, 0)</f>
        <v>15</v>
      </c>
      <c r="R1027" s="6">
        <f t="shared" si="479"/>
        <v>18.270401948842874</v>
      </c>
      <c r="S1027" s="7">
        <f>B1027/몬스터!$C$26*R1027</f>
        <v>310.59683313032883</v>
      </c>
      <c r="U1027">
        <f>ROUNDDOWN(R1027*몬스터!$H$26, 0)*몬스터!$G$26*(1+몬스터!$I$26)</f>
        <v>2057.625</v>
      </c>
      <c r="V1027" s="2">
        <f t="shared" si="482"/>
        <v>1.6124955918655226</v>
      </c>
    </row>
    <row r="1028" spans="1:22" x14ac:dyDescent="0.4">
      <c r="A1028">
        <v>79</v>
      </c>
      <c r="B1028" s="4">
        <f>170*A1028</f>
        <v>13430</v>
      </c>
      <c r="C1028">
        <f t="shared" si="472"/>
        <v>915</v>
      </c>
      <c r="D1028">
        <f t="shared" si="473"/>
        <v>41</v>
      </c>
      <c r="E1028" s="2">
        <v>0</v>
      </c>
      <c r="F1028">
        <f t="shared" si="474"/>
        <v>124</v>
      </c>
      <c r="G1028">
        <f t="shared" si="475"/>
        <v>0.82300000000000006</v>
      </c>
      <c r="H1028" s="3">
        <v>0.08</v>
      </c>
      <c r="I1028" s="2">
        <v>2</v>
      </c>
      <c r="J1028" s="2">
        <v>0</v>
      </c>
      <c r="K1028" s="2">
        <v>1</v>
      </c>
      <c r="L1028" s="16">
        <v>3</v>
      </c>
      <c r="M1028" s="5">
        <f t="shared" si="476"/>
        <v>1080</v>
      </c>
      <c r="N1028" s="6">
        <f t="shared" si="477"/>
        <v>110.21616000000002</v>
      </c>
      <c r="O1028">
        <f t="shared" si="478"/>
        <v>1290.1499999999999</v>
      </c>
      <c r="P1028" s="7">
        <f t="shared" si="481"/>
        <v>11.705633729209943</v>
      </c>
      <c r="Q1028">
        <f>ROUNDUP(몬스터!$P$26/F1028, 0)</f>
        <v>15</v>
      </c>
      <c r="R1028" s="6">
        <f t="shared" si="479"/>
        <v>18.226002430133654</v>
      </c>
      <c r="S1028" s="7">
        <f>B1028/몬스터!$C$26*R1028</f>
        <v>313.81437517525001</v>
      </c>
      <c r="U1028">
        <f>ROUNDDOWN(R1028*몬스터!$H$26, 0)*몬스터!$G$26*(1+몬스터!$I$26)</f>
        <v>2057.625</v>
      </c>
      <c r="V1028" s="2">
        <f t="shared" si="482"/>
        <v>1.5948726892221836</v>
      </c>
    </row>
    <row r="1029" spans="1:22" x14ac:dyDescent="0.4">
      <c r="A1029">
        <v>80</v>
      </c>
      <c r="B1029" s="4">
        <f>170*A1029</f>
        <v>13600</v>
      </c>
      <c r="C1029">
        <f t="shared" si="472"/>
        <v>925</v>
      </c>
      <c r="D1029">
        <f t="shared" si="473"/>
        <v>42</v>
      </c>
      <c r="E1029" s="2">
        <v>0</v>
      </c>
      <c r="F1029">
        <f t="shared" si="474"/>
        <v>125</v>
      </c>
      <c r="G1029">
        <f t="shared" si="475"/>
        <v>0.82500000000000007</v>
      </c>
      <c r="H1029" s="3">
        <v>0.08</v>
      </c>
      <c r="I1029" s="2">
        <v>2</v>
      </c>
      <c r="J1029" s="2">
        <v>0</v>
      </c>
      <c r="K1029" s="2">
        <v>1</v>
      </c>
      <c r="L1029" s="16">
        <v>3</v>
      </c>
      <c r="M1029" s="5">
        <f t="shared" si="476"/>
        <v>1090</v>
      </c>
      <c r="N1029" s="6">
        <f t="shared" si="477"/>
        <v>111.37500000000003</v>
      </c>
      <c r="O1029">
        <f t="shared" si="478"/>
        <v>1313.5</v>
      </c>
      <c r="P1029" s="7">
        <f t="shared" si="481"/>
        <v>11.793490460157123</v>
      </c>
      <c r="Q1029">
        <f>ROUNDUP(몬스터!$P$26/F1029, 0)</f>
        <v>15</v>
      </c>
      <c r="R1029" s="6">
        <f t="shared" si="479"/>
        <v>18.18181818181818</v>
      </c>
      <c r="S1029" s="7">
        <f>B1029/몬스터!$C$26*R1029</f>
        <v>317.01631701631698</v>
      </c>
      <c r="T1029" s="7">
        <f t="shared" ref="T1029" si="485">SUM(S1025:S1029)</f>
        <v>1573.17989142131</v>
      </c>
      <c r="U1029">
        <f>ROUNDDOWN(R1029*몬스터!$H$26, 0)*몬스터!$G$26*(1+몬스터!$I$26)</f>
        <v>2057.625</v>
      </c>
      <c r="V1029" s="2">
        <f t="shared" si="482"/>
        <v>1.5665207460982109</v>
      </c>
    </row>
    <row r="1030" spans="1:22" x14ac:dyDescent="0.4">
      <c r="A1030">
        <v>81</v>
      </c>
      <c r="B1030" s="4">
        <f>160*A1030</f>
        <v>12960</v>
      </c>
      <c r="C1030">
        <f t="shared" si="472"/>
        <v>935</v>
      </c>
      <c r="D1030">
        <f t="shared" si="473"/>
        <v>42</v>
      </c>
      <c r="E1030" s="2">
        <v>0</v>
      </c>
      <c r="F1030">
        <f t="shared" si="474"/>
        <v>127</v>
      </c>
      <c r="G1030">
        <f t="shared" si="475"/>
        <v>0.82700000000000007</v>
      </c>
      <c r="H1030" s="3">
        <v>0.08</v>
      </c>
      <c r="I1030" s="2">
        <v>2</v>
      </c>
      <c r="J1030" s="2">
        <v>0</v>
      </c>
      <c r="K1030" s="2">
        <v>1</v>
      </c>
      <c r="L1030" s="16">
        <v>3</v>
      </c>
      <c r="M1030" s="5">
        <f t="shared" si="476"/>
        <v>1100</v>
      </c>
      <c r="N1030" s="6">
        <f t="shared" si="477"/>
        <v>113.43132000000001</v>
      </c>
      <c r="O1030">
        <f t="shared" si="478"/>
        <v>1327.7</v>
      </c>
      <c r="P1030" s="7">
        <f t="shared" si="481"/>
        <v>11.704880098371419</v>
      </c>
      <c r="Q1030">
        <f>ROUNDUP(몬스터!$P$29/F1030, 0)</f>
        <v>16</v>
      </c>
      <c r="R1030" s="6">
        <f t="shared" si="479"/>
        <v>19.347037484885124</v>
      </c>
      <c r="S1030" s="7">
        <f>B1030/몬스터!$C$29*R1030</f>
        <v>302.09350096880871</v>
      </c>
      <c r="U1030">
        <f>ROUNDDOWN(R1030*몬스터!$H$29, 0)*몬스터!$G$29*(1+몬스터!$I$29)</f>
        <v>2358.7199999999998</v>
      </c>
      <c r="V1030" s="2">
        <f t="shared" si="482"/>
        <v>1.7765459064547713</v>
      </c>
    </row>
    <row r="1031" spans="1:22" x14ac:dyDescent="0.4">
      <c r="A1031">
        <v>82</v>
      </c>
      <c r="B1031" s="4">
        <f>160*A1031</f>
        <v>13120</v>
      </c>
      <c r="C1031">
        <f t="shared" si="472"/>
        <v>945</v>
      </c>
      <c r="D1031">
        <f t="shared" si="473"/>
        <v>42</v>
      </c>
      <c r="E1031" s="2">
        <v>0</v>
      </c>
      <c r="F1031">
        <f t="shared" si="474"/>
        <v>128</v>
      </c>
      <c r="G1031">
        <f t="shared" si="475"/>
        <v>0.82900000000000007</v>
      </c>
      <c r="H1031" s="3">
        <v>0.08</v>
      </c>
      <c r="I1031" s="2">
        <v>2</v>
      </c>
      <c r="J1031" s="2">
        <v>0</v>
      </c>
      <c r="K1031" s="2">
        <v>1</v>
      </c>
      <c r="L1031" s="16">
        <v>3</v>
      </c>
      <c r="M1031" s="5">
        <f t="shared" si="476"/>
        <v>1110</v>
      </c>
      <c r="N1031" s="6">
        <f t="shared" si="477"/>
        <v>114.60096000000001</v>
      </c>
      <c r="O1031">
        <f t="shared" si="478"/>
        <v>1341.8999999999999</v>
      </c>
      <c r="P1031" s="7">
        <f t="shared" si="481"/>
        <v>11.709325995174908</v>
      </c>
      <c r="Q1031">
        <f>ROUNDUP(몬스터!$P$29/F1031, 0)</f>
        <v>16</v>
      </c>
      <c r="R1031" s="6">
        <f t="shared" si="479"/>
        <v>19.300361881785282</v>
      </c>
      <c r="S1031" s="7">
        <f>B1031/몬스터!$C$29*R1031</f>
        <v>305.08523842050948</v>
      </c>
      <c r="U1031">
        <f>ROUNDDOWN(R1031*몬스터!$H$29, 0)*몬스터!$G$29*(1+몬스터!$I$29)</f>
        <v>2358.7199999999998</v>
      </c>
      <c r="V1031" s="2">
        <f t="shared" si="482"/>
        <v>1.7577464788732395</v>
      </c>
    </row>
    <row r="1032" spans="1:22" x14ac:dyDescent="0.4">
      <c r="A1032">
        <v>83</v>
      </c>
      <c r="B1032" s="4">
        <f>160*A1032</f>
        <v>13280</v>
      </c>
      <c r="C1032">
        <f t="shared" si="472"/>
        <v>955</v>
      </c>
      <c r="D1032">
        <f t="shared" si="473"/>
        <v>42</v>
      </c>
      <c r="E1032" s="2">
        <v>0</v>
      </c>
      <c r="F1032">
        <f t="shared" si="474"/>
        <v>129</v>
      </c>
      <c r="G1032">
        <f t="shared" si="475"/>
        <v>0.83100000000000007</v>
      </c>
      <c r="H1032" s="3">
        <v>0.08</v>
      </c>
      <c r="I1032" s="2">
        <v>2</v>
      </c>
      <c r="J1032" s="2">
        <v>0</v>
      </c>
      <c r="K1032" s="2">
        <v>1</v>
      </c>
      <c r="L1032" s="16">
        <v>3</v>
      </c>
      <c r="M1032" s="5">
        <f t="shared" si="476"/>
        <v>1120</v>
      </c>
      <c r="N1032" s="6">
        <f t="shared" si="477"/>
        <v>115.77492000000002</v>
      </c>
      <c r="O1032">
        <f t="shared" si="478"/>
        <v>1356.1</v>
      </c>
      <c r="P1032" s="7">
        <f t="shared" si="481"/>
        <v>11.713244975682121</v>
      </c>
      <c r="Q1032">
        <f>ROUNDUP(몬스터!$P$29/F1032, 0)</f>
        <v>16</v>
      </c>
      <c r="R1032" s="6">
        <f t="shared" si="479"/>
        <v>19.253910950661851</v>
      </c>
      <c r="S1032" s="7">
        <f>B1032/몬스터!$C$29*R1032</f>
        <v>308.06257521058961</v>
      </c>
      <c r="U1032">
        <f>ROUNDDOWN(R1032*몬스터!$H$29, 0)*몬스터!$G$29*(1+몬스터!$I$29)</f>
        <v>2358.7199999999998</v>
      </c>
      <c r="V1032" s="2">
        <f t="shared" si="482"/>
        <v>1.739340756581373</v>
      </c>
    </row>
    <row r="1033" spans="1:22" x14ac:dyDescent="0.4">
      <c r="A1033">
        <v>84</v>
      </c>
      <c r="B1033" s="4">
        <f>160*A1033</f>
        <v>13440</v>
      </c>
      <c r="C1033">
        <f t="shared" si="472"/>
        <v>965</v>
      </c>
      <c r="D1033">
        <f t="shared" si="473"/>
        <v>43</v>
      </c>
      <c r="E1033" s="2">
        <v>0</v>
      </c>
      <c r="F1033">
        <f t="shared" si="474"/>
        <v>131</v>
      </c>
      <c r="G1033">
        <f t="shared" si="475"/>
        <v>0.83300000000000007</v>
      </c>
      <c r="H1033" s="3">
        <v>0.08</v>
      </c>
      <c r="I1033" s="2">
        <v>2</v>
      </c>
      <c r="J1033" s="2">
        <v>0</v>
      </c>
      <c r="K1033" s="2">
        <v>1</v>
      </c>
      <c r="L1033" s="16">
        <v>3</v>
      </c>
      <c r="M1033" s="5">
        <f t="shared" si="476"/>
        <v>1130</v>
      </c>
      <c r="N1033" s="6">
        <f t="shared" si="477"/>
        <v>117.85284000000001</v>
      </c>
      <c r="O1033">
        <f t="shared" si="478"/>
        <v>1379.95</v>
      </c>
      <c r="P1033" s="7">
        <f t="shared" si="481"/>
        <v>11.709094155049636</v>
      </c>
      <c r="Q1033">
        <f>ROUNDUP(몬스터!$P$29/F1033, 0)</f>
        <v>16</v>
      </c>
      <c r="R1033" s="6">
        <f t="shared" si="479"/>
        <v>19.20768307322929</v>
      </c>
      <c r="S1033" s="7">
        <f>B1033/몬스터!$C$29*R1033</f>
        <v>311.02561506530321</v>
      </c>
      <c r="U1033">
        <f>ROUNDDOWN(R1033*몬스터!$H$29, 0)*몬스터!$G$29*(1+몬스터!$I$29)</f>
        <v>2358.7199999999998</v>
      </c>
      <c r="V1033" s="2">
        <f t="shared" si="482"/>
        <v>1.7092793217145548</v>
      </c>
    </row>
    <row r="1034" spans="1:22" x14ac:dyDescent="0.4">
      <c r="A1034">
        <v>85</v>
      </c>
      <c r="B1034" s="4">
        <f>160*A1034</f>
        <v>13600</v>
      </c>
      <c r="C1034">
        <f t="shared" si="472"/>
        <v>975</v>
      </c>
      <c r="D1034">
        <f t="shared" si="473"/>
        <v>43</v>
      </c>
      <c r="E1034" s="2">
        <v>0</v>
      </c>
      <c r="F1034">
        <f t="shared" si="474"/>
        <v>132</v>
      </c>
      <c r="G1034">
        <f t="shared" si="475"/>
        <v>0.83500000000000008</v>
      </c>
      <c r="H1034" s="3">
        <v>0.08</v>
      </c>
      <c r="I1034" s="2">
        <v>2</v>
      </c>
      <c r="J1034" s="2">
        <v>0</v>
      </c>
      <c r="K1034" s="2">
        <v>1</v>
      </c>
      <c r="L1034" s="16">
        <v>3</v>
      </c>
      <c r="M1034" s="5">
        <f t="shared" si="476"/>
        <v>1140</v>
      </c>
      <c r="N1034" s="6">
        <f t="shared" si="477"/>
        <v>119.03760000000003</v>
      </c>
      <c r="O1034">
        <f t="shared" si="478"/>
        <v>1394.25</v>
      </c>
      <c r="P1034" s="7">
        <f t="shared" si="481"/>
        <v>11.712685739631844</v>
      </c>
      <c r="Q1034">
        <f>ROUNDUP(몬스터!$P$29/F1034, 0)</f>
        <v>15</v>
      </c>
      <c r="R1034" s="6">
        <f t="shared" si="479"/>
        <v>17.964071856287422</v>
      </c>
      <c r="S1034" s="7">
        <f>B1034/몬스터!$C$29*R1034</f>
        <v>294.35105692229996</v>
      </c>
      <c r="T1034" s="7">
        <f t="shared" ref="T1034" si="486">SUM(S1030:S1034)</f>
        <v>1520.617986587511</v>
      </c>
      <c r="U1034">
        <f>ROUNDDOWN(R1034*몬스터!$H$29, 0)*몬스터!$G$29*(1+몬스터!$I$29)</f>
        <v>2211.2999999999997</v>
      </c>
      <c r="V1034" s="2">
        <f t="shared" si="482"/>
        <v>1.5860139860139859</v>
      </c>
    </row>
    <row r="1035" spans="1:22" x14ac:dyDescent="0.4">
      <c r="A1035">
        <v>86</v>
      </c>
      <c r="B1035" s="4">
        <f>170*A1035</f>
        <v>14620</v>
      </c>
      <c r="C1035">
        <f t="shared" si="472"/>
        <v>985</v>
      </c>
      <c r="D1035">
        <f t="shared" si="473"/>
        <v>43</v>
      </c>
      <c r="E1035" s="2">
        <v>0</v>
      </c>
      <c r="F1035">
        <f t="shared" si="474"/>
        <v>133</v>
      </c>
      <c r="G1035">
        <f t="shared" si="475"/>
        <v>0.83700000000000008</v>
      </c>
      <c r="H1035" s="3">
        <v>0.08</v>
      </c>
      <c r="I1035" s="2">
        <v>2</v>
      </c>
      <c r="J1035" s="2">
        <v>0</v>
      </c>
      <c r="K1035" s="2">
        <v>1</v>
      </c>
      <c r="L1035" s="16">
        <v>3</v>
      </c>
      <c r="M1035" s="5">
        <f t="shared" si="476"/>
        <v>1150</v>
      </c>
      <c r="N1035" s="6">
        <f t="shared" si="477"/>
        <v>120.22668000000002</v>
      </c>
      <c r="O1035">
        <f t="shared" si="478"/>
        <v>1408.55</v>
      </c>
      <c r="P1035" s="7">
        <f t="shared" si="481"/>
        <v>11.715785547766933</v>
      </c>
      <c r="Q1035">
        <f>ROUNDUP(몬스터!$P$30/F1035, 0)</f>
        <v>17</v>
      </c>
      <c r="R1035" s="6">
        <f t="shared" si="479"/>
        <v>20.310633213859017</v>
      </c>
      <c r="S1035" s="7">
        <f>B1035/몬스터!$C$30*R1035</f>
        <v>337.43347453024865</v>
      </c>
      <c r="U1035">
        <f>ROUNDDOWN(R1035*몬스터!$H$30, 0)*몬스터!$G$30*(1+몬스터!$I$30)</f>
        <v>2662.3274999999999</v>
      </c>
      <c r="V1035" s="2">
        <f t="shared" si="482"/>
        <v>1.8901192715913528</v>
      </c>
    </row>
    <row r="1036" spans="1:22" x14ac:dyDescent="0.4">
      <c r="A1036">
        <v>87</v>
      </c>
      <c r="B1036" s="4">
        <f>170*A1036</f>
        <v>14790</v>
      </c>
      <c r="C1036">
        <f t="shared" si="472"/>
        <v>995</v>
      </c>
      <c r="D1036">
        <f t="shared" si="473"/>
        <v>44</v>
      </c>
      <c r="E1036" s="2">
        <v>0</v>
      </c>
      <c r="F1036">
        <f t="shared" si="474"/>
        <v>135</v>
      </c>
      <c r="G1036">
        <f t="shared" si="475"/>
        <v>0.83900000000000008</v>
      </c>
      <c r="H1036" s="3">
        <v>0.08</v>
      </c>
      <c r="I1036" s="2">
        <v>2</v>
      </c>
      <c r="J1036" s="2">
        <v>0</v>
      </c>
      <c r="K1036" s="2">
        <v>1</v>
      </c>
      <c r="L1036" s="16">
        <v>3</v>
      </c>
      <c r="M1036" s="5">
        <f t="shared" si="476"/>
        <v>1160</v>
      </c>
      <c r="N1036" s="6">
        <f t="shared" si="477"/>
        <v>122.32620000000003</v>
      </c>
      <c r="O1036">
        <f t="shared" si="478"/>
        <v>1432.8</v>
      </c>
      <c r="P1036" s="7">
        <f t="shared" si="481"/>
        <v>11.712944569519854</v>
      </c>
      <c r="Q1036">
        <f>ROUNDUP(몬스터!$P$30/F1036, 0)</f>
        <v>16</v>
      </c>
      <c r="R1036" s="6">
        <f t="shared" si="479"/>
        <v>19.070321811680571</v>
      </c>
      <c r="S1036" s="7">
        <f>B1036/몬스터!$C$30*R1036</f>
        <v>320.51143135767688</v>
      </c>
      <c r="U1036">
        <f>ROUNDDOWN(R1036*몬스터!$H$30, 0)*몬스터!$G$30*(1+몬스터!$I$30)</f>
        <v>2505.7199999999998</v>
      </c>
      <c r="V1036" s="2">
        <f t="shared" si="482"/>
        <v>1.748827470686767</v>
      </c>
    </row>
    <row r="1037" spans="1:22" x14ac:dyDescent="0.4">
      <c r="A1037">
        <v>88</v>
      </c>
      <c r="B1037" s="4">
        <f>170*A1037</f>
        <v>14960</v>
      </c>
      <c r="C1037">
        <f t="shared" si="472"/>
        <v>1005</v>
      </c>
      <c r="D1037">
        <f t="shared" si="473"/>
        <v>44</v>
      </c>
      <c r="E1037" s="2">
        <v>0</v>
      </c>
      <c r="F1037">
        <f t="shared" si="474"/>
        <v>136</v>
      </c>
      <c r="G1037">
        <f t="shared" si="475"/>
        <v>0.84099999999999997</v>
      </c>
      <c r="H1037" s="3">
        <v>0.08</v>
      </c>
      <c r="I1037" s="2">
        <v>2</v>
      </c>
      <c r="J1037" s="2">
        <v>0</v>
      </c>
      <c r="K1037" s="2">
        <v>1</v>
      </c>
      <c r="L1037" s="16">
        <v>3</v>
      </c>
      <c r="M1037" s="5">
        <f t="shared" si="476"/>
        <v>1170</v>
      </c>
      <c r="N1037" s="6">
        <f t="shared" si="477"/>
        <v>123.52607999999999</v>
      </c>
      <c r="O1037">
        <f t="shared" si="478"/>
        <v>1447.2</v>
      </c>
      <c r="P1037" s="7">
        <f t="shared" si="481"/>
        <v>11.715744561796182</v>
      </c>
      <c r="Q1037">
        <f>ROUNDUP(몬스터!$P$30/F1037, 0)</f>
        <v>16</v>
      </c>
      <c r="R1037" s="6">
        <f t="shared" si="479"/>
        <v>19.024970273483948</v>
      </c>
      <c r="S1037" s="7">
        <f>B1037/몬스터!$C$30*R1037</f>
        <v>323.42449464922714</v>
      </c>
      <c r="U1037">
        <f>ROUNDDOWN(R1037*몬스터!$H$30, 0)*몬스터!$G$30*(1+몬스터!$I$30)</f>
        <v>2505.7199999999998</v>
      </c>
      <c r="V1037" s="2">
        <f t="shared" si="482"/>
        <v>1.7314262023217246</v>
      </c>
    </row>
    <row r="1038" spans="1:22" x14ac:dyDescent="0.4">
      <c r="A1038">
        <v>89</v>
      </c>
      <c r="B1038" s="4">
        <f>170*A1038</f>
        <v>15130</v>
      </c>
      <c r="C1038">
        <f t="shared" si="472"/>
        <v>1015</v>
      </c>
      <c r="D1038">
        <f t="shared" si="473"/>
        <v>44</v>
      </c>
      <c r="E1038" s="2">
        <v>0</v>
      </c>
      <c r="F1038">
        <f t="shared" si="474"/>
        <v>137</v>
      </c>
      <c r="G1038">
        <f t="shared" si="475"/>
        <v>0.84299999999999997</v>
      </c>
      <c r="H1038" s="3">
        <v>0.08</v>
      </c>
      <c r="I1038" s="2">
        <v>2</v>
      </c>
      <c r="J1038" s="2">
        <v>0</v>
      </c>
      <c r="K1038" s="2">
        <v>1</v>
      </c>
      <c r="L1038" s="16">
        <v>3</v>
      </c>
      <c r="M1038" s="5">
        <f t="shared" si="476"/>
        <v>1180</v>
      </c>
      <c r="N1038" s="6">
        <f t="shared" si="477"/>
        <v>124.73028000000001</v>
      </c>
      <c r="O1038">
        <f t="shared" si="478"/>
        <v>1461.6</v>
      </c>
      <c r="P1038" s="7">
        <f t="shared" si="481"/>
        <v>11.718084814689744</v>
      </c>
      <c r="Q1038">
        <f>ROUNDUP(몬스터!$P$30/F1038, 0)</f>
        <v>16</v>
      </c>
      <c r="R1038" s="6">
        <f t="shared" si="479"/>
        <v>18.979833926453143</v>
      </c>
      <c r="S1038" s="7">
        <f>B1038/몬스터!$C$30*R1038</f>
        <v>326.32373557640454</v>
      </c>
      <c r="U1038">
        <f>ROUNDDOWN(R1038*몬스터!$H$30, 0)*몬스터!$G$30*(1+몬스터!$I$30)</f>
        <v>2505.7199999999998</v>
      </c>
      <c r="V1038" s="2">
        <f t="shared" si="482"/>
        <v>1.714367816091954</v>
      </c>
    </row>
    <row r="1039" spans="1:22" x14ac:dyDescent="0.4">
      <c r="A1039">
        <v>90</v>
      </c>
      <c r="B1039" s="4">
        <f>170*A1039</f>
        <v>15300</v>
      </c>
      <c r="C1039">
        <f t="shared" si="472"/>
        <v>1025</v>
      </c>
      <c r="D1039">
        <f t="shared" si="473"/>
        <v>45</v>
      </c>
      <c r="E1039" s="2">
        <v>0</v>
      </c>
      <c r="F1039">
        <f t="shared" si="474"/>
        <v>139</v>
      </c>
      <c r="G1039">
        <f t="shared" si="475"/>
        <v>0.84499999999999997</v>
      </c>
      <c r="H1039" s="3">
        <v>0.08</v>
      </c>
      <c r="I1039" s="2">
        <v>2</v>
      </c>
      <c r="J1039" s="2">
        <v>0</v>
      </c>
      <c r="K1039" s="2">
        <v>1</v>
      </c>
      <c r="L1039" s="16">
        <v>3</v>
      </c>
      <c r="M1039" s="5">
        <f t="shared" si="476"/>
        <v>1190</v>
      </c>
      <c r="N1039" s="6">
        <f t="shared" si="477"/>
        <v>126.85140000000001</v>
      </c>
      <c r="O1039">
        <f t="shared" si="478"/>
        <v>1486.25</v>
      </c>
      <c r="P1039" s="7">
        <f t="shared" si="481"/>
        <v>11.71646509222602</v>
      </c>
      <c r="Q1039">
        <f>ROUNDUP(몬스터!$P$30/F1039, 0)</f>
        <v>16</v>
      </c>
      <c r="R1039" s="6">
        <f t="shared" si="479"/>
        <v>18.934911242603551</v>
      </c>
      <c r="S1039" s="7">
        <f>B1039/몬스터!$C$30*R1039</f>
        <v>329.2092522861754</v>
      </c>
      <c r="T1039" s="7">
        <f t="shared" ref="T1039" si="487">SUM(S1035:S1039)</f>
        <v>1636.9023883997324</v>
      </c>
      <c r="U1039">
        <f>ROUNDDOWN(R1039*몬스터!$H$30, 0)*몬스터!$G$30*(1+몬스터!$I$30)</f>
        <v>2505.7199999999998</v>
      </c>
      <c r="V1039" s="2">
        <f t="shared" si="482"/>
        <v>1.6859343986543311</v>
      </c>
    </row>
    <row r="1040" spans="1:22" x14ac:dyDescent="0.4">
      <c r="A1040">
        <v>91</v>
      </c>
      <c r="B1040" s="4">
        <f>160*A1040</f>
        <v>14560</v>
      </c>
      <c r="C1040">
        <f t="shared" si="472"/>
        <v>1035</v>
      </c>
      <c r="D1040">
        <f t="shared" si="473"/>
        <v>45</v>
      </c>
      <c r="E1040" s="2">
        <v>0</v>
      </c>
      <c r="F1040">
        <f t="shared" si="474"/>
        <v>140</v>
      </c>
      <c r="G1040">
        <f t="shared" si="475"/>
        <v>0.84699999999999998</v>
      </c>
      <c r="H1040" s="3">
        <v>0.08</v>
      </c>
      <c r="I1040" s="2">
        <v>2</v>
      </c>
      <c r="J1040" s="2">
        <v>0</v>
      </c>
      <c r="K1040" s="2">
        <v>1</v>
      </c>
      <c r="L1040" s="16">
        <v>3</v>
      </c>
      <c r="M1040" s="5">
        <f t="shared" si="476"/>
        <v>1200</v>
      </c>
      <c r="N1040" s="6">
        <f t="shared" si="477"/>
        <v>128.06640000000002</v>
      </c>
      <c r="O1040">
        <f t="shared" si="478"/>
        <v>1500.75</v>
      </c>
      <c r="P1040" s="7">
        <f t="shared" si="481"/>
        <v>11.718530387361556</v>
      </c>
      <c r="Q1040">
        <f>ROUNDUP(몬스터!$P$31/F1040, 0)</f>
        <v>17</v>
      </c>
      <c r="R1040" s="6">
        <f t="shared" si="479"/>
        <v>20.070838252656436</v>
      </c>
      <c r="S1040" s="7">
        <f>B1040/몬스터!$C$31*R1040</f>
        <v>314.22731715986851</v>
      </c>
      <c r="U1040">
        <f>ROUNDDOWN(R1040*몬스터!$H$31, 0)*몬스터!$G$31*(1+몬스터!$I$31)</f>
        <v>2840.4450000000002</v>
      </c>
      <c r="V1040" s="2">
        <f t="shared" si="482"/>
        <v>1.8926836581709146</v>
      </c>
    </row>
    <row r="1041" spans="1:22" x14ac:dyDescent="0.4">
      <c r="A1041">
        <v>92</v>
      </c>
      <c r="B1041" s="4">
        <f>160*A1041</f>
        <v>14720</v>
      </c>
      <c r="C1041">
        <f t="shared" si="472"/>
        <v>1045</v>
      </c>
      <c r="D1041">
        <f t="shared" si="473"/>
        <v>45</v>
      </c>
      <c r="E1041" s="2">
        <v>0</v>
      </c>
      <c r="F1041">
        <f t="shared" si="474"/>
        <v>141</v>
      </c>
      <c r="G1041">
        <f t="shared" si="475"/>
        <v>0.84899999999999998</v>
      </c>
      <c r="H1041" s="3">
        <v>0.08</v>
      </c>
      <c r="I1041" s="2">
        <v>2</v>
      </c>
      <c r="J1041" s="2">
        <v>0</v>
      </c>
      <c r="K1041" s="2">
        <v>1</v>
      </c>
      <c r="L1041" s="16">
        <v>3</v>
      </c>
      <c r="M1041" s="5">
        <f t="shared" si="476"/>
        <v>1210</v>
      </c>
      <c r="N1041" s="6">
        <f t="shared" si="477"/>
        <v>129.28572</v>
      </c>
      <c r="O1041">
        <f t="shared" si="478"/>
        <v>1515.25</v>
      </c>
      <c r="P1041" s="7">
        <f t="shared" si="481"/>
        <v>11.720165227838001</v>
      </c>
      <c r="Q1041">
        <f>ROUNDUP(몬스터!$P$31/F1041, 0)</f>
        <v>17</v>
      </c>
      <c r="R1041" s="6">
        <f t="shared" si="479"/>
        <v>20.023557126030624</v>
      </c>
      <c r="S1041" s="7">
        <f>B1041/몬스터!$C$31*R1041</f>
        <v>316.93200096254924</v>
      </c>
      <c r="U1041">
        <f>ROUNDDOWN(R1041*몬스터!$H$31, 0)*몬스터!$G$31*(1+몬스터!$I$31)</f>
        <v>2840.4450000000002</v>
      </c>
      <c r="V1041" s="2">
        <f t="shared" si="482"/>
        <v>1.8745718528295663</v>
      </c>
    </row>
    <row r="1042" spans="1:22" x14ac:dyDescent="0.4">
      <c r="A1042">
        <v>93</v>
      </c>
      <c r="B1042" s="4">
        <f>160*A1042</f>
        <v>14880</v>
      </c>
      <c r="C1042">
        <f t="shared" si="472"/>
        <v>1055</v>
      </c>
      <c r="D1042">
        <f t="shared" si="473"/>
        <v>45</v>
      </c>
      <c r="E1042" s="2">
        <v>0</v>
      </c>
      <c r="F1042">
        <f t="shared" si="474"/>
        <v>143</v>
      </c>
      <c r="G1042">
        <f t="shared" si="475"/>
        <v>0.85099999999999998</v>
      </c>
      <c r="H1042" s="3">
        <v>0.08</v>
      </c>
      <c r="I1042" s="2">
        <v>2</v>
      </c>
      <c r="J1042" s="2">
        <v>0</v>
      </c>
      <c r="K1042" s="2">
        <v>1</v>
      </c>
      <c r="L1042" s="16">
        <v>3</v>
      </c>
      <c r="M1042" s="5">
        <f t="shared" si="476"/>
        <v>1220</v>
      </c>
      <c r="N1042" s="6">
        <f t="shared" si="477"/>
        <v>131.42843999999999</v>
      </c>
      <c r="O1042">
        <f t="shared" si="478"/>
        <v>1529.75</v>
      </c>
      <c r="P1042" s="7">
        <f t="shared" si="481"/>
        <v>11.639413813326858</v>
      </c>
      <c r="Q1042">
        <f>ROUNDUP(몬스터!$P$31/F1042, 0)</f>
        <v>17</v>
      </c>
      <c r="R1042" s="6">
        <f t="shared" si="479"/>
        <v>19.976498237367803</v>
      </c>
      <c r="S1042" s="7">
        <f>B1042/몬스터!$C$31*R1042</f>
        <v>319.62397179788485</v>
      </c>
      <c r="U1042">
        <f>ROUNDDOWN(R1042*몬스터!$H$31, 0)*몬스터!$G$31*(1+몬스터!$I$31)</f>
        <v>2840.4450000000002</v>
      </c>
      <c r="V1042" s="2">
        <f t="shared" si="482"/>
        <v>1.8568033992482433</v>
      </c>
    </row>
    <row r="1043" spans="1:22" x14ac:dyDescent="0.4">
      <c r="A1043">
        <v>94</v>
      </c>
      <c r="B1043" s="4">
        <f>160*A1043</f>
        <v>15040</v>
      </c>
      <c r="C1043">
        <f t="shared" si="472"/>
        <v>1065</v>
      </c>
      <c r="D1043">
        <f t="shared" si="473"/>
        <v>46</v>
      </c>
      <c r="E1043" s="2">
        <v>0</v>
      </c>
      <c r="F1043">
        <f t="shared" si="474"/>
        <v>144</v>
      </c>
      <c r="G1043">
        <f t="shared" si="475"/>
        <v>0.85299999999999998</v>
      </c>
      <c r="H1043" s="3">
        <v>0.08</v>
      </c>
      <c r="I1043" s="2">
        <v>2</v>
      </c>
      <c r="J1043" s="2">
        <v>0</v>
      </c>
      <c r="K1043" s="2">
        <v>1</v>
      </c>
      <c r="L1043" s="16">
        <v>3</v>
      </c>
      <c r="M1043" s="5">
        <f t="shared" si="476"/>
        <v>1230</v>
      </c>
      <c r="N1043" s="6">
        <f t="shared" si="477"/>
        <v>132.65855999999999</v>
      </c>
      <c r="O1043">
        <f t="shared" si="478"/>
        <v>1554.8999999999999</v>
      </c>
      <c r="P1043" s="7">
        <f t="shared" si="481"/>
        <v>11.721067980837422</v>
      </c>
      <c r="Q1043">
        <f>ROUNDUP(몬스터!$P$31/F1043, 0)</f>
        <v>17</v>
      </c>
      <c r="R1043" s="6">
        <f t="shared" si="479"/>
        <v>19.929660023446658</v>
      </c>
      <c r="S1043" s="7">
        <f>B1043/몬스터!$C$31*R1043</f>
        <v>322.30331908885779</v>
      </c>
      <c r="U1043">
        <f>ROUNDDOWN(R1043*몬스터!$H$31, 0)*몬스터!$G$31*(1+몬스터!$I$31)</f>
        <v>2840.4450000000002</v>
      </c>
      <c r="V1043" s="2">
        <f t="shared" si="482"/>
        <v>1.8267702103029135</v>
      </c>
    </row>
    <row r="1044" spans="1:22" x14ac:dyDescent="0.4">
      <c r="A1044">
        <v>95</v>
      </c>
      <c r="B1044" s="4">
        <f>160*A1044</f>
        <v>15200</v>
      </c>
      <c r="C1044">
        <f t="shared" si="472"/>
        <v>1075</v>
      </c>
      <c r="D1044">
        <f t="shared" si="473"/>
        <v>46</v>
      </c>
      <c r="E1044" s="2">
        <v>0</v>
      </c>
      <c r="F1044">
        <f t="shared" si="474"/>
        <v>145</v>
      </c>
      <c r="G1044">
        <f t="shared" si="475"/>
        <v>0.85499999999999998</v>
      </c>
      <c r="H1044" s="3">
        <v>0.08</v>
      </c>
      <c r="I1044" s="2">
        <v>2</v>
      </c>
      <c r="J1044" s="2">
        <v>0</v>
      </c>
      <c r="K1044" s="2">
        <v>1</v>
      </c>
      <c r="L1044" s="16">
        <v>3</v>
      </c>
      <c r="M1044" s="5">
        <f t="shared" si="476"/>
        <v>1240</v>
      </c>
      <c r="N1044" s="6">
        <f t="shared" si="477"/>
        <v>133.893</v>
      </c>
      <c r="O1044">
        <f t="shared" si="478"/>
        <v>1569.5</v>
      </c>
      <c r="P1044" s="7">
        <f t="shared" si="481"/>
        <v>11.722046708939228</v>
      </c>
      <c r="Q1044">
        <f>ROUNDUP(몬스터!$P$31/F1044, 0)</f>
        <v>17</v>
      </c>
      <c r="R1044" s="6">
        <f t="shared" si="479"/>
        <v>19.883040935672515</v>
      </c>
      <c r="S1044" s="7">
        <f>B1044/몬스터!$C$31*R1044</f>
        <v>324.97013142174433</v>
      </c>
      <c r="T1044" s="7">
        <f t="shared" ref="T1044" si="488">SUM(S1040:S1044)</f>
        <v>1598.0567404309047</v>
      </c>
      <c r="U1044">
        <f>ROUNDDOWN(R1044*몬스터!$H$31, 0)*몬스터!$G$31*(1+몬스터!$I$31)</f>
        <v>2840.4450000000002</v>
      </c>
      <c r="V1044" s="2">
        <f t="shared" si="482"/>
        <v>1.8097769990442818</v>
      </c>
    </row>
    <row r="1045" spans="1:22" x14ac:dyDescent="0.4">
      <c r="A1045">
        <v>96</v>
      </c>
      <c r="B1045" s="4">
        <f>170*A1045</f>
        <v>16320</v>
      </c>
      <c r="C1045">
        <f t="shared" si="472"/>
        <v>1085</v>
      </c>
      <c r="D1045">
        <f t="shared" si="473"/>
        <v>46</v>
      </c>
      <c r="E1045" s="2">
        <v>0</v>
      </c>
      <c r="F1045">
        <f t="shared" si="474"/>
        <v>147</v>
      </c>
      <c r="G1045">
        <f t="shared" si="475"/>
        <v>0.85699999999999998</v>
      </c>
      <c r="H1045" s="3">
        <v>0.08</v>
      </c>
      <c r="I1045" s="2">
        <v>2</v>
      </c>
      <c r="J1045" s="2">
        <v>0</v>
      </c>
      <c r="K1045" s="2">
        <v>1</v>
      </c>
      <c r="L1045" s="16">
        <v>3</v>
      </c>
      <c r="M1045" s="5">
        <f t="shared" si="476"/>
        <v>1250</v>
      </c>
      <c r="N1045" s="6">
        <f t="shared" si="477"/>
        <v>136.05732</v>
      </c>
      <c r="O1045">
        <f t="shared" si="478"/>
        <v>1584.1</v>
      </c>
      <c r="P1045" s="7">
        <f t="shared" si="481"/>
        <v>11.642886983221482</v>
      </c>
      <c r="Q1045">
        <f>ROUNDUP(몬스터!$P$32/F1045, 0)</f>
        <v>18</v>
      </c>
      <c r="R1045" s="6">
        <f t="shared" si="479"/>
        <v>21.003500583430572</v>
      </c>
      <c r="S1045" s="7">
        <f>B1045/몬스터!$C$32*R1045</f>
        <v>349.77258114447648</v>
      </c>
      <c r="U1045">
        <f>ROUNDDOWN(R1045*몬스터!$H$32, 0)*몬스터!$G$32*(1+몬스터!$I$32)</f>
        <v>3176.8199999999997</v>
      </c>
      <c r="V1045" s="2">
        <f t="shared" si="482"/>
        <v>2.0054415756581023</v>
      </c>
    </row>
    <row r="1046" spans="1:22" x14ac:dyDescent="0.4">
      <c r="A1046">
        <v>97</v>
      </c>
      <c r="B1046" s="4">
        <f>170*A1046</f>
        <v>16490</v>
      </c>
      <c r="C1046">
        <f t="shared" si="472"/>
        <v>1095</v>
      </c>
      <c r="D1046">
        <f t="shared" si="473"/>
        <v>47</v>
      </c>
      <c r="E1046" s="2">
        <v>0</v>
      </c>
      <c r="F1046">
        <f t="shared" si="474"/>
        <v>148</v>
      </c>
      <c r="G1046">
        <f t="shared" si="475"/>
        <v>0.85899999999999999</v>
      </c>
      <c r="H1046" s="3">
        <v>0.08</v>
      </c>
      <c r="I1046" s="2">
        <v>2</v>
      </c>
      <c r="J1046" s="2">
        <v>0</v>
      </c>
      <c r="K1046" s="2">
        <v>1</v>
      </c>
      <c r="L1046" s="16">
        <v>3</v>
      </c>
      <c r="M1046" s="5">
        <f t="shared" si="476"/>
        <v>1260</v>
      </c>
      <c r="N1046" s="6">
        <f t="shared" si="477"/>
        <v>137.30256000000003</v>
      </c>
      <c r="O1046">
        <f t="shared" si="478"/>
        <v>1609.6499999999999</v>
      </c>
      <c r="P1046" s="7">
        <f t="shared" si="481"/>
        <v>11.723379374718137</v>
      </c>
      <c r="Q1046">
        <f>ROUNDUP(몬스터!$P$32/F1046, 0)</f>
        <v>17</v>
      </c>
      <c r="R1046" s="6">
        <f t="shared" ref="R1046:R1049" si="489">Q1046/G1046</f>
        <v>19.790454016298021</v>
      </c>
      <c r="S1046" s="7">
        <f>B1046/몬스터!$C$32*R1046</f>
        <v>333.00468033546366</v>
      </c>
      <c r="U1046">
        <f>ROUNDDOWN(R1046*몬스터!$H$32, 0)*몬스터!$G$32*(1+몬스터!$I$32)</f>
        <v>3000.33</v>
      </c>
      <c r="V1046" s="2">
        <f t="shared" si="482"/>
        <v>1.8639642158233158</v>
      </c>
    </row>
    <row r="1047" spans="1:22" x14ac:dyDescent="0.4">
      <c r="A1047">
        <v>98</v>
      </c>
      <c r="B1047" s="4">
        <f>170*A1047</f>
        <v>16660</v>
      </c>
      <c r="C1047">
        <f t="shared" si="472"/>
        <v>1105</v>
      </c>
      <c r="D1047">
        <f t="shared" si="473"/>
        <v>47</v>
      </c>
      <c r="E1047" s="2">
        <v>0</v>
      </c>
      <c r="F1047">
        <f t="shared" si="474"/>
        <v>149</v>
      </c>
      <c r="G1047">
        <f t="shared" si="475"/>
        <v>0.86099999999999999</v>
      </c>
      <c r="H1047" s="3">
        <v>0.08</v>
      </c>
      <c r="I1047" s="2">
        <v>2</v>
      </c>
      <c r="J1047" s="2">
        <v>0</v>
      </c>
      <c r="K1047" s="2">
        <v>1</v>
      </c>
      <c r="L1047" s="16">
        <v>3</v>
      </c>
      <c r="M1047" s="5">
        <f t="shared" si="476"/>
        <v>1270</v>
      </c>
      <c r="N1047" s="6">
        <f t="shared" si="477"/>
        <v>138.55212</v>
      </c>
      <c r="O1047">
        <f t="shared" si="478"/>
        <v>1624.35</v>
      </c>
      <c r="P1047" s="7">
        <f t="shared" si="481"/>
        <v>11.723746991384902</v>
      </c>
      <c r="Q1047">
        <f>ROUNDUP(몬스터!$P$32/F1047, 0)</f>
        <v>17</v>
      </c>
      <c r="R1047" s="6">
        <f t="shared" si="489"/>
        <v>19.744483159117305</v>
      </c>
      <c r="S1047" s="7">
        <f>B1047/몬스터!$C$32*R1047</f>
        <v>335.65621370499417</v>
      </c>
      <c r="U1047">
        <f>ROUNDDOWN(R1047*몬스터!$H$32, 0)*몬스터!$G$32*(1+몬스터!$I$32)</f>
        <v>3000.33</v>
      </c>
      <c r="V1047" s="2">
        <f t="shared" si="482"/>
        <v>1.8470957613814758</v>
      </c>
    </row>
    <row r="1048" spans="1:22" x14ac:dyDescent="0.4">
      <c r="A1048">
        <v>99</v>
      </c>
      <c r="B1048" s="4">
        <f>170*A1048</f>
        <v>16830</v>
      </c>
      <c r="C1048">
        <f t="shared" si="472"/>
        <v>1115</v>
      </c>
      <c r="D1048">
        <f t="shared" si="473"/>
        <v>47</v>
      </c>
      <c r="E1048" s="2">
        <v>0</v>
      </c>
      <c r="F1048">
        <f t="shared" si="474"/>
        <v>151</v>
      </c>
      <c r="G1048">
        <f t="shared" si="475"/>
        <v>0.86299999999999999</v>
      </c>
      <c r="H1048" s="3">
        <v>0.08</v>
      </c>
      <c r="I1048" s="2">
        <v>2</v>
      </c>
      <c r="J1048" s="2">
        <v>0</v>
      </c>
      <c r="K1048" s="2">
        <v>1</v>
      </c>
      <c r="L1048" s="16">
        <v>3</v>
      </c>
      <c r="M1048" s="5">
        <f t="shared" si="476"/>
        <v>1280</v>
      </c>
      <c r="N1048" s="6">
        <f t="shared" si="477"/>
        <v>140.73803999999998</v>
      </c>
      <c r="O1048">
        <f t="shared" si="478"/>
        <v>1639.05</v>
      </c>
      <c r="P1048" s="7">
        <f t="shared" si="481"/>
        <v>11.646105061573971</v>
      </c>
      <c r="Q1048">
        <f>ROUNDUP(몬스터!$P$32/F1048, 0)</f>
        <v>17</v>
      </c>
      <c r="R1048" s="6">
        <f t="shared" si="489"/>
        <v>19.698725376593281</v>
      </c>
      <c r="S1048" s="7">
        <f>B1048/몬스터!$C$32*R1048</f>
        <v>338.29545723271929</v>
      </c>
      <c r="U1048">
        <f>ROUNDDOWN(R1048*몬스터!$H$32, 0)*몬스터!$G$32*(1+몬스터!$I$32)</f>
        <v>3000.33</v>
      </c>
      <c r="V1048" s="2">
        <f t="shared" si="482"/>
        <v>1.8305298801134804</v>
      </c>
    </row>
    <row r="1049" spans="1:22" x14ac:dyDescent="0.4">
      <c r="A1049">
        <v>100</v>
      </c>
      <c r="B1049" s="4">
        <f>170*A1049</f>
        <v>17000</v>
      </c>
      <c r="C1049">
        <f t="shared" si="472"/>
        <v>1125</v>
      </c>
      <c r="D1049">
        <f t="shared" si="473"/>
        <v>48</v>
      </c>
      <c r="E1049" s="2">
        <v>0</v>
      </c>
      <c r="F1049">
        <f t="shared" si="474"/>
        <v>152</v>
      </c>
      <c r="G1049">
        <f t="shared" si="475"/>
        <v>0.86499999999999999</v>
      </c>
      <c r="H1049" s="3">
        <v>0.08</v>
      </c>
      <c r="I1049" s="2">
        <v>2</v>
      </c>
      <c r="J1049" s="2">
        <v>0</v>
      </c>
      <c r="K1049" s="2">
        <v>1</v>
      </c>
      <c r="L1049" s="16">
        <v>3</v>
      </c>
      <c r="M1049" s="5">
        <f t="shared" si="476"/>
        <v>1290</v>
      </c>
      <c r="N1049" s="6">
        <f t="shared" si="477"/>
        <v>141.9984</v>
      </c>
      <c r="O1049">
        <f t="shared" si="478"/>
        <v>1665</v>
      </c>
      <c r="P1049" s="7">
        <f t="shared" si="481"/>
        <v>11.725484230808235</v>
      </c>
      <c r="Q1049">
        <f>ROUNDUP(몬스터!$P$32/F1049, 0)</f>
        <v>17</v>
      </c>
      <c r="R1049" s="6">
        <f t="shared" si="489"/>
        <v>19.653179190751445</v>
      </c>
      <c r="S1049" s="7">
        <f>B1049/몬스터!$C$32*R1049</f>
        <v>340.92249616609649</v>
      </c>
      <c r="T1049" s="7">
        <f t="shared" ref="T1049" si="490">SUM(S1045:S1049)</f>
        <v>1697.6514285837502</v>
      </c>
      <c r="U1049">
        <f>ROUNDDOWN(R1049*몬스터!$H$32, 0)*몬스터!$G$32*(1+몬스터!$I$32)</f>
        <v>3000.33</v>
      </c>
      <c r="V1049" s="2">
        <f t="shared" si="482"/>
        <v>1.802</v>
      </c>
    </row>
    <row r="1051" spans="1:22" x14ac:dyDescent="0.4">
      <c r="A1051" t="s">
        <v>282</v>
      </c>
      <c r="B1051" t="s">
        <v>297</v>
      </c>
    </row>
    <row r="1053" spans="1:22" ht="19.8" thickBot="1" x14ac:dyDescent="0.45">
      <c r="B1053" s="53" t="s">
        <v>353</v>
      </c>
    </row>
    <row r="1054" spans="1:22" ht="18" thickBot="1" x14ac:dyDescent="0.45">
      <c r="A1054" s="36" t="s">
        <v>18</v>
      </c>
      <c r="B1054" s="36" t="s">
        <v>300</v>
      </c>
      <c r="C1054" s="28" t="s">
        <v>301</v>
      </c>
      <c r="D1054" s="28" t="s">
        <v>302</v>
      </c>
      <c r="E1054" s="28" t="s">
        <v>303</v>
      </c>
      <c r="F1054" s="37" t="s">
        <v>305</v>
      </c>
      <c r="G1054" s="37" t="s">
        <v>306</v>
      </c>
      <c r="H1054" s="37" t="s">
        <v>307</v>
      </c>
      <c r="I1054" s="37" t="s">
        <v>308</v>
      </c>
      <c r="J1054" s="37" t="s">
        <v>309</v>
      </c>
      <c r="K1054" s="38" t="s">
        <v>310</v>
      </c>
      <c r="L1054" s="38" t="s">
        <v>312</v>
      </c>
      <c r="M1054" s="38" t="s">
        <v>311</v>
      </c>
      <c r="N1054" s="23" t="s">
        <v>313</v>
      </c>
      <c r="O1054" s="23" t="s">
        <v>314</v>
      </c>
      <c r="P1054" s="23" t="s">
        <v>315</v>
      </c>
      <c r="Q1054" s="39" t="s">
        <v>316</v>
      </c>
      <c r="R1054" s="39" t="s">
        <v>317</v>
      </c>
      <c r="S1054" s="39" t="s">
        <v>318</v>
      </c>
      <c r="T1054" s="39" t="s">
        <v>319</v>
      </c>
      <c r="U1054" s="39" t="s">
        <v>320</v>
      </c>
      <c r="V1054" s="39" t="s">
        <v>321</v>
      </c>
    </row>
    <row r="1055" spans="1:22" ht="18" thickTop="1" x14ac:dyDescent="0.4">
      <c r="A1055">
        <v>1</v>
      </c>
      <c r="B1055" s="4">
        <f>150*A1055</f>
        <v>150</v>
      </c>
      <c r="C1055">
        <f t="shared" ref="C1055:C1118" si="491">MROUND(150+A1055*11,5)</f>
        <v>160</v>
      </c>
      <c r="D1055">
        <f t="shared" ref="D1055:D1118" si="492">ROUNDDOWN((20+A1055*0.3), 0)</f>
        <v>20</v>
      </c>
      <c r="E1055" s="2">
        <v>0</v>
      </c>
      <c r="F1055">
        <f t="shared" ref="F1055:F1118" si="493">ROUND((28+A1055*2)*2/3, 0)</f>
        <v>20</v>
      </c>
      <c r="G1055">
        <f t="shared" ref="G1055:G1118" si="494">0.665+0.002*A1055</f>
        <v>0.66700000000000004</v>
      </c>
      <c r="H1055" s="3">
        <f>0.05</f>
        <v>0.05</v>
      </c>
      <c r="I1055" s="2">
        <v>2</v>
      </c>
      <c r="J1055" s="2">
        <v>0</v>
      </c>
      <c r="K1055" s="2">
        <v>1</v>
      </c>
      <c r="L1055" s="16">
        <v>1</v>
      </c>
      <c r="M1055" s="5">
        <f t="shared" ref="M1055:M1118" si="495">290+10*A1055</f>
        <v>300</v>
      </c>
      <c r="N1055" s="6">
        <f t="shared" ref="N1055:N1118" si="496">F1055*G1055*(1+H1055)</f>
        <v>14.007</v>
      </c>
      <c r="O1055">
        <f t="shared" ref="O1055:O1118" si="497">C1055*(1+D1055/100)*(1+E1055)</f>
        <v>192</v>
      </c>
      <c r="P1055" s="7">
        <f>O1055/N1055</f>
        <v>13.707431998286571</v>
      </c>
      <c r="Q1055">
        <f>ROUNDUP(몬스터!$P$5/F1055, 0)</f>
        <v>7</v>
      </c>
      <c r="R1055" s="6">
        <f t="shared" ref="R1055:R1118" si="498">Q1055/G1055</f>
        <v>10.494752623688155</v>
      </c>
      <c r="S1055" s="7">
        <f>B1055/몬스터!$C$5*R1055</f>
        <v>52.473763118440779</v>
      </c>
      <c r="U1055">
        <f>ROUNDDOWN(R1055*몬스터!$H$5, 0)*몬스터!$G$5*(1+몬스터!$I$5)</f>
        <v>37.800000000000004</v>
      </c>
      <c r="V1055" s="2">
        <f>U1055/O1055</f>
        <v>0.19687500000000002</v>
      </c>
    </row>
    <row r="1056" spans="1:22" x14ac:dyDescent="0.4">
      <c r="A1056">
        <v>2</v>
      </c>
      <c r="B1056" s="4">
        <f>150*A1056</f>
        <v>300</v>
      </c>
      <c r="C1056">
        <f t="shared" si="491"/>
        <v>170</v>
      </c>
      <c r="D1056">
        <f t="shared" si="492"/>
        <v>20</v>
      </c>
      <c r="E1056" s="2">
        <v>0</v>
      </c>
      <c r="F1056">
        <f t="shared" si="493"/>
        <v>21</v>
      </c>
      <c r="G1056">
        <f t="shared" si="494"/>
        <v>0.66900000000000004</v>
      </c>
      <c r="H1056" s="3">
        <f t="shared" ref="H1056:H1119" si="499">0.05</f>
        <v>0.05</v>
      </c>
      <c r="I1056" s="2">
        <v>2</v>
      </c>
      <c r="J1056" s="2">
        <v>0</v>
      </c>
      <c r="K1056" s="2">
        <v>1</v>
      </c>
      <c r="L1056" s="16">
        <v>1</v>
      </c>
      <c r="M1056" s="5">
        <f t="shared" si="495"/>
        <v>310</v>
      </c>
      <c r="N1056" s="6">
        <f t="shared" si="496"/>
        <v>14.751450000000002</v>
      </c>
      <c r="O1056">
        <f t="shared" si="497"/>
        <v>204</v>
      </c>
      <c r="P1056" s="7">
        <f t="shared" ref="P1056:P1119" si="500">O1056/N1056</f>
        <v>13.82914899891197</v>
      </c>
      <c r="Q1056">
        <f>ROUNDUP(몬스터!$P$5/F1056, 0)</f>
        <v>7</v>
      </c>
      <c r="R1056" s="6">
        <f t="shared" si="498"/>
        <v>10.46337817638266</v>
      </c>
      <c r="S1056" s="7">
        <f>B1056/몬스터!$C$5*R1056</f>
        <v>104.6337817638266</v>
      </c>
      <c r="U1056">
        <f>ROUNDDOWN(R1056*몬스터!$H$5, 0)*몬스터!$G$5*(1+몬스터!$I$5)</f>
        <v>37.800000000000004</v>
      </c>
      <c r="V1056" s="2">
        <f t="shared" ref="V1056:V1119" si="501">U1056/O1056</f>
        <v>0.18529411764705883</v>
      </c>
    </row>
    <row r="1057" spans="1:22" x14ac:dyDescent="0.4">
      <c r="A1057">
        <v>3</v>
      </c>
      <c r="B1057" s="4">
        <f>150*A1057</f>
        <v>450</v>
      </c>
      <c r="C1057">
        <f t="shared" si="491"/>
        <v>185</v>
      </c>
      <c r="D1057">
        <f t="shared" si="492"/>
        <v>20</v>
      </c>
      <c r="E1057" s="2">
        <v>0</v>
      </c>
      <c r="F1057">
        <f t="shared" si="493"/>
        <v>23</v>
      </c>
      <c r="G1057">
        <f t="shared" si="494"/>
        <v>0.67100000000000004</v>
      </c>
      <c r="H1057" s="3">
        <f t="shared" si="499"/>
        <v>0.05</v>
      </c>
      <c r="I1057" s="2">
        <v>2</v>
      </c>
      <c r="J1057" s="2">
        <v>0</v>
      </c>
      <c r="K1057" s="2">
        <v>1</v>
      </c>
      <c r="L1057" s="16">
        <v>1</v>
      </c>
      <c r="M1057" s="5">
        <f t="shared" si="495"/>
        <v>320</v>
      </c>
      <c r="N1057" s="6">
        <f t="shared" si="496"/>
        <v>16.204650000000001</v>
      </c>
      <c r="O1057">
        <f t="shared" si="497"/>
        <v>222</v>
      </c>
      <c r="P1057" s="7">
        <f t="shared" si="500"/>
        <v>13.699771361923892</v>
      </c>
      <c r="Q1057">
        <f>ROUNDUP(몬스터!$P$5/F1057, 0)</f>
        <v>6</v>
      </c>
      <c r="R1057" s="6">
        <f t="shared" si="498"/>
        <v>8.9418777943368095</v>
      </c>
      <c r="S1057" s="7">
        <f>B1057/몬스터!$C$5*R1057</f>
        <v>134.12816691505213</v>
      </c>
      <c r="U1057">
        <f>ROUNDDOWN(R1057*몬스터!$H$5, 0)*몬스터!$G$5*(1+몬스터!$I$5)</f>
        <v>31.5</v>
      </c>
      <c r="V1057" s="2">
        <f t="shared" si="501"/>
        <v>0.14189189189189189</v>
      </c>
    </row>
    <row r="1058" spans="1:22" x14ac:dyDescent="0.4">
      <c r="A1058">
        <v>4</v>
      </c>
      <c r="B1058" s="4">
        <f>150*A1058+50</f>
        <v>650</v>
      </c>
      <c r="C1058">
        <f t="shared" si="491"/>
        <v>195</v>
      </c>
      <c r="D1058">
        <f t="shared" si="492"/>
        <v>21</v>
      </c>
      <c r="E1058" s="2">
        <v>0</v>
      </c>
      <c r="F1058">
        <f t="shared" si="493"/>
        <v>24</v>
      </c>
      <c r="G1058">
        <f t="shared" si="494"/>
        <v>0.67300000000000004</v>
      </c>
      <c r="H1058" s="3">
        <f t="shared" si="499"/>
        <v>0.05</v>
      </c>
      <c r="I1058" s="2">
        <v>2</v>
      </c>
      <c r="J1058" s="2">
        <v>0</v>
      </c>
      <c r="K1058" s="2">
        <v>1</v>
      </c>
      <c r="L1058" s="16">
        <v>1</v>
      </c>
      <c r="M1058" s="5">
        <f t="shared" si="495"/>
        <v>330</v>
      </c>
      <c r="N1058" s="6">
        <f t="shared" si="496"/>
        <v>16.959600000000002</v>
      </c>
      <c r="O1058">
        <f t="shared" si="497"/>
        <v>235.95</v>
      </c>
      <c r="P1058" s="7">
        <f t="shared" si="500"/>
        <v>13.912474350810159</v>
      </c>
      <c r="Q1058">
        <f>ROUNDUP(몬스터!$P$5/F1058, 0)</f>
        <v>6</v>
      </c>
      <c r="R1058" s="6">
        <f t="shared" si="498"/>
        <v>8.9153046062407135</v>
      </c>
      <c r="S1058" s="7">
        <f>B1058/몬스터!$C$5*R1058</f>
        <v>193.16493313521548</v>
      </c>
      <c r="U1058">
        <f>ROUNDDOWN(R1058*몬스터!$H$5, 0)*몬스터!$G$5*(1+몬스터!$I$5)</f>
        <v>31.5</v>
      </c>
      <c r="V1058" s="2">
        <f t="shared" si="501"/>
        <v>0.13350286077558807</v>
      </c>
    </row>
    <row r="1059" spans="1:22" x14ac:dyDescent="0.4">
      <c r="A1059">
        <v>5</v>
      </c>
      <c r="B1059" s="4">
        <f>150*A1059+75</f>
        <v>825</v>
      </c>
      <c r="C1059">
        <f t="shared" si="491"/>
        <v>205</v>
      </c>
      <c r="D1059">
        <f t="shared" si="492"/>
        <v>21</v>
      </c>
      <c r="E1059" s="2">
        <v>0</v>
      </c>
      <c r="F1059">
        <f t="shared" si="493"/>
        <v>25</v>
      </c>
      <c r="G1059">
        <f t="shared" si="494"/>
        <v>0.67500000000000004</v>
      </c>
      <c r="H1059" s="3">
        <f t="shared" si="499"/>
        <v>0.05</v>
      </c>
      <c r="I1059" s="2">
        <v>2</v>
      </c>
      <c r="J1059" s="2">
        <v>0</v>
      </c>
      <c r="K1059" s="2">
        <v>1</v>
      </c>
      <c r="L1059" s="16">
        <v>1</v>
      </c>
      <c r="M1059" s="5">
        <f t="shared" si="495"/>
        <v>340</v>
      </c>
      <c r="N1059" s="6">
        <f t="shared" si="496"/>
        <v>17.71875</v>
      </c>
      <c r="O1059">
        <f t="shared" si="497"/>
        <v>248.04999999999998</v>
      </c>
      <c r="P1059" s="7">
        <f t="shared" si="500"/>
        <v>13.999294532627864</v>
      </c>
      <c r="Q1059">
        <f>ROUNDUP(몬스터!$P$5/F1059, 0)</f>
        <v>6</v>
      </c>
      <c r="R1059" s="6">
        <f t="shared" si="498"/>
        <v>8.8888888888888875</v>
      </c>
      <c r="S1059" s="7">
        <f>B1059/몬스터!$C$5*R1059</f>
        <v>244.4444444444444</v>
      </c>
      <c r="T1059" s="7">
        <f>SUM(S1055:S1059)</f>
        <v>728.84508937697933</v>
      </c>
      <c r="U1059">
        <f>ROUNDDOWN(R1059*몬스터!$H$5, 0)*몬스터!$G$5*(1+몬스터!$I$5)</f>
        <v>31.5</v>
      </c>
      <c r="V1059" s="2">
        <f t="shared" si="501"/>
        <v>0.12699052610360814</v>
      </c>
    </row>
    <row r="1060" spans="1:22" x14ac:dyDescent="0.4">
      <c r="A1060">
        <v>6</v>
      </c>
      <c r="B1060" s="4">
        <f>150*A1060</f>
        <v>900</v>
      </c>
      <c r="C1060">
        <f t="shared" si="491"/>
        <v>215</v>
      </c>
      <c r="D1060">
        <f t="shared" si="492"/>
        <v>21</v>
      </c>
      <c r="E1060" s="2">
        <v>0</v>
      </c>
      <c r="F1060">
        <f t="shared" si="493"/>
        <v>27</v>
      </c>
      <c r="G1060">
        <f t="shared" si="494"/>
        <v>0.67700000000000005</v>
      </c>
      <c r="H1060" s="3">
        <f t="shared" si="499"/>
        <v>0.05</v>
      </c>
      <c r="I1060" s="2">
        <v>2</v>
      </c>
      <c r="J1060" s="2">
        <v>0</v>
      </c>
      <c r="K1060" s="2">
        <v>1</v>
      </c>
      <c r="L1060" s="16">
        <v>1</v>
      </c>
      <c r="M1060" s="5">
        <f t="shared" si="495"/>
        <v>350</v>
      </c>
      <c r="N1060" s="6">
        <f t="shared" si="496"/>
        <v>19.19295</v>
      </c>
      <c r="O1060">
        <f t="shared" si="497"/>
        <v>260.14999999999998</v>
      </c>
      <c r="P1060" s="7">
        <f t="shared" si="500"/>
        <v>13.554456193550235</v>
      </c>
      <c r="Q1060">
        <f>ROUNDUP(몬스터!$P$6/F1060, 0)</f>
        <v>9</v>
      </c>
      <c r="R1060" s="6">
        <f t="shared" si="498"/>
        <v>13.29394387001477</v>
      </c>
      <c r="S1060" s="7">
        <f>B1060/몬스터!$C$6*R1060</f>
        <v>149.55686853766616</v>
      </c>
      <c r="U1060">
        <f>ROUNDDOWN(R1060*몬스터!$H$6, 0)*몬스터!$G$6*(1+몬스터!$I$6)</f>
        <v>109.98000000000002</v>
      </c>
      <c r="V1060" s="2">
        <f t="shared" si="501"/>
        <v>0.4227561022487028</v>
      </c>
    </row>
    <row r="1061" spans="1:22" x14ac:dyDescent="0.4">
      <c r="A1061">
        <v>7</v>
      </c>
      <c r="B1061" s="4">
        <f>150*A1061</f>
        <v>1050</v>
      </c>
      <c r="C1061">
        <f t="shared" si="491"/>
        <v>225</v>
      </c>
      <c r="D1061">
        <f t="shared" si="492"/>
        <v>22</v>
      </c>
      <c r="E1061" s="2">
        <v>0</v>
      </c>
      <c r="F1061">
        <f t="shared" si="493"/>
        <v>28</v>
      </c>
      <c r="G1061">
        <f t="shared" si="494"/>
        <v>0.67900000000000005</v>
      </c>
      <c r="H1061" s="3">
        <f t="shared" si="499"/>
        <v>0.05</v>
      </c>
      <c r="I1061" s="2">
        <v>2</v>
      </c>
      <c r="J1061" s="2">
        <v>0</v>
      </c>
      <c r="K1061" s="2">
        <v>1</v>
      </c>
      <c r="L1061" s="16">
        <v>1</v>
      </c>
      <c r="M1061" s="5">
        <f t="shared" si="495"/>
        <v>360</v>
      </c>
      <c r="N1061" s="6">
        <f t="shared" si="496"/>
        <v>19.962600000000002</v>
      </c>
      <c r="O1061">
        <f t="shared" si="497"/>
        <v>274.5</v>
      </c>
      <c r="P1061" s="7">
        <f t="shared" si="500"/>
        <v>13.750713834871208</v>
      </c>
      <c r="Q1061">
        <f>ROUNDUP(몬스터!$P$6/F1061, 0)</f>
        <v>8</v>
      </c>
      <c r="R1061" s="6">
        <f t="shared" si="498"/>
        <v>11.782032400589101</v>
      </c>
      <c r="S1061" s="7">
        <f>B1061/몬스터!$C$6*R1061</f>
        <v>154.63917525773195</v>
      </c>
      <c r="U1061">
        <f>ROUNDDOWN(R1061*몬스터!$H$6, 0)*몬스터!$G$6*(1+몬스터!$I$6)</f>
        <v>96.232500000000016</v>
      </c>
      <c r="V1061" s="2">
        <f t="shared" si="501"/>
        <v>0.35057377049180333</v>
      </c>
    </row>
    <row r="1062" spans="1:22" x14ac:dyDescent="0.4">
      <c r="A1062">
        <v>8</v>
      </c>
      <c r="B1062" s="4">
        <f>150*A1062+50</f>
        <v>1250</v>
      </c>
      <c r="C1062">
        <f t="shared" si="491"/>
        <v>240</v>
      </c>
      <c r="D1062">
        <f t="shared" si="492"/>
        <v>22</v>
      </c>
      <c r="E1062" s="2">
        <v>0</v>
      </c>
      <c r="F1062">
        <f t="shared" si="493"/>
        <v>29</v>
      </c>
      <c r="G1062">
        <f t="shared" si="494"/>
        <v>0.68100000000000005</v>
      </c>
      <c r="H1062" s="3">
        <f t="shared" si="499"/>
        <v>0.05</v>
      </c>
      <c r="I1062" s="2">
        <v>2</v>
      </c>
      <c r="J1062" s="2">
        <v>0</v>
      </c>
      <c r="K1062" s="2">
        <v>1</v>
      </c>
      <c r="L1062" s="16">
        <v>1</v>
      </c>
      <c r="M1062" s="5">
        <f t="shared" si="495"/>
        <v>370</v>
      </c>
      <c r="N1062" s="6">
        <f t="shared" si="496"/>
        <v>20.736450000000005</v>
      </c>
      <c r="O1062">
        <f t="shared" si="497"/>
        <v>292.8</v>
      </c>
      <c r="P1062" s="7">
        <f t="shared" si="500"/>
        <v>14.120063945371554</v>
      </c>
      <c r="Q1062">
        <f>ROUNDUP(몬스터!$P$6/F1062, 0)</f>
        <v>8</v>
      </c>
      <c r="R1062" s="6">
        <f t="shared" si="498"/>
        <v>11.747430249632892</v>
      </c>
      <c r="S1062" s="7">
        <f>B1062/몬스터!$C$6*R1062</f>
        <v>183.55359765051392</v>
      </c>
      <c r="U1062">
        <f>ROUNDDOWN(R1062*몬스터!$H$6, 0)*몬스터!$G$6*(1+몬스터!$I$6)</f>
        <v>96.232500000000016</v>
      </c>
      <c r="V1062" s="2">
        <f t="shared" si="501"/>
        <v>0.32866290983606561</v>
      </c>
    </row>
    <row r="1063" spans="1:22" x14ac:dyDescent="0.4">
      <c r="A1063">
        <v>9</v>
      </c>
      <c r="B1063" s="4">
        <f>150*A1063+50</f>
        <v>1400</v>
      </c>
      <c r="C1063">
        <f t="shared" si="491"/>
        <v>250</v>
      </c>
      <c r="D1063">
        <f t="shared" si="492"/>
        <v>22</v>
      </c>
      <c r="E1063" s="2">
        <v>0</v>
      </c>
      <c r="F1063">
        <f t="shared" si="493"/>
        <v>31</v>
      </c>
      <c r="G1063">
        <f t="shared" si="494"/>
        <v>0.68300000000000005</v>
      </c>
      <c r="H1063" s="3">
        <f t="shared" si="499"/>
        <v>0.05</v>
      </c>
      <c r="I1063" s="2">
        <v>2</v>
      </c>
      <c r="J1063" s="2">
        <v>0</v>
      </c>
      <c r="K1063" s="2">
        <v>1</v>
      </c>
      <c r="L1063" s="16">
        <v>1</v>
      </c>
      <c r="M1063" s="5">
        <f t="shared" si="495"/>
        <v>380</v>
      </c>
      <c r="N1063" s="6">
        <f t="shared" si="496"/>
        <v>22.231650000000002</v>
      </c>
      <c r="O1063">
        <f t="shared" si="497"/>
        <v>305</v>
      </c>
      <c r="P1063" s="7">
        <f t="shared" si="500"/>
        <v>13.719179638038561</v>
      </c>
      <c r="Q1063">
        <f>ROUNDUP(몬스터!$P$6/F1063, 0)</f>
        <v>8</v>
      </c>
      <c r="R1063" s="6">
        <f t="shared" si="498"/>
        <v>11.713030746705709</v>
      </c>
      <c r="S1063" s="7">
        <f>B1063/몬스터!$C$6*R1063</f>
        <v>204.9780380673499</v>
      </c>
      <c r="U1063">
        <f>ROUNDDOWN(R1063*몬스터!$H$6, 0)*몬스터!$G$6*(1+몬스터!$I$6)</f>
        <v>96.232500000000016</v>
      </c>
      <c r="V1063" s="2">
        <f t="shared" si="501"/>
        <v>0.315516393442623</v>
      </c>
    </row>
    <row r="1064" spans="1:22" x14ac:dyDescent="0.4">
      <c r="A1064">
        <v>10</v>
      </c>
      <c r="B1064" s="4">
        <f>150*A1064+50</f>
        <v>1550</v>
      </c>
      <c r="C1064">
        <f t="shared" si="491"/>
        <v>260</v>
      </c>
      <c r="D1064">
        <f t="shared" si="492"/>
        <v>23</v>
      </c>
      <c r="E1064" s="2">
        <v>0</v>
      </c>
      <c r="F1064">
        <f t="shared" si="493"/>
        <v>32</v>
      </c>
      <c r="G1064">
        <f t="shared" si="494"/>
        <v>0.68500000000000005</v>
      </c>
      <c r="H1064" s="3">
        <f t="shared" si="499"/>
        <v>0.05</v>
      </c>
      <c r="I1064" s="2">
        <v>2</v>
      </c>
      <c r="J1064" s="2">
        <v>0</v>
      </c>
      <c r="K1064" s="2">
        <v>1</v>
      </c>
      <c r="L1064" s="16">
        <v>1</v>
      </c>
      <c r="M1064" s="5">
        <f t="shared" si="495"/>
        <v>390</v>
      </c>
      <c r="N1064" s="6">
        <f t="shared" si="496"/>
        <v>23.016000000000002</v>
      </c>
      <c r="O1064">
        <f t="shared" si="497"/>
        <v>319.8</v>
      </c>
      <c r="P1064" s="7">
        <f t="shared" si="500"/>
        <v>13.89468196037539</v>
      </c>
      <c r="Q1064">
        <f>ROUNDUP(몬스터!$P$6/F1064, 0)</f>
        <v>7</v>
      </c>
      <c r="R1064" s="6">
        <f t="shared" si="498"/>
        <v>10.21897810218978</v>
      </c>
      <c r="S1064" s="7">
        <f>B1064/몬스터!$C$6*R1064</f>
        <v>197.99270072992698</v>
      </c>
      <c r="T1064" s="7">
        <f>SUM(S1060:S1064)</f>
        <v>890.72038024318886</v>
      </c>
      <c r="U1064">
        <f>ROUNDDOWN(R1064*몬스터!$H$6, 0)*몬스터!$G$6*(1+몬스터!$I$6)</f>
        <v>82.485000000000014</v>
      </c>
      <c r="V1064" s="2">
        <f t="shared" si="501"/>
        <v>0.25792682926829269</v>
      </c>
    </row>
    <row r="1065" spans="1:22" x14ac:dyDescent="0.4">
      <c r="A1065">
        <v>11</v>
      </c>
      <c r="B1065" s="4">
        <f>160*A1065</f>
        <v>1760</v>
      </c>
      <c r="C1065">
        <f t="shared" si="491"/>
        <v>270</v>
      </c>
      <c r="D1065">
        <f t="shared" si="492"/>
        <v>23</v>
      </c>
      <c r="E1065" s="2">
        <v>0</v>
      </c>
      <c r="F1065">
        <f t="shared" si="493"/>
        <v>33</v>
      </c>
      <c r="G1065">
        <f t="shared" si="494"/>
        <v>0.68700000000000006</v>
      </c>
      <c r="H1065" s="3">
        <f t="shared" si="499"/>
        <v>0.05</v>
      </c>
      <c r="I1065" s="2">
        <v>2</v>
      </c>
      <c r="J1065" s="2">
        <v>0</v>
      </c>
      <c r="K1065" s="2">
        <v>1</v>
      </c>
      <c r="L1065" s="16">
        <v>1</v>
      </c>
      <c r="M1065" s="5">
        <f t="shared" si="495"/>
        <v>400</v>
      </c>
      <c r="N1065" s="6">
        <f t="shared" si="496"/>
        <v>23.804550000000003</v>
      </c>
      <c r="O1065">
        <f t="shared" si="497"/>
        <v>332.1</v>
      </c>
      <c r="P1065" s="7">
        <f t="shared" si="500"/>
        <v>13.951114387795609</v>
      </c>
      <c r="Q1065">
        <f>ROUNDUP(몬스터!$P$7/F1065, 0)</f>
        <v>8</v>
      </c>
      <c r="R1065" s="6">
        <f t="shared" si="498"/>
        <v>11.644832605531295</v>
      </c>
      <c r="S1065" s="7">
        <f>B1065/몬스터!$C$7*R1065</f>
        <v>157.6531183518083</v>
      </c>
      <c r="U1065">
        <f>ROUNDDOWN(R1065*몬스터!$H$7, 0)*몬스터!$G$7*(1+몬스터!$I$7)</f>
        <v>156.55499999999998</v>
      </c>
      <c r="V1065" s="2">
        <f t="shared" si="501"/>
        <v>0.47140921409214082</v>
      </c>
    </row>
    <row r="1066" spans="1:22" x14ac:dyDescent="0.4">
      <c r="A1066">
        <v>12</v>
      </c>
      <c r="B1066" s="4">
        <f>160*A1066</f>
        <v>1920</v>
      </c>
      <c r="C1066">
        <f t="shared" si="491"/>
        <v>280</v>
      </c>
      <c r="D1066">
        <f t="shared" si="492"/>
        <v>23</v>
      </c>
      <c r="E1066" s="2">
        <v>0</v>
      </c>
      <c r="F1066">
        <f t="shared" si="493"/>
        <v>35</v>
      </c>
      <c r="G1066">
        <f t="shared" si="494"/>
        <v>0.68900000000000006</v>
      </c>
      <c r="H1066" s="3">
        <f t="shared" si="499"/>
        <v>0.05</v>
      </c>
      <c r="I1066" s="2">
        <v>2</v>
      </c>
      <c r="J1066" s="2">
        <v>0</v>
      </c>
      <c r="K1066" s="2">
        <v>1</v>
      </c>
      <c r="L1066" s="16">
        <v>1</v>
      </c>
      <c r="M1066" s="5">
        <f t="shared" si="495"/>
        <v>410</v>
      </c>
      <c r="N1066" s="6">
        <f t="shared" si="496"/>
        <v>25.320750000000004</v>
      </c>
      <c r="O1066">
        <f t="shared" si="497"/>
        <v>344.4</v>
      </c>
      <c r="P1066" s="7">
        <f t="shared" si="500"/>
        <v>13.601492846775862</v>
      </c>
      <c r="Q1066">
        <f>ROUNDUP(몬스터!$P$7/F1066, 0)</f>
        <v>8</v>
      </c>
      <c r="R1066" s="6">
        <f t="shared" si="498"/>
        <v>11.611030478955007</v>
      </c>
      <c r="S1066" s="7">
        <f>B1066/몬스터!$C$7*R1066</f>
        <v>171.48598861225858</v>
      </c>
      <c r="U1066">
        <f>ROUNDDOWN(R1066*몬스터!$H$7, 0)*몬스터!$G$7*(1+몬스터!$I$7)</f>
        <v>156.55499999999998</v>
      </c>
      <c r="V1066" s="2">
        <f t="shared" si="501"/>
        <v>0.45457317073170728</v>
      </c>
    </row>
    <row r="1067" spans="1:22" x14ac:dyDescent="0.4">
      <c r="A1067">
        <v>13</v>
      </c>
      <c r="B1067" s="4">
        <f>160*A1067+40</f>
        <v>2120</v>
      </c>
      <c r="C1067">
        <f t="shared" si="491"/>
        <v>295</v>
      </c>
      <c r="D1067">
        <f t="shared" si="492"/>
        <v>23</v>
      </c>
      <c r="E1067" s="2">
        <v>0</v>
      </c>
      <c r="F1067">
        <f t="shared" si="493"/>
        <v>36</v>
      </c>
      <c r="G1067">
        <f t="shared" si="494"/>
        <v>0.69100000000000006</v>
      </c>
      <c r="H1067" s="3">
        <f t="shared" si="499"/>
        <v>0.05</v>
      </c>
      <c r="I1067" s="2">
        <v>2</v>
      </c>
      <c r="J1067" s="2">
        <v>0</v>
      </c>
      <c r="K1067" s="2">
        <v>1</v>
      </c>
      <c r="L1067" s="16">
        <v>1</v>
      </c>
      <c r="M1067" s="5">
        <f t="shared" si="495"/>
        <v>420</v>
      </c>
      <c r="N1067" s="6">
        <f t="shared" si="496"/>
        <v>26.119800000000001</v>
      </c>
      <c r="O1067">
        <f t="shared" si="497"/>
        <v>362.85</v>
      </c>
      <c r="P1067" s="7">
        <f t="shared" si="500"/>
        <v>13.891760273815267</v>
      </c>
      <c r="Q1067">
        <f>ROUNDUP(몬스터!$P$7/F1067, 0)</f>
        <v>8</v>
      </c>
      <c r="R1067" s="6">
        <f t="shared" si="498"/>
        <v>11.577424023154848</v>
      </c>
      <c r="S1067" s="7">
        <f>B1067/몬스터!$C$7*R1067</f>
        <v>188.80106868529441</v>
      </c>
      <c r="U1067">
        <f>ROUNDDOWN(R1067*몬스터!$H$7, 0)*몬스터!$G$7*(1+몬스터!$I$7)</f>
        <v>156.55499999999998</v>
      </c>
      <c r="V1067" s="2">
        <f t="shared" si="501"/>
        <v>0.43145928069450179</v>
      </c>
    </row>
    <row r="1068" spans="1:22" x14ac:dyDescent="0.4">
      <c r="A1068">
        <v>14</v>
      </c>
      <c r="B1068" s="4">
        <f>160*A1068+120</f>
        <v>2360</v>
      </c>
      <c r="C1068">
        <f t="shared" si="491"/>
        <v>305</v>
      </c>
      <c r="D1068">
        <f t="shared" si="492"/>
        <v>24</v>
      </c>
      <c r="E1068" s="2">
        <v>0</v>
      </c>
      <c r="F1068">
        <f t="shared" si="493"/>
        <v>37</v>
      </c>
      <c r="G1068">
        <f t="shared" si="494"/>
        <v>0.69300000000000006</v>
      </c>
      <c r="H1068" s="3">
        <f t="shared" si="499"/>
        <v>0.05</v>
      </c>
      <c r="I1068" s="2">
        <v>2</v>
      </c>
      <c r="J1068" s="2">
        <v>0</v>
      </c>
      <c r="K1068" s="2">
        <v>1</v>
      </c>
      <c r="L1068" s="16">
        <v>1</v>
      </c>
      <c r="M1068" s="5">
        <f t="shared" si="495"/>
        <v>430</v>
      </c>
      <c r="N1068" s="6">
        <f t="shared" si="496"/>
        <v>26.923050000000003</v>
      </c>
      <c r="O1068">
        <f t="shared" si="497"/>
        <v>378.2</v>
      </c>
      <c r="P1068" s="7">
        <f t="shared" si="500"/>
        <v>14.047442618871187</v>
      </c>
      <c r="Q1068">
        <f>ROUNDUP(몬스터!$P$7/F1068, 0)</f>
        <v>7</v>
      </c>
      <c r="R1068" s="6">
        <f t="shared" si="498"/>
        <v>10.1010101010101</v>
      </c>
      <c r="S1068" s="7">
        <f>B1068/몬스터!$C$7*R1068</f>
        <v>183.37218337218334</v>
      </c>
      <c r="U1068">
        <f>ROUNDDOWN(R1068*몬스터!$H$7, 0)*몬스터!$G$7*(1+몬스터!$I$7)</f>
        <v>134.19</v>
      </c>
      <c r="V1068" s="2">
        <f t="shared" si="501"/>
        <v>0.35481226864093074</v>
      </c>
    </row>
    <row r="1069" spans="1:22" x14ac:dyDescent="0.4">
      <c r="A1069">
        <v>15</v>
      </c>
      <c r="B1069" s="4">
        <f>160*A1069+100</f>
        <v>2500</v>
      </c>
      <c r="C1069">
        <f t="shared" si="491"/>
        <v>315</v>
      </c>
      <c r="D1069">
        <f t="shared" si="492"/>
        <v>24</v>
      </c>
      <c r="E1069" s="2">
        <v>0</v>
      </c>
      <c r="F1069">
        <f t="shared" si="493"/>
        <v>39</v>
      </c>
      <c r="G1069">
        <f t="shared" si="494"/>
        <v>0.69500000000000006</v>
      </c>
      <c r="H1069" s="3">
        <f t="shared" si="499"/>
        <v>0.05</v>
      </c>
      <c r="I1069" s="2">
        <v>2</v>
      </c>
      <c r="J1069" s="2">
        <v>0</v>
      </c>
      <c r="K1069" s="2">
        <v>1</v>
      </c>
      <c r="L1069" s="16">
        <v>1</v>
      </c>
      <c r="M1069" s="5">
        <f t="shared" si="495"/>
        <v>440</v>
      </c>
      <c r="N1069" s="6">
        <f t="shared" si="496"/>
        <v>28.460250000000006</v>
      </c>
      <c r="O1069">
        <f t="shared" si="497"/>
        <v>390.6</v>
      </c>
      <c r="P1069" s="7">
        <f t="shared" si="500"/>
        <v>13.724405091311564</v>
      </c>
      <c r="Q1069">
        <f>ROUNDUP(몬스터!$P$7/F1069, 0)</f>
        <v>7</v>
      </c>
      <c r="R1069" s="6">
        <f t="shared" si="498"/>
        <v>10.071942446043165</v>
      </c>
      <c r="S1069" s="7">
        <f>B1069/몬스터!$C$7*R1069</f>
        <v>193.69120088544548</v>
      </c>
      <c r="T1069" s="7">
        <f t="shared" ref="T1069" si="502">SUM(S1065:S1069)</f>
        <v>895.00355990699006</v>
      </c>
      <c r="U1069">
        <f>ROUNDDOWN(R1069*몬스터!$H$7, 0)*몬스터!$G$7*(1+몬스터!$I$7)</f>
        <v>134.19</v>
      </c>
      <c r="V1069" s="2">
        <f t="shared" si="501"/>
        <v>0.34354838709677415</v>
      </c>
    </row>
    <row r="1070" spans="1:22" x14ac:dyDescent="0.4">
      <c r="A1070">
        <v>16</v>
      </c>
      <c r="B1070" s="4">
        <f>160*A1070</f>
        <v>2560</v>
      </c>
      <c r="C1070">
        <f t="shared" si="491"/>
        <v>325</v>
      </c>
      <c r="D1070">
        <f t="shared" si="492"/>
        <v>24</v>
      </c>
      <c r="E1070" s="2">
        <v>0</v>
      </c>
      <c r="F1070">
        <f t="shared" si="493"/>
        <v>40</v>
      </c>
      <c r="G1070">
        <f t="shared" si="494"/>
        <v>0.69700000000000006</v>
      </c>
      <c r="H1070" s="3">
        <f t="shared" si="499"/>
        <v>0.05</v>
      </c>
      <c r="I1070" s="2">
        <v>2</v>
      </c>
      <c r="J1070" s="2">
        <v>0</v>
      </c>
      <c r="K1070" s="2">
        <v>1</v>
      </c>
      <c r="L1070" s="16">
        <v>1</v>
      </c>
      <c r="M1070" s="5">
        <f t="shared" si="495"/>
        <v>450</v>
      </c>
      <c r="N1070" s="6">
        <f t="shared" si="496"/>
        <v>29.274000000000004</v>
      </c>
      <c r="O1070">
        <f t="shared" si="497"/>
        <v>403</v>
      </c>
      <c r="P1070" s="7">
        <f t="shared" si="500"/>
        <v>13.76648220263715</v>
      </c>
      <c r="Q1070">
        <f>ROUNDUP(몬스터!$P$8/F1070, 0)</f>
        <v>9</v>
      </c>
      <c r="R1070" s="6">
        <f t="shared" si="498"/>
        <v>12.91248206599713</v>
      </c>
      <c r="S1070" s="7">
        <f>B1070/몬스터!$C$8*R1070</f>
        <v>183.64418938307028</v>
      </c>
      <c r="U1070">
        <f>ROUNDDOWN(R1070*몬스터!$H$8, 0)*몬스터!$G$8*(1+몬스터!$I$8)</f>
        <v>240.24</v>
      </c>
      <c r="V1070" s="2">
        <f t="shared" si="501"/>
        <v>0.59612903225806457</v>
      </c>
    </row>
    <row r="1071" spans="1:22" x14ac:dyDescent="0.4">
      <c r="A1071">
        <v>17</v>
      </c>
      <c r="B1071" s="4">
        <f>160*A1071</f>
        <v>2720</v>
      </c>
      <c r="C1071">
        <f t="shared" si="491"/>
        <v>335</v>
      </c>
      <c r="D1071">
        <f t="shared" si="492"/>
        <v>25</v>
      </c>
      <c r="E1071" s="2">
        <v>0</v>
      </c>
      <c r="F1071">
        <f t="shared" si="493"/>
        <v>41</v>
      </c>
      <c r="G1071">
        <f t="shared" si="494"/>
        <v>0.69900000000000007</v>
      </c>
      <c r="H1071" s="3">
        <f t="shared" si="499"/>
        <v>0.05</v>
      </c>
      <c r="I1071" s="2">
        <v>2</v>
      </c>
      <c r="J1071" s="2">
        <v>0</v>
      </c>
      <c r="K1071" s="2">
        <v>1</v>
      </c>
      <c r="L1071" s="16">
        <v>1</v>
      </c>
      <c r="M1071" s="5">
        <f t="shared" si="495"/>
        <v>460</v>
      </c>
      <c r="N1071" s="6">
        <f t="shared" si="496"/>
        <v>30.091950000000004</v>
      </c>
      <c r="O1071">
        <f t="shared" si="497"/>
        <v>418.75</v>
      </c>
      <c r="P1071" s="7">
        <f t="shared" si="500"/>
        <v>13.915681768712229</v>
      </c>
      <c r="Q1071">
        <f>ROUNDUP(몬스터!$P$8/F1071, 0)</f>
        <v>9</v>
      </c>
      <c r="R1071" s="6">
        <f t="shared" si="498"/>
        <v>12.875536480686694</v>
      </c>
      <c r="S1071" s="7">
        <f>B1071/몬스터!$C$8*R1071</f>
        <v>194.56366237482115</v>
      </c>
      <c r="U1071">
        <f>ROUNDDOWN(R1071*몬스터!$H$8, 0)*몬스터!$G$8*(1+몬스터!$I$8)</f>
        <v>240.24</v>
      </c>
      <c r="V1071" s="2">
        <f t="shared" si="501"/>
        <v>0.57370746268656714</v>
      </c>
    </row>
    <row r="1072" spans="1:22" x14ac:dyDescent="0.4">
      <c r="A1072">
        <v>18</v>
      </c>
      <c r="B1072" s="4">
        <f>160*A1072</f>
        <v>2880</v>
      </c>
      <c r="C1072">
        <f t="shared" si="491"/>
        <v>350</v>
      </c>
      <c r="D1072">
        <f t="shared" si="492"/>
        <v>25</v>
      </c>
      <c r="E1072" s="2">
        <v>0</v>
      </c>
      <c r="F1072">
        <f t="shared" si="493"/>
        <v>43</v>
      </c>
      <c r="G1072">
        <f t="shared" si="494"/>
        <v>0.70100000000000007</v>
      </c>
      <c r="H1072" s="3">
        <f t="shared" si="499"/>
        <v>0.05</v>
      </c>
      <c r="I1072" s="2">
        <v>2</v>
      </c>
      <c r="J1072" s="2">
        <v>0</v>
      </c>
      <c r="K1072" s="2">
        <v>1</v>
      </c>
      <c r="L1072" s="16">
        <v>1</v>
      </c>
      <c r="M1072" s="5">
        <f t="shared" si="495"/>
        <v>470</v>
      </c>
      <c r="N1072" s="6">
        <f t="shared" si="496"/>
        <v>31.650150000000007</v>
      </c>
      <c r="O1072">
        <f t="shared" si="497"/>
        <v>437.5</v>
      </c>
      <c r="P1072" s="7">
        <f t="shared" si="500"/>
        <v>13.822999259087236</v>
      </c>
      <c r="Q1072">
        <f>ROUNDUP(몬스터!$P$8/F1072, 0)</f>
        <v>8</v>
      </c>
      <c r="R1072" s="6">
        <f t="shared" si="498"/>
        <v>11.412268188302424</v>
      </c>
      <c r="S1072" s="7">
        <f>B1072/몬스터!$C$8*R1072</f>
        <v>182.59629101283878</v>
      </c>
      <c r="U1072">
        <f>ROUNDDOWN(R1072*몬스터!$H$8, 0)*몬스터!$G$8*(1+몬스터!$I$8)</f>
        <v>210.21</v>
      </c>
      <c r="V1072" s="2">
        <f t="shared" si="501"/>
        <v>0.48048000000000002</v>
      </c>
    </row>
    <row r="1073" spans="1:22" x14ac:dyDescent="0.4">
      <c r="A1073">
        <v>19</v>
      </c>
      <c r="B1073" s="4">
        <f>160*A1073</f>
        <v>3040</v>
      </c>
      <c r="C1073">
        <f t="shared" si="491"/>
        <v>360</v>
      </c>
      <c r="D1073">
        <f t="shared" si="492"/>
        <v>25</v>
      </c>
      <c r="E1073" s="2">
        <v>0</v>
      </c>
      <c r="F1073">
        <f t="shared" si="493"/>
        <v>44</v>
      </c>
      <c r="G1073">
        <f t="shared" si="494"/>
        <v>0.70300000000000007</v>
      </c>
      <c r="H1073" s="3">
        <f t="shared" si="499"/>
        <v>0.05</v>
      </c>
      <c r="I1073" s="2">
        <v>2</v>
      </c>
      <c r="J1073" s="2">
        <v>0</v>
      </c>
      <c r="K1073" s="2">
        <v>1</v>
      </c>
      <c r="L1073" s="16">
        <v>1</v>
      </c>
      <c r="M1073" s="5">
        <f t="shared" si="495"/>
        <v>480</v>
      </c>
      <c r="N1073" s="6">
        <f t="shared" si="496"/>
        <v>32.4786</v>
      </c>
      <c r="O1073">
        <f t="shared" si="497"/>
        <v>450</v>
      </c>
      <c r="P1073" s="7">
        <f t="shared" si="500"/>
        <v>13.855277013171749</v>
      </c>
      <c r="Q1073">
        <f>ROUNDUP(몬스터!$P$8/F1073, 0)</f>
        <v>8</v>
      </c>
      <c r="R1073" s="6">
        <f t="shared" si="498"/>
        <v>11.379800853485063</v>
      </c>
      <c r="S1073" s="7">
        <f>B1073/몬스터!$C$8*R1073</f>
        <v>192.19219219219218</v>
      </c>
      <c r="U1073">
        <f>ROUNDDOWN(R1073*몬스터!$H$8, 0)*몬스터!$G$8*(1+몬스터!$I$8)</f>
        <v>210.21</v>
      </c>
      <c r="V1073" s="2">
        <f t="shared" si="501"/>
        <v>0.46713333333333334</v>
      </c>
    </row>
    <row r="1074" spans="1:22" x14ac:dyDescent="0.4">
      <c r="A1074">
        <v>20</v>
      </c>
      <c r="B1074" s="4">
        <f>160*A1074+80</f>
        <v>3280</v>
      </c>
      <c r="C1074">
        <f t="shared" si="491"/>
        <v>370</v>
      </c>
      <c r="D1074">
        <f t="shared" si="492"/>
        <v>26</v>
      </c>
      <c r="E1074" s="2">
        <v>0</v>
      </c>
      <c r="F1074">
        <f t="shared" si="493"/>
        <v>45</v>
      </c>
      <c r="G1074">
        <f t="shared" si="494"/>
        <v>0.70500000000000007</v>
      </c>
      <c r="H1074" s="3">
        <f t="shared" si="499"/>
        <v>0.05</v>
      </c>
      <c r="I1074" s="2">
        <v>2</v>
      </c>
      <c r="J1074" s="2">
        <v>0</v>
      </c>
      <c r="K1074" s="2">
        <v>1</v>
      </c>
      <c r="L1074" s="16">
        <v>1</v>
      </c>
      <c r="M1074" s="5">
        <f t="shared" si="495"/>
        <v>490</v>
      </c>
      <c r="N1074" s="6">
        <f t="shared" si="496"/>
        <v>33.311250000000001</v>
      </c>
      <c r="O1074">
        <f t="shared" si="497"/>
        <v>466.2</v>
      </c>
      <c r="P1074" s="7">
        <f t="shared" si="500"/>
        <v>13.995271867612292</v>
      </c>
      <c r="Q1074">
        <f>ROUNDUP(몬스터!$P$8/F1074, 0)</f>
        <v>8</v>
      </c>
      <c r="R1074" s="6">
        <f t="shared" si="498"/>
        <v>11.347517730496453</v>
      </c>
      <c r="S1074" s="7">
        <f>B1074/몬스터!$C$8*R1074</f>
        <v>206.77698975571312</v>
      </c>
      <c r="T1074" s="7">
        <f t="shared" ref="T1074" si="503">SUM(S1070:S1074)</f>
        <v>959.77332471863554</v>
      </c>
      <c r="U1074">
        <f>ROUNDDOWN(R1074*몬스터!$H$8, 0)*몬스터!$G$8*(1+몬스터!$I$8)</f>
        <v>210.21</v>
      </c>
      <c r="V1074" s="2">
        <f t="shared" si="501"/>
        <v>0.4509009009009009</v>
      </c>
    </row>
    <row r="1075" spans="1:22" x14ac:dyDescent="0.4">
      <c r="A1075">
        <v>21</v>
      </c>
      <c r="B1075" s="4">
        <f>160*A1075</f>
        <v>3360</v>
      </c>
      <c r="C1075">
        <f t="shared" si="491"/>
        <v>380</v>
      </c>
      <c r="D1075">
        <f t="shared" si="492"/>
        <v>26</v>
      </c>
      <c r="E1075" s="2">
        <v>0</v>
      </c>
      <c r="F1075">
        <f t="shared" si="493"/>
        <v>47</v>
      </c>
      <c r="G1075">
        <f t="shared" si="494"/>
        <v>0.70700000000000007</v>
      </c>
      <c r="H1075" s="3">
        <f t="shared" si="499"/>
        <v>0.05</v>
      </c>
      <c r="I1075" s="2">
        <v>2</v>
      </c>
      <c r="J1075" s="2">
        <v>0</v>
      </c>
      <c r="K1075" s="2">
        <v>1</v>
      </c>
      <c r="L1075" s="16">
        <v>1</v>
      </c>
      <c r="M1075" s="5">
        <f t="shared" si="495"/>
        <v>500</v>
      </c>
      <c r="N1075" s="6">
        <f t="shared" si="496"/>
        <v>34.890450000000008</v>
      </c>
      <c r="O1075">
        <f t="shared" si="497"/>
        <v>478.8</v>
      </c>
      <c r="P1075" s="7">
        <f t="shared" si="500"/>
        <v>13.722952842396699</v>
      </c>
      <c r="Q1075">
        <f>ROUNDUP(몬스터!$P$11/F1075, 0)</f>
        <v>10</v>
      </c>
      <c r="R1075" s="6">
        <f t="shared" si="498"/>
        <v>14.144271570014142</v>
      </c>
      <c r="S1075" s="7">
        <f>B1075/몬스터!$C$11*R1075</f>
        <v>206.62935858803269</v>
      </c>
      <c r="U1075">
        <f>ROUNDDOWN(R1075*몬스터!$H$11, 0)*몬스터!$G$11*(1+몬스터!$I$11)</f>
        <v>349.92</v>
      </c>
      <c r="V1075" s="2">
        <f t="shared" si="501"/>
        <v>0.73082706766917294</v>
      </c>
    </row>
    <row r="1076" spans="1:22" x14ac:dyDescent="0.4">
      <c r="A1076">
        <v>22</v>
      </c>
      <c r="B1076" s="4">
        <f>160*A1076</f>
        <v>3520</v>
      </c>
      <c r="C1076">
        <f t="shared" si="491"/>
        <v>390</v>
      </c>
      <c r="D1076">
        <f t="shared" si="492"/>
        <v>26</v>
      </c>
      <c r="E1076" s="2">
        <v>0</v>
      </c>
      <c r="F1076">
        <f t="shared" si="493"/>
        <v>48</v>
      </c>
      <c r="G1076">
        <f t="shared" si="494"/>
        <v>0.70900000000000007</v>
      </c>
      <c r="H1076" s="3">
        <f t="shared" si="499"/>
        <v>0.05</v>
      </c>
      <c r="I1076" s="2">
        <v>2</v>
      </c>
      <c r="J1076" s="2">
        <v>0</v>
      </c>
      <c r="K1076" s="2">
        <v>1</v>
      </c>
      <c r="L1076" s="16">
        <v>1</v>
      </c>
      <c r="M1076" s="5">
        <f t="shared" si="495"/>
        <v>510</v>
      </c>
      <c r="N1076" s="6">
        <f t="shared" si="496"/>
        <v>35.733600000000003</v>
      </c>
      <c r="O1076">
        <f t="shared" si="497"/>
        <v>491.4</v>
      </c>
      <c r="P1076" s="7">
        <f t="shared" si="500"/>
        <v>13.751763046544427</v>
      </c>
      <c r="Q1076">
        <f>ROUNDUP(몬스터!$P$11/F1076, 0)</f>
        <v>9</v>
      </c>
      <c r="R1076" s="6">
        <f t="shared" si="498"/>
        <v>12.693935119887163</v>
      </c>
      <c r="S1076" s="7">
        <f>B1076/몬스터!$C$11*R1076</f>
        <v>194.27239835653398</v>
      </c>
      <c r="U1076">
        <f>ROUNDDOWN(R1076*몬스터!$H$11, 0)*몬스터!$G$11*(1+몬스터!$I$11)</f>
        <v>311.04000000000002</v>
      </c>
      <c r="V1076" s="2">
        <f t="shared" si="501"/>
        <v>0.63296703296703305</v>
      </c>
    </row>
    <row r="1077" spans="1:22" x14ac:dyDescent="0.4">
      <c r="A1077">
        <v>23</v>
      </c>
      <c r="B1077" s="4">
        <f>160*A1077</f>
        <v>3680</v>
      </c>
      <c r="C1077">
        <f t="shared" si="491"/>
        <v>405</v>
      </c>
      <c r="D1077">
        <f t="shared" si="492"/>
        <v>26</v>
      </c>
      <c r="E1077" s="2">
        <v>0</v>
      </c>
      <c r="F1077">
        <f t="shared" si="493"/>
        <v>49</v>
      </c>
      <c r="G1077">
        <f t="shared" si="494"/>
        <v>0.71100000000000008</v>
      </c>
      <c r="H1077" s="3">
        <f t="shared" si="499"/>
        <v>0.05</v>
      </c>
      <c r="I1077" s="2">
        <v>2</v>
      </c>
      <c r="J1077" s="2">
        <v>0</v>
      </c>
      <c r="K1077" s="2">
        <v>1</v>
      </c>
      <c r="L1077" s="16">
        <v>1</v>
      </c>
      <c r="M1077" s="5">
        <f t="shared" si="495"/>
        <v>520</v>
      </c>
      <c r="N1077" s="6">
        <f t="shared" si="496"/>
        <v>36.580950000000009</v>
      </c>
      <c r="O1077">
        <f t="shared" si="497"/>
        <v>510.3</v>
      </c>
      <c r="P1077" s="7">
        <f t="shared" si="500"/>
        <v>13.949883750968739</v>
      </c>
      <c r="Q1077">
        <f>ROUNDUP(몬스터!$P$11/F1077, 0)</f>
        <v>9</v>
      </c>
      <c r="R1077" s="6">
        <f t="shared" si="498"/>
        <v>12.658227848101264</v>
      </c>
      <c r="S1077" s="7">
        <f>B1077/몬스터!$C$11*R1077</f>
        <v>202.53164556962022</v>
      </c>
      <c r="U1077">
        <f>ROUNDDOWN(R1077*몬스터!$H$11, 0)*몬스터!$G$11*(1+몬스터!$I$11)</f>
        <v>311.04000000000002</v>
      </c>
      <c r="V1077" s="2">
        <f t="shared" si="501"/>
        <v>0.60952380952380958</v>
      </c>
    </row>
    <row r="1078" spans="1:22" x14ac:dyDescent="0.4">
      <c r="A1078">
        <v>24</v>
      </c>
      <c r="B1078" s="4">
        <f>160*A1078</f>
        <v>3840</v>
      </c>
      <c r="C1078">
        <f t="shared" si="491"/>
        <v>415</v>
      </c>
      <c r="D1078">
        <f t="shared" si="492"/>
        <v>27</v>
      </c>
      <c r="E1078" s="2">
        <v>0</v>
      </c>
      <c r="F1078">
        <f t="shared" si="493"/>
        <v>51</v>
      </c>
      <c r="G1078">
        <f t="shared" si="494"/>
        <v>0.71300000000000008</v>
      </c>
      <c r="H1078" s="3">
        <f t="shared" si="499"/>
        <v>0.05</v>
      </c>
      <c r="I1078" s="2">
        <v>2</v>
      </c>
      <c r="J1078" s="2">
        <v>0</v>
      </c>
      <c r="K1078" s="2">
        <v>1</v>
      </c>
      <c r="L1078" s="16">
        <v>1</v>
      </c>
      <c r="M1078" s="5">
        <f t="shared" si="495"/>
        <v>530</v>
      </c>
      <c r="N1078" s="6">
        <f t="shared" si="496"/>
        <v>38.181150000000009</v>
      </c>
      <c r="O1078">
        <f t="shared" si="497"/>
        <v>527.04999999999995</v>
      </c>
      <c r="P1078" s="7">
        <f t="shared" si="500"/>
        <v>13.803932045001259</v>
      </c>
      <c r="Q1078">
        <f>ROUNDUP(몬스터!$P$11/F1078, 0)</f>
        <v>9</v>
      </c>
      <c r="R1078" s="6">
        <f t="shared" si="498"/>
        <v>12.622720897615707</v>
      </c>
      <c r="S1078" s="7">
        <f>B1078/몬스터!$C$11*R1078</f>
        <v>210.74455759497528</v>
      </c>
      <c r="U1078">
        <f>ROUNDDOWN(R1078*몬스터!$H$11, 0)*몬스터!$G$11*(1+몬스터!$I$11)</f>
        <v>311.04000000000002</v>
      </c>
      <c r="V1078" s="2">
        <f t="shared" si="501"/>
        <v>0.59015273693198</v>
      </c>
    </row>
    <row r="1079" spans="1:22" x14ac:dyDescent="0.4">
      <c r="A1079">
        <v>25</v>
      </c>
      <c r="B1079" s="4">
        <f>160*A1079</f>
        <v>4000</v>
      </c>
      <c r="C1079">
        <f t="shared" si="491"/>
        <v>425</v>
      </c>
      <c r="D1079">
        <f t="shared" si="492"/>
        <v>27</v>
      </c>
      <c r="E1079" s="2">
        <v>0</v>
      </c>
      <c r="F1079">
        <f t="shared" si="493"/>
        <v>52</v>
      </c>
      <c r="G1079">
        <f t="shared" si="494"/>
        <v>0.71500000000000008</v>
      </c>
      <c r="H1079" s="3">
        <f t="shared" si="499"/>
        <v>0.05</v>
      </c>
      <c r="I1079" s="2">
        <v>2</v>
      </c>
      <c r="J1079" s="2">
        <v>0</v>
      </c>
      <c r="K1079" s="2">
        <v>1</v>
      </c>
      <c r="L1079" s="16">
        <v>1</v>
      </c>
      <c r="M1079" s="5">
        <f t="shared" si="495"/>
        <v>540</v>
      </c>
      <c r="N1079" s="6">
        <f t="shared" si="496"/>
        <v>39.039000000000009</v>
      </c>
      <c r="O1079">
        <f t="shared" si="497"/>
        <v>539.75</v>
      </c>
      <c r="P1079" s="7">
        <f t="shared" si="500"/>
        <v>13.825917672071515</v>
      </c>
      <c r="Q1079">
        <f>ROUNDUP(몬스터!$P$11/F1079, 0)</f>
        <v>9</v>
      </c>
      <c r="R1079" s="6">
        <f t="shared" si="498"/>
        <v>12.587412587412587</v>
      </c>
      <c r="S1079" s="7">
        <f>B1079/몬스터!$C$11*R1079</f>
        <v>218.91152325934931</v>
      </c>
      <c r="T1079" s="7">
        <f t="shared" ref="T1079" si="504">SUM(S1075:S1079)</f>
        <v>1033.0894833685115</v>
      </c>
      <c r="U1079">
        <f>ROUNDDOWN(R1079*몬스터!$H$11, 0)*몬스터!$G$11*(1+몬스터!$I$11)</f>
        <v>311.04000000000002</v>
      </c>
      <c r="V1079" s="2">
        <f t="shared" si="501"/>
        <v>0.5762667901806392</v>
      </c>
    </row>
    <row r="1080" spans="1:22" x14ac:dyDescent="0.4">
      <c r="A1080">
        <v>26</v>
      </c>
      <c r="B1080" s="4">
        <f>170*A1080</f>
        <v>4420</v>
      </c>
      <c r="C1080">
        <f t="shared" si="491"/>
        <v>435</v>
      </c>
      <c r="D1080">
        <f t="shared" si="492"/>
        <v>27</v>
      </c>
      <c r="E1080" s="2">
        <v>0</v>
      </c>
      <c r="F1080">
        <f t="shared" si="493"/>
        <v>53</v>
      </c>
      <c r="G1080">
        <f t="shared" si="494"/>
        <v>0.71700000000000008</v>
      </c>
      <c r="H1080" s="3">
        <f t="shared" si="499"/>
        <v>0.05</v>
      </c>
      <c r="I1080" s="2">
        <v>2</v>
      </c>
      <c r="J1080" s="2">
        <v>0</v>
      </c>
      <c r="K1080" s="2">
        <v>1</v>
      </c>
      <c r="L1080" s="16">
        <v>1</v>
      </c>
      <c r="M1080" s="5">
        <f t="shared" si="495"/>
        <v>550</v>
      </c>
      <c r="N1080" s="6">
        <f t="shared" si="496"/>
        <v>39.901050000000005</v>
      </c>
      <c r="O1080">
        <f t="shared" si="497"/>
        <v>552.45000000000005</v>
      </c>
      <c r="P1080" s="7">
        <f t="shared" si="500"/>
        <v>13.845500306382915</v>
      </c>
      <c r="Q1080">
        <f>ROUNDUP(몬스터!$P$12/F1080, 0)</f>
        <v>10</v>
      </c>
      <c r="R1080" s="6">
        <f t="shared" si="498"/>
        <v>13.947001394700138</v>
      </c>
      <c r="S1080" s="7">
        <f>B1080/몬스터!$C$12*R1080</f>
        <v>220.16337915919505</v>
      </c>
      <c r="U1080">
        <f>ROUNDDOWN(R1080*몬스터!$H$12, 0)*몬스터!$G$12*(1+몬스터!$I$12)</f>
        <v>420.86249999999995</v>
      </c>
      <c r="V1080" s="2">
        <f t="shared" si="501"/>
        <v>0.76181102362204711</v>
      </c>
    </row>
    <row r="1081" spans="1:22" x14ac:dyDescent="0.4">
      <c r="A1081">
        <v>27</v>
      </c>
      <c r="B1081" s="4">
        <f>170*A1081</f>
        <v>4590</v>
      </c>
      <c r="C1081">
        <f t="shared" si="491"/>
        <v>445</v>
      </c>
      <c r="D1081">
        <f t="shared" si="492"/>
        <v>28</v>
      </c>
      <c r="E1081" s="2">
        <v>0</v>
      </c>
      <c r="F1081">
        <f t="shared" si="493"/>
        <v>55</v>
      </c>
      <c r="G1081">
        <f t="shared" si="494"/>
        <v>0.71900000000000008</v>
      </c>
      <c r="H1081" s="3">
        <f t="shared" si="499"/>
        <v>0.05</v>
      </c>
      <c r="I1081" s="2">
        <v>2</v>
      </c>
      <c r="J1081" s="2">
        <v>0</v>
      </c>
      <c r="K1081" s="2">
        <v>1</v>
      </c>
      <c r="L1081" s="16">
        <v>1</v>
      </c>
      <c r="M1081" s="5">
        <f t="shared" si="495"/>
        <v>560</v>
      </c>
      <c r="N1081" s="6">
        <f t="shared" si="496"/>
        <v>41.522250000000007</v>
      </c>
      <c r="O1081">
        <f t="shared" si="497"/>
        <v>569.6</v>
      </c>
      <c r="P1081" s="7">
        <f t="shared" si="500"/>
        <v>13.717946402230128</v>
      </c>
      <c r="Q1081">
        <f>ROUNDUP(몬스터!$P$12/F1081, 0)</f>
        <v>10</v>
      </c>
      <c r="R1081" s="6">
        <f t="shared" si="498"/>
        <v>13.908205841446453</v>
      </c>
      <c r="S1081" s="7">
        <f>B1081/몬스터!$C$12*R1081</f>
        <v>227.99523147228291</v>
      </c>
      <c r="U1081">
        <f>ROUNDDOWN(R1081*몬스터!$H$12, 0)*몬스터!$G$12*(1+몬스터!$I$12)</f>
        <v>420.86249999999995</v>
      </c>
      <c r="V1081" s="2">
        <f t="shared" si="501"/>
        <v>0.73887377106741559</v>
      </c>
    </row>
    <row r="1082" spans="1:22" x14ac:dyDescent="0.4">
      <c r="A1082">
        <v>28</v>
      </c>
      <c r="B1082" s="4">
        <f>170*A1082</f>
        <v>4760</v>
      </c>
      <c r="C1082">
        <f t="shared" si="491"/>
        <v>460</v>
      </c>
      <c r="D1082">
        <f t="shared" si="492"/>
        <v>28</v>
      </c>
      <c r="E1082" s="2">
        <v>0</v>
      </c>
      <c r="F1082">
        <f t="shared" si="493"/>
        <v>56</v>
      </c>
      <c r="G1082">
        <f t="shared" si="494"/>
        <v>0.72100000000000009</v>
      </c>
      <c r="H1082" s="3">
        <f t="shared" si="499"/>
        <v>0.05</v>
      </c>
      <c r="I1082" s="2">
        <v>2</v>
      </c>
      <c r="J1082" s="2">
        <v>0</v>
      </c>
      <c r="K1082" s="2">
        <v>1</v>
      </c>
      <c r="L1082" s="16">
        <v>1</v>
      </c>
      <c r="M1082" s="5">
        <f t="shared" si="495"/>
        <v>570</v>
      </c>
      <c r="N1082" s="6">
        <f t="shared" si="496"/>
        <v>42.394800000000004</v>
      </c>
      <c r="O1082">
        <f t="shared" si="497"/>
        <v>588.80000000000007</v>
      </c>
      <c r="P1082" s="7">
        <f t="shared" si="500"/>
        <v>13.88849575891383</v>
      </c>
      <c r="Q1082">
        <f>ROUNDUP(몬스터!$P$12/F1082, 0)</f>
        <v>10</v>
      </c>
      <c r="R1082" s="6">
        <f t="shared" si="498"/>
        <v>13.869625520110956</v>
      </c>
      <c r="S1082" s="7">
        <f>B1082/몬스터!$C$12*R1082</f>
        <v>235.78363384188626</v>
      </c>
      <c r="U1082">
        <f>ROUNDDOWN(R1082*몬스터!$H$12, 0)*몬스터!$G$12*(1+몬스터!$I$12)</f>
        <v>420.86249999999995</v>
      </c>
      <c r="V1082" s="2">
        <f t="shared" si="501"/>
        <v>0.71478006114130421</v>
      </c>
    </row>
    <row r="1083" spans="1:22" x14ac:dyDescent="0.4">
      <c r="A1083">
        <v>29</v>
      </c>
      <c r="B1083" s="4">
        <f>170*A1083</f>
        <v>4930</v>
      </c>
      <c r="C1083">
        <f t="shared" si="491"/>
        <v>470</v>
      </c>
      <c r="D1083">
        <f t="shared" si="492"/>
        <v>28</v>
      </c>
      <c r="E1083" s="2">
        <v>0</v>
      </c>
      <c r="F1083">
        <f t="shared" si="493"/>
        <v>57</v>
      </c>
      <c r="G1083">
        <f t="shared" si="494"/>
        <v>0.72300000000000009</v>
      </c>
      <c r="H1083" s="3">
        <f t="shared" si="499"/>
        <v>0.05</v>
      </c>
      <c r="I1083" s="2">
        <v>2</v>
      </c>
      <c r="J1083" s="2">
        <v>0</v>
      </c>
      <c r="K1083" s="2">
        <v>1</v>
      </c>
      <c r="L1083" s="16">
        <v>1</v>
      </c>
      <c r="M1083" s="5">
        <f t="shared" si="495"/>
        <v>580</v>
      </c>
      <c r="N1083" s="6">
        <f t="shared" si="496"/>
        <v>43.271550000000005</v>
      </c>
      <c r="O1083">
        <f t="shared" si="497"/>
        <v>601.6</v>
      </c>
      <c r="P1083" s="7">
        <f t="shared" si="500"/>
        <v>13.902899249044694</v>
      </c>
      <c r="Q1083">
        <f>ROUNDUP(몬스터!$P$12/F1083, 0)</f>
        <v>10</v>
      </c>
      <c r="R1083" s="6">
        <f t="shared" si="498"/>
        <v>13.831258644536652</v>
      </c>
      <c r="S1083" s="7">
        <f>B1083/몬스터!$C$12*R1083</f>
        <v>243.5289468484489</v>
      </c>
      <c r="U1083">
        <f>ROUNDDOWN(R1083*몬스터!$H$12, 0)*몬스터!$G$12*(1+몬스터!$I$12)</f>
        <v>420.86249999999995</v>
      </c>
      <c r="V1083" s="2">
        <f t="shared" si="501"/>
        <v>0.69957197473404242</v>
      </c>
    </row>
    <row r="1084" spans="1:22" x14ac:dyDescent="0.4">
      <c r="A1084">
        <v>30</v>
      </c>
      <c r="B1084" s="4">
        <f>170*A1084</f>
        <v>5100</v>
      </c>
      <c r="C1084">
        <f t="shared" si="491"/>
        <v>480</v>
      </c>
      <c r="D1084">
        <f t="shared" si="492"/>
        <v>29</v>
      </c>
      <c r="E1084" s="2">
        <v>0</v>
      </c>
      <c r="F1084">
        <f t="shared" si="493"/>
        <v>59</v>
      </c>
      <c r="G1084">
        <f t="shared" si="494"/>
        <v>0.72500000000000009</v>
      </c>
      <c r="H1084" s="3">
        <f t="shared" si="499"/>
        <v>0.05</v>
      </c>
      <c r="I1084" s="2">
        <v>2</v>
      </c>
      <c r="J1084" s="2">
        <v>0</v>
      </c>
      <c r="K1084" s="2">
        <v>1</v>
      </c>
      <c r="L1084" s="16">
        <v>1</v>
      </c>
      <c r="M1084" s="5">
        <f t="shared" si="495"/>
        <v>590</v>
      </c>
      <c r="N1084" s="6">
        <f t="shared" si="496"/>
        <v>44.913750000000007</v>
      </c>
      <c r="O1084">
        <f t="shared" si="497"/>
        <v>619.20000000000005</v>
      </c>
      <c r="P1084" s="7">
        <f t="shared" si="500"/>
        <v>13.786423979293644</v>
      </c>
      <c r="Q1084">
        <f>ROUNDUP(몬스터!$P$12/F1084, 0)</f>
        <v>9</v>
      </c>
      <c r="R1084" s="6">
        <f t="shared" si="498"/>
        <v>12.413793103448274</v>
      </c>
      <c r="S1084" s="7">
        <f>B1084/몬스터!$C$12*R1084</f>
        <v>226.10837438423644</v>
      </c>
      <c r="T1084" s="7">
        <f t="shared" ref="T1084" si="505">SUM(S1080:S1084)</f>
        <v>1153.5795657060496</v>
      </c>
      <c r="U1084">
        <f>ROUNDDOWN(R1084*몬스터!$H$12, 0)*몬스터!$G$12*(1+몬스터!$I$12)</f>
        <v>374.09999999999997</v>
      </c>
      <c r="V1084" s="2">
        <f t="shared" si="501"/>
        <v>0.60416666666666652</v>
      </c>
    </row>
    <row r="1085" spans="1:22" x14ac:dyDescent="0.4">
      <c r="A1085">
        <v>31</v>
      </c>
      <c r="B1085" s="4">
        <f>160*A1085</f>
        <v>4960</v>
      </c>
      <c r="C1085">
        <f t="shared" si="491"/>
        <v>490</v>
      </c>
      <c r="D1085">
        <f t="shared" si="492"/>
        <v>29</v>
      </c>
      <c r="E1085" s="2">
        <v>0</v>
      </c>
      <c r="F1085">
        <f t="shared" si="493"/>
        <v>60</v>
      </c>
      <c r="G1085">
        <f t="shared" si="494"/>
        <v>0.72700000000000009</v>
      </c>
      <c r="H1085" s="3">
        <f t="shared" si="499"/>
        <v>0.05</v>
      </c>
      <c r="I1085" s="2">
        <v>2</v>
      </c>
      <c r="J1085" s="2">
        <v>0</v>
      </c>
      <c r="K1085" s="2">
        <v>1</v>
      </c>
      <c r="L1085" s="16">
        <v>1</v>
      </c>
      <c r="M1085" s="5">
        <f t="shared" si="495"/>
        <v>600</v>
      </c>
      <c r="N1085" s="6">
        <f t="shared" si="496"/>
        <v>45.801000000000009</v>
      </c>
      <c r="O1085">
        <f t="shared" si="497"/>
        <v>632.1</v>
      </c>
      <c r="P1085" s="7">
        <f t="shared" si="500"/>
        <v>13.801008711600181</v>
      </c>
      <c r="Q1085">
        <f>ROUNDUP(몬스터!$P$13/F1085, 0)</f>
        <v>11</v>
      </c>
      <c r="R1085" s="6">
        <f t="shared" si="498"/>
        <v>15.13067400275103</v>
      </c>
      <c r="S1085" s="7">
        <f>B1085/몬스터!$C$13*R1085</f>
        <v>227.41861531407611</v>
      </c>
      <c r="U1085">
        <f>ROUNDDOWN(R1085*몬스터!$H$13, 0)*몬스터!$G$13*(1+몬스터!$I$13)</f>
        <v>558.44999999999993</v>
      </c>
      <c r="V1085" s="2">
        <f t="shared" si="501"/>
        <v>0.8834836260085428</v>
      </c>
    </row>
    <row r="1086" spans="1:22" x14ac:dyDescent="0.4">
      <c r="A1086">
        <v>32</v>
      </c>
      <c r="B1086" s="4">
        <f>160*A1086</f>
        <v>5120</v>
      </c>
      <c r="C1086">
        <f t="shared" si="491"/>
        <v>500</v>
      </c>
      <c r="D1086">
        <f t="shared" si="492"/>
        <v>29</v>
      </c>
      <c r="E1086" s="2">
        <v>0</v>
      </c>
      <c r="F1086">
        <f t="shared" si="493"/>
        <v>61</v>
      </c>
      <c r="G1086">
        <f t="shared" si="494"/>
        <v>0.72900000000000009</v>
      </c>
      <c r="H1086" s="3">
        <f t="shared" si="499"/>
        <v>0.05</v>
      </c>
      <c r="I1086" s="2">
        <v>2</v>
      </c>
      <c r="J1086" s="2">
        <v>0</v>
      </c>
      <c r="K1086" s="2">
        <v>1</v>
      </c>
      <c r="L1086" s="16">
        <v>1</v>
      </c>
      <c r="M1086" s="5">
        <f t="shared" si="495"/>
        <v>610</v>
      </c>
      <c r="N1086" s="6">
        <f t="shared" si="496"/>
        <v>46.692450000000008</v>
      </c>
      <c r="O1086">
        <f t="shared" si="497"/>
        <v>645</v>
      </c>
      <c r="P1086" s="7">
        <f t="shared" si="500"/>
        <v>13.813796448890557</v>
      </c>
      <c r="Q1086">
        <f>ROUNDUP(몬스터!$P$13/F1086, 0)</f>
        <v>11</v>
      </c>
      <c r="R1086" s="6">
        <f t="shared" si="498"/>
        <v>15.089163237311384</v>
      </c>
      <c r="S1086" s="7">
        <f>B1086/몬스터!$C$13*R1086</f>
        <v>234.11065386374025</v>
      </c>
      <c r="U1086">
        <f>ROUNDDOWN(R1086*몬스터!$H$13, 0)*몬스터!$G$13*(1+몬스터!$I$13)</f>
        <v>558.44999999999993</v>
      </c>
      <c r="V1086" s="2">
        <f t="shared" si="501"/>
        <v>0.86581395348837198</v>
      </c>
    </row>
    <row r="1087" spans="1:22" x14ac:dyDescent="0.4">
      <c r="A1087">
        <v>33</v>
      </c>
      <c r="B1087" s="4">
        <f>160*A1087</f>
        <v>5280</v>
      </c>
      <c r="C1087">
        <f t="shared" si="491"/>
        <v>515</v>
      </c>
      <c r="D1087">
        <f t="shared" si="492"/>
        <v>29</v>
      </c>
      <c r="E1087" s="2">
        <v>0</v>
      </c>
      <c r="F1087">
        <f t="shared" si="493"/>
        <v>63</v>
      </c>
      <c r="G1087">
        <f t="shared" si="494"/>
        <v>0.73100000000000009</v>
      </c>
      <c r="H1087" s="3">
        <f t="shared" si="499"/>
        <v>0.05</v>
      </c>
      <c r="I1087" s="2">
        <v>2</v>
      </c>
      <c r="J1087" s="2">
        <v>0</v>
      </c>
      <c r="K1087" s="2">
        <v>1</v>
      </c>
      <c r="L1087" s="16">
        <v>1</v>
      </c>
      <c r="M1087" s="5">
        <f t="shared" si="495"/>
        <v>620</v>
      </c>
      <c r="N1087" s="6">
        <f t="shared" si="496"/>
        <v>48.355650000000004</v>
      </c>
      <c r="O1087">
        <f t="shared" si="497"/>
        <v>664.35</v>
      </c>
      <c r="P1087" s="7">
        <f t="shared" si="500"/>
        <v>13.738828864879284</v>
      </c>
      <c r="Q1087">
        <f>ROUNDUP(몬스터!$P$13/F1087, 0)</f>
        <v>10</v>
      </c>
      <c r="R1087" s="6">
        <f t="shared" si="498"/>
        <v>13.679890560875512</v>
      </c>
      <c r="S1087" s="7">
        <f>B1087/몬스터!$C$13*R1087</f>
        <v>218.87824897400819</v>
      </c>
      <c r="U1087">
        <f>ROUNDDOWN(R1087*몬스터!$H$13, 0)*몬스터!$G$13*(1+몬스터!$I$13)</f>
        <v>502.60499999999996</v>
      </c>
      <c r="V1087" s="2">
        <f t="shared" si="501"/>
        <v>0.75653646421314058</v>
      </c>
    </row>
    <row r="1088" spans="1:22" x14ac:dyDescent="0.4">
      <c r="A1088">
        <v>34</v>
      </c>
      <c r="B1088" s="4">
        <f>160*A1088</f>
        <v>5440</v>
      </c>
      <c r="C1088">
        <f t="shared" si="491"/>
        <v>525</v>
      </c>
      <c r="D1088">
        <f t="shared" si="492"/>
        <v>30</v>
      </c>
      <c r="E1088" s="2">
        <v>0</v>
      </c>
      <c r="F1088">
        <f t="shared" si="493"/>
        <v>64</v>
      </c>
      <c r="G1088">
        <f t="shared" si="494"/>
        <v>0.7330000000000001</v>
      </c>
      <c r="H1088" s="3">
        <f t="shared" si="499"/>
        <v>0.05</v>
      </c>
      <c r="I1088" s="2">
        <v>2</v>
      </c>
      <c r="J1088" s="2">
        <v>0</v>
      </c>
      <c r="K1088" s="2">
        <v>1</v>
      </c>
      <c r="L1088" s="16">
        <v>1</v>
      </c>
      <c r="M1088" s="5">
        <f t="shared" si="495"/>
        <v>630</v>
      </c>
      <c r="N1088" s="6">
        <f t="shared" si="496"/>
        <v>49.257600000000011</v>
      </c>
      <c r="O1088">
        <f t="shared" si="497"/>
        <v>682.5</v>
      </c>
      <c r="P1088" s="7">
        <f t="shared" si="500"/>
        <v>13.855729877216914</v>
      </c>
      <c r="Q1088">
        <f>ROUNDUP(몬스터!$P$13/F1088, 0)</f>
        <v>10</v>
      </c>
      <c r="R1088" s="6">
        <f t="shared" si="498"/>
        <v>13.642564802182809</v>
      </c>
      <c r="S1088" s="7">
        <f>B1088/몬스터!$C$13*R1088</f>
        <v>224.89561370871056</v>
      </c>
      <c r="U1088">
        <f>ROUNDDOWN(R1088*몬스터!$H$13, 0)*몬스터!$G$13*(1+몬스터!$I$13)</f>
        <v>502.60499999999996</v>
      </c>
      <c r="V1088" s="2">
        <f t="shared" si="501"/>
        <v>0.73641758241758237</v>
      </c>
    </row>
    <row r="1089" spans="1:22" x14ac:dyDescent="0.4">
      <c r="A1089">
        <v>35</v>
      </c>
      <c r="B1089" s="4">
        <f>160*A1089</f>
        <v>5600</v>
      </c>
      <c r="C1089">
        <f t="shared" si="491"/>
        <v>535</v>
      </c>
      <c r="D1089">
        <f t="shared" si="492"/>
        <v>30</v>
      </c>
      <c r="E1089" s="2">
        <v>0</v>
      </c>
      <c r="F1089">
        <f t="shared" si="493"/>
        <v>65</v>
      </c>
      <c r="G1089">
        <f t="shared" si="494"/>
        <v>0.7350000000000001</v>
      </c>
      <c r="H1089" s="3">
        <f t="shared" si="499"/>
        <v>0.05</v>
      </c>
      <c r="I1089" s="2">
        <v>2</v>
      </c>
      <c r="J1089" s="2">
        <v>0</v>
      </c>
      <c r="K1089" s="2">
        <v>1</v>
      </c>
      <c r="L1089" s="16">
        <v>1</v>
      </c>
      <c r="M1089" s="5">
        <f t="shared" si="495"/>
        <v>640</v>
      </c>
      <c r="N1089" s="6">
        <f t="shared" si="496"/>
        <v>50.163750000000007</v>
      </c>
      <c r="O1089">
        <f t="shared" si="497"/>
        <v>695.5</v>
      </c>
      <c r="P1089" s="7">
        <f t="shared" si="500"/>
        <v>13.864593456430189</v>
      </c>
      <c r="Q1089">
        <f>ROUNDUP(몬스터!$P$13/F1089, 0)</f>
        <v>10</v>
      </c>
      <c r="R1089" s="6">
        <f t="shared" si="498"/>
        <v>13.605442176870746</v>
      </c>
      <c r="S1089" s="7">
        <f>B1089/몬스터!$C$13*R1089</f>
        <v>230.88023088023081</v>
      </c>
      <c r="T1089" s="7">
        <f t="shared" ref="T1089" si="506">SUM(S1085:S1089)</f>
        <v>1136.1833627407659</v>
      </c>
      <c r="U1089">
        <f>ROUNDDOWN(R1089*몬스터!$H$13, 0)*몬스터!$G$13*(1+몬스터!$I$13)</f>
        <v>502.60499999999996</v>
      </c>
      <c r="V1089" s="2">
        <f t="shared" si="501"/>
        <v>0.72265276779295462</v>
      </c>
    </row>
    <row r="1090" spans="1:22" x14ac:dyDescent="0.4">
      <c r="A1090">
        <v>36</v>
      </c>
      <c r="B1090" s="4">
        <f>170*A1090</f>
        <v>6120</v>
      </c>
      <c r="C1090">
        <f t="shared" si="491"/>
        <v>545</v>
      </c>
      <c r="D1090">
        <f t="shared" si="492"/>
        <v>30</v>
      </c>
      <c r="E1090" s="2">
        <v>0</v>
      </c>
      <c r="F1090">
        <f t="shared" si="493"/>
        <v>67</v>
      </c>
      <c r="G1090">
        <f t="shared" si="494"/>
        <v>0.7370000000000001</v>
      </c>
      <c r="H1090" s="3">
        <f t="shared" si="499"/>
        <v>0.05</v>
      </c>
      <c r="I1090" s="2">
        <v>2</v>
      </c>
      <c r="J1090" s="2">
        <v>0</v>
      </c>
      <c r="K1090" s="2">
        <v>1</v>
      </c>
      <c r="L1090" s="16">
        <v>1</v>
      </c>
      <c r="M1090" s="5">
        <f t="shared" si="495"/>
        <v>650</v>
      </c>
      <c r="N1090" s="6">
        <f t="shared" si="496"/>
        <v>51.847950000000004</v>
      </c>
      <c r="O1090">
        <f t="shared" si="497"/>
        <v>708.5</v>
      </c>
      <c r="P1090" s="7">
        <f t="shared" si="500"/>
        <v>13.664956859432243</v>
      </c>
      <c r="Q1090">
        <f>ROUNDUP(몬스터!$P$14/F1090, 0)</f>
        <v>10</v>
      </c>
      <c r="R1090" s="6">
        <f t="shared" si="498"/>
        <v>13.568521031207597</v>
      </c>
      <c r="S1090" s="7">
        <f>B1090/몬스터!$C$14*R1090</f>
        <v>218.52460187102761</v>
      </c>
      <c r="U1090">
        <f>ROUNDDOWN(R1090*몬스터!$H$14, 0)*몬스터!$G$14*(1+몬스터!$I$14)</f>
        <v>575.505</v>
      </c>
      <c r="V1090" s="2">
        <f t="shared" si="501"/>
        <v>0.81228652081863095</v>
      </c>
    </row>
    <row r="1091" spans="1:22" x14ac:dyDescent="0.4">
      <c r="A1091">
        <v>37</v>
      </c>
      <c r="B1091" s="4">
        <f>170*A1091</f>
        <v>6290</v>
      </c>
      <c r="C1091">
        <f t="shared" si="491"/>
        <v>555</v>
      </c>
      <c r="D1091">
        <f t="shared" si="492"/>
        <v>31</v>
      </c>
      <c r="E1091" s="2">
        <v>0</v>
      </c>
      <c r="F1091">
        <f t="shared" si="493"/>
        <v>68</v>
      </c>
      <c r="G1091">
        <f t="shared" si="494"/>
        <v>0.73899999999999999</v>
      </c>
      <c r="H1091" s="3">
        <f t="shared" si="499"/>
        <v>0.05</v>
      </c>
      <c r="I1091" s="2">
        <v>2</v>
      </c>
      <c r="J1091" s="2">
        <v>0</v>
      </c>
      <c r="K1091" s="2">
        <v>1</v>
      </c>
      <c r="L1091" s="16">
        <v>1</v>
      </c>
      <c r="M1091" s="5">
        <f t="shared" si="495"/>
        <v>660</v>
      </c>
      <c r="N1091" s="6">
        <f t="shared" si="496"/>
        <v>52.764600000000002</v>
      </c>
      <c r="O1091">
        <f t="shared" si="497"/>
        <v>727.05000000000007</v>
      </c>
      <c r="P1091" s="7">
        <f t="shared" si="500"/>
        <v>13.779124640383895</v>
      </c>
      <c r="Q1091">
        <f>ROUNDUP(몬스터!$P$14/F1091, 0)</f>
        <v>10</v>
      </c>
      <c r="R1091" s="6">
        <f t="shared" si="498"/>
        <v>13.531799729364005</v>
      </c>
      <c r="S1091" s="7">
        <f>B1091/몬스터!$C$14*R1091</f>
        <v>223.9868955202621</v>
      </c>
      <c r="U1091">
        <f>ROUNDDOWN(R1091*몬스터!$H$14, 0)*몬스터!$G$14*(1+몬스터!$I$14)</f>
        <v>575.505</v>
      </c>
      <c r="V1091" s="2">
        <f t="shared" si="501"/>
        <v>0.79156179079843192</v>
      </c>
    </row>
    <row r="1092" spans="1:22" x14ac:dyDescent="0.4">
      <c r="A1092">
        <v>38</v>
      </c>
      <c r="B1092" s="4">
        <f>170*A1092</f>
        <v>6460</v>
      </c>
      <c r="C1092">
        <f t="shared" si="491"/>
        <v>570</v>
      </c>
      <c r="D1092">
        <f t="shared" si="492"/>
        <v>31</v>
      </c>
      <c r="E1092" s="2">
        <v>0</v>
      </c>
      <c r="F1092">
        <f t="shared" si="493"/>
        <v>69</v>
      </c>
      <c r="G1092">
        <f t="shared" si="494"/>
        <v>0.74099999999999999</v>
      </c>
      <c r="H1092" s="3">
        <f t="shared" si="499"/>
        <v>0.05</v>
      </c>
      <c r="I1092" s="2">
        <v>2</v>
      </c>
      <c r="J1092" s="2">
        <v>0</v>
      </c>
      <c r="K1092" s="2">
        <v>1</v>
      </c>
      <c r="L1092" s="16">
        <v>1</v>
      </c>
      <c r="M1092" s="5">
        <f t="shared" si="495"/>
        <v>670</v>
      </c>
      <c r="N1092" s="6">
        <f t="shared" si="496"/>
        <v>53.685450000000003</v>
      </c>
      <c r="O1092">
        <f t="shared" si="497"/>
        <v>746.7</v>
      </c>
      <c r="P1092" s="7">
        <f t="shared" si="500"/>
        <v>13.908796517492171</v>
      </c>
      <c r="Q1092">
        <f>ROUNDUP(몬스터!$P$14/F1092, 0)</f>
        <v>10</v>
      </c>
      <c r="R1092" s="6">
        <f t="shared" si="498"/>
        <v>13.495276653171389</v>
      </c>
      <c r="S1092" s="7">
        <f>B1092/몬스터!$C$14*R1092</f>
        <v>229.41970310391363</v>
      </c>
      <c r="U1092">
        <f>ROUNDDOWN(R1092*몬스터!$H$14, 0)*몬스터!$G$14*(1+몬스터!$I$14)</f>
        <v>575.505</v>
      </c>
      <c r="V1092" s="2">
        <f t="shared" si="501"/>
        <v>0.77073121735636796</v>
      </c>
    </row>
    <row r="1093" spans="1:22" x14ac:dyDescent="0.4">
      <c r="A1093">
        <v>39</v>
      </c>
      <c r="B1093" s="4">
        <f>170*A1093</f>
        <v>6630</v>
      </c>
      <c r="C1093">
        <f t="shared" si="491"/>
        <v>580</v>
      </c>
      <c r="D1093">
        <f t="shared" si="492"/>
        <v>31</v>
      </c>
      <c r="E1093" s="2">
        <v>0</v>
      </c>
      <c r="F1093">
        <f t="shared" si="493"/>
        <v>71</v>
      </c>
      <c r="G1093">
        <f t="shared" si="494"/>
        <v>0.74299999999999999</v>
      </c>
      <c r="H1093" s="3">
        <f t="shared" si="499"/>
        <v>0.05</v>
      </c>
      <c r="I1093" s="2">
        <v>2</v>
      </c>
      <c r="J1093" s="2">
        <v>0</v>
      </c>
      <c r="K1093" s="2">
        <v>1</v>
      </c>
      <c r="L1093" s="16">
        <v>1</v>
      </c>
      <c r="M1093" s="5">
        <f t="shared" si="495"/>
        <v>680</v>
      </c>
      <c r="N1093" s="6">
        <f t="shared" si="496"/>
        <v>55.390650000000001</v>
      </c>
      <c r="O1093">
        <f t="shared" si="497"/>
        <v>759.80000000000007</v>
      </c>
      <c r="P1093" s="7">
        <f t="shared" si="500"/>
        <v>13.717116516957285</v>
      </c>
      <c r="Q1093">
        <f>ROUNDUP(몬스터!$P$14/F1093, 0)</f>
        <v>10</v>
      </c>
      <c r="R1093" s="6">
        <f t="shared" si="498"/>
        <v>13.458950201884253</v>
      </c>
      <c r="S1093" s="7">
        <f>B1093/몬스터!$C$14*R1093</f>
        <v>234.82326273287524</v>
      </c>
      <c r="U1093">
        <f>ROUNDDOWN(R1093*몬스터!$H$14, 0)*몬스터!$G$14*(1+몬스터!$I$14)</f>
        <v>575.505</v>
      </c>
      <c r="V1093" s="2">
        <f t="shared" si="501"/>
        <v>0.75744274809160295</v>
      </c>
    </row>
    <row r="1094" spans="1:22" x14ac:dyDescent="0.4">
      <c r="A1094">
        <v>40</v>
      </c>
      <c r="B1094" s="4">
        <f>170*A1094</f>
        <v>6800</v>
      </c>
      <c r="C1094">
        <f t="shared" si="491"/>
        <v>590</v>
      </c>
      <c r="D1094">
        <f t="shared" si="492"/>
        <v>32</v>
      </c>
      <c r="E1094" s="2">
        <v>0</v>
      </c>
      <c r="F1094">
        <f t="shared" si="493"/>
        <v>72</v>
      </c>
      <c r="G1094">
        <f t="shared" si="494"/>
        <v>0.745</v>
      </c>
      <c r="H1094" s="3">
        <f t="shared" si="499"/>
        <v>0.05</v>
      </c>
      <c r="I1094" s="2">
        <v>2</v>
      </c>
      <c r="J1094" s="2">
        <v>0</v>
      </c>
      <c r="K1094" s="2">
        <v>1</v>
      </c>
      <c r="L1094" s="16">
        <v>1</v>
      </c>
      <c r="M1094" s="5">
        <f t="shared" si="495"/>
        <v>690</v>
      </c>
      <c r="N1094" s="6">
        <f t="shared" si="496"/>
        <v>56.322000000000003</v>
      </c>
      <c r="O1094">
        <f t="shared" si="497"/>
        <v>778.80000000000007</v>
      </c>
      <c r="P1094" s="7">
        <f t="shared" si="500"/>
        <v>13.82763396186215</v>
      </c>
      <c r="Q1094">
        <f>ROUNDUP(몬스터!$P$14/F1094, 0)</f>
        <v>10</v>
      </c>
      <c r="R1094" s="6">
        <f t="shared" si="498"/>
        <v>13.422818791946309</v>
      </c>
      <c r="S1094" s="7">
        <f>B1094/몬스터!$C$14*R1094</f>
        <v>240.19780996114449</v>
      </c>
      <c r="T1094" s="7">
        <f t="shared" ref="T1094" si="507">SUM(S1090:S1094)</f>
        <v>1146.9522731892232</v>
      </c>
      <c r="U1094">
        <f>ROUNDDOWN(R1094*몬스터!$H$14, 0)*몬스터!$G$14*(1+몬스터!$I$14)</f>
        <v>575.505</v>
      </c>
      <c r="V1094" s="2">
        <f t="shared" si="501"/>
        <v>0.73896379044684124</v>
      </c>
    </row>
    <row r="1095" spans="1:22" x14ac:dyDescent="0.4">
      <c r="A1095">
        <v>41</v>
      </c>
      <c r="B1095" s="4">
        <f>160*A1095</f>
        <v>6560</v>
      </c>
      <c r="C1095">
        <f t="shared" si="491"/>
        <v>600</v>
      </c>
      <c r="D1095">
        <f t="shared" si="492"/>
        <v>32</v>
      </c>
      <c r="E1095" s="2">
        <v>0</v>
      </c>
      <c r="F1095">
        <f t="shared" si="493"/>
        <v>73</v>
      </c>
      <c r="G1095">
        <f t="shared" si="494"/>
        <v>0.747</v>
      </c>
      <c r="H1095" s="3">
        <f t="shared" si="499"/>
        <v>0.05</v>
      </c>
      <c r="I1095" s="2">
        <v>2</v>
      </c>
      <c r="J1095" s="2">
        <v>0</v>
      </c>
      <c r="K1095" s="2">
        <v>1</v>
      </c>
      <c r="L1095" s="16">
        <v>1</v>
      </c>
      <c r="M1095" s="5">
        <f t="shared" si="495"/>
        <v>700</v>
      </c>
      <c r="N1095" s="6">
        <f t="shared" si="496"/>
        <v>57.257550000000002</v>
      </c>
      <c r="O1095">
        <f t="shared" si="497"/>
        <v>792</v>
      </c>
      <c r="P1095" s="7">
        <f t="shared" si="500"/>
        <v>13.832236971368841</v>
      </c>
      <c r="Q1095">
        <f>ROUNDUP(몬스터!$P$17/F1095, 0)</f>
        <v>12</v>
      </c>
      <c r="R1095" s="6">
        <f t="shared" si="498"/>
        <v>16.064257028112451</v>
      </c>
      <c r="S1095" s="7">
        <f>B1095/몬스터!$C$17*R1095</f>
        <v>245.07331652190157</v>
      </c>
      <c r="U1095">
        <f>ROUNDDOWN(R1095*몬스터!$H$17, 0)*몬스터!$G$17*(1+몬스터!$I$17)</f>
        <v>805.86000000000013</v>
      </c>
      <c r="V1095" s="2">
        <f t="shared" si="501"/>
        <v>1.0175000000000001</v>
      </c>
    </row>
    <row r="1096" spans="1:22" x14ac:dyDescent="0.4">
      <c r="A1096">
        <v>42</v>
      </c>
      <c r="B1096" s="4">
        <f>160*A1096</f>
        <v>6720</v>
      </c>
      <c r="C1096">
        <f t="shared" si="491"/>
        <v>610</v>
      </c>
      <c r="D1096">
        <f t="shared" si="492"/>
        <v>32</v>
      </c>
      <c r="E1096" s="2">
        <v>0</v>
      </c>
      <c r="F1096">
        <f t="shared" si="493"/>
        <v>75</v>
      </c>
      <c r="G1096">
        <f t="shared" si="494"/>
        <v>0.749</v>
      </c>
      <c r="H1096" s="3">
        <f t="shared" si="499"/>
        <v>0.05</v>
      </c>
      <c r="I1096" s="2">
        <v>2</v>
      </c>
      <c r="J1096" s="2">
        <v>0</v>
      </c>
      <c r="K1096" s="2">
        <v>1</v>
      </c>
      <c r="L1096" s="16">
        <v>1</v>
      </c>
      <c r="M1096" s="5">
        <f t="shared" si="495"/>
        <v>710</v>
      </c>
      <c r="N1096" s="6">
        <f t="shared" si="496"/>
        <v>58.983750000000001</v>
      </c>
      <c r="O1096">
        <f t="shared" si="497"/>
        <v>805.2</v>
      </c>
      <c r="P1096" s="7">
        <f t="shared" si="500"/>
        <v>13.651217496344334</v>
      </c>
      <c r="Q1096">
        <f>ROUNDUP(몬스터!$P$17/F1096, 0)</f>
        <v>12</v>
      </c>
      <c r="R1096" s="6">
        <f t="shared" si="498"/>
        <v>16.021361815754339</v>
      </c>
      <c r="S1096" s="7">
        <f>B1096/몬스터!$C$17*R1096</f>
        <v>250.38035209737012</v>
      </c>
      <c r="U1096">
        <f>ROUNDDOWN(R1096*몬스터!$H$17, 0)*몬스터!$G$17*(1+몬스터!$I$17)</f>
        <v>805.86000000000013</v>
      </c>
      <c r="V1096" s="2">
        <f t="shared" si="501"/>
        <v>1.0008196721311478</v>
      </c>
    </row>
    <row r="1097" spans="1:22" x14ac:dyDescent="0.4">
      <c r="A1097">
        <v>43</v>
      </c>
      <c r="B1097" s="4">
        <f>160*A1097</f>
        <v>6880</v>
      </c>
      <c r="C1097">
        <f t="shared" si="491"/>
        <v>625</v>
      </c>
      <c r="D1097">
        <f t="shared" si="492"/>
        <v>32</v>
      </c>
      <c r="E1097" s="2">
        <v>0</v>
      </c>
      <c r="F1097">
        <f t="shared" si="493"/>
        <v>76</v>
      </c>
      <c r="G1097">
        <f t="shared" si="494"/>
        <v>0.751</v>
      </c>
      <c r="H1097" s="3">
        <f t="shared" si="499"/>
        <v>0.05</v>
      </c>
      <c r="I1097" s="2">
        <v>2</v>
      </c>
      <c r="J1097" s="2">
        <v>0</v>
      </c>
      <c r="K1097" s="2">
        <v>1</v>
      </c>
      <c r="L1097" s="16">
        <v>1</v>
      </c>
      <c r="M1097" s="5">
        <f t="shared" si="495"/>
        <v>720</v>
      </c>
      <c r="N1097" s="6">
        <f t="shared" si="496"/>
        <v>59.9298</v>
      </c>
      <c r="O1097">
        <f t="shared" si="497"/>
        <v>825</v>
      </c>
      <c r="P1097" s="7">
        <f t="shared" si="500"/>
        <v>13.766106344422974</v>
      </c>
      <c r="Q1097">
        <f>ROUNDUP(몬스터!$P$17/F1097, 0)</f>
        <v>11</v>
      </c>
      <c r="R1097" s="6">
        <f t="shared" si="498"/>
        <v>14.647137150466046</v>
      </c>
      <c r="S1097" s="7">
        <f>B1097/몬스터!$C$17*R1097</f>
        <v>234.35419440745673</v>
      </c>
      <c r="U1097">
        <f>ROUNDDOWN(R1097*몬스터!$H$17, 0)*몬스터!$G$17*(1+몬스터!$I$17)</f>
        <v>732.6</v>
      </c>
      <c r="V1097" s="2">
        <f t="shared" si="501"/>
        <v>0.88800000000000001</v>
      </c>
    </row>
    <row r="1098" spans="1:22" x14ac:dyDescent="0.4">
      <c r="A1098">
        <v>44</v>
      </c>
      <c r="B1098" s="4">
        <f>160*A1098</f>
        <v>7040</v>
      </c>
      <c r="C1098">
        <f t="shared" si="491"/>
        <v>635</v>
      </c>
      <c r="D1098">
        <f t="shared" si="492"/>
        <v>33</v>
      </c>
      <c r="E1098" s="2">
        <v>0</v>
      </c>
      <c r="F1098">
        <f t="shared" si="493"/>
        <v>77</v>
      </c>
      <c r="G1098">
        <f t="shared" si="494"/>
        <v>0.753</v>
      </c>
      <c r="H1098" s="3">
        <f t="shared" si="499"/>
        <v>0.05</v>
      </c>
      <c r="I1098" s="2">
        <v>2</v>
      </c>
      <c r="J1098" s="2">
        <v>0</v>
      </c>
      <c r="K1098" s="2">
        <v>1</v>
      </c>
      <c r="L1098" s="16">
        <v>1</v>
      </c>
      <c r="M1098" s="5">
        <f t="shared" si="495"/>
        <v>730</v>
      </c>
      <c r="N1098" s="6">
        <f t="shared" si="496"/>
        <v>60.880050000000004</v>
      </c>
      <c r="O1098">
        <f t="shared" si="497"/>
        <v>844.55000000000007</v>
      </c>
      <c r="P1098" s="7">
        <f t="shared" si="500"/>
        <v>13.872360485906302</v>
      </c>
      <c r="Q1098">
        <f>ROUNDUP(몬스터!$P$17/F1098, 0)</f>
        <v>11</v>
      </c>
      <c r="R1098" s="6">
        <f t="shared" si="498"/>
        <v>14.608233731739707</v>
      </c>
      <c r="S1098" s="7">
        <f>B1098/몬스터!$C$17*R1098</f>
        <v>239.16736156150591</v>
      </c>
      <c r="U1098">
        <f>ROUNDDOWN(R1098*몬스터!$H$17, 0)*몬스터!$G$17*(1+몬스터!$I$17)</f>
        <v>732.6</v>
      </c>
      <c r="V1098" s="2">
        <f t="shared" si="501"/>
        <v>0.86744420105381559</v>
      </c>
    </row>
    <row r="1099" spans="1:22" x14ac:dyDescent="0.4">
      <c r="A1099">
        <v>45</v>
      </c>
      <c r="B1099" s="4">
        <f>160*A1099</f>
        <v>7200</v>
      </c>
      <c r="C1099">
        <f t="shared" si="491"/>
        <v>645</v>
      </c>
      <c r="D1099">
        <f t="shared" si="492"/>
        <v>33</v>
      </c>
      <c r="E1099" s="2">
        <v>0</v>
      </c>
      <c r="F1099">
        <f t="shared" si="493"/>
        <v>79</v>
      </c>
      <c r="G1099">
        <f t="shared" si="494"/>
        <v>0.755</v>
      </c>
      <c r="H1099" s="3">
        <f t="shared" si="499"/>
        <v>0.05</v>
      </c>
      <c r="I1099" s="2">
        <v>2</v>
      </c>
      <c r="J1099" s="2">
        <v>0</v>
      </c>
      <c r="K1099" s="2">
        <v>1</v>
      </c>
      <c r="L1099" s="16">
        <v>1</v>
      </c>
      <c r="M1099" s="5">
        <f t="shared" si="495"/>
        <v>740</v>
      </c>
      <c r="N1099" s="6">
        <f t="shared" si="496"/>
        <v>62.627250000000004</v>
      </c>
      <c r="O1099">
        <f t="shared" si="497"/>
        <v>857.85</v>
      </c>
      <c r="P1099" s="7">
        <f t="shared" si="500"/>
        <v>13.697711459468522</v>
      </c>
      <c r="Q1099">
        <f>ROUNDUP(몬스터!$P$17/F1099, 0)</f>
        <v>11</v>
      </c>
      <c r="R1099" s="6">
        <f t="shared" si="498"/>
        <v>14.569536423841059</v>
      </c>
      <c r="S1099" s="7">
        <f>B1099/몬스터!$C$17*R1099</f>
        <v>243.9550284922224</v>
      </c>
      <c r="T1099" s="7">
        <f t="shared" ref="T1099" si="508">SUM(S1095:S1099)</f>
        <v>1212.9302530804569</v>
      </c>
      <c r="U1099">
        <f>ROUNDDOWN(R1099*몬스터!$H$17, 0)*몬스터!$G$17*(1+몬스터!$I$17)</f>
        <v>732.6</v>
      </c>
      <c r="V1099" s="2">
        <f t="shared" si="501"/>
        <v>0.85399545375065566</v>
      </c>
    </row>
    <row r="1100" spans="1:22" x14ac:dyDescent="0.4">
      <c r="A1100">
        <v>46</v>
      </c>
      <c r="B1100" s="4">
        <f>170*A1100-620</f>
        <v>7200</v>
      </c>
      <c r="C1100">
        <f t="shared" si="491"/>
        <v>655</v>
      </c>
      <c r="D1100">
        <f t="shared" si="492"/>
        <v>33</v>
      </c>
      <c r="E1100" s="2">
        <v>0</v>
      </c>
      <c r="F1100">
        <f t="shared" si="493"/>
        <v>80</v>
      </c>
      <c r="G1100">
        <f t="shared" si="494"/>
        <v>0.75700000000000001</v>
      </c>
      <c r="H1100" s="3">
        <f t="shared" si="499"/>
        <v>0.05</v>
      </c>
      <c r="I1100" s="2">
        <v>2</v>
      </c>
      <c r="J1100" s="2">
        <v>0</v>
      </c>
      <c r="K1100" s="2">
        <v>1</v>
      </c>
      <c r="L1100" s="16">
        <v>1</v>
      </c>
      <c r="M1100" s="5">
        <f t="shared" si="495"/>
        <v>750</v>
      </c>
      <c r="N1100" s="6">
        <f t="shared" si="496"/>
        <v>63.588000000000008</v>
      </c>
      <c r="O1100">
        <f t="shared" si="497"/>
        <v>871.15000000000009</v>
      </c>
      <c r="P1100" s="7">
        <f t="shared" si="500"/>
        <v>13.699911933069131</v>
      </c>
      <c r="Q1100">
        <f>ROUNDUP(몬스터!$P$18/F1100, 0)</f>
        <v>12</v>
      </c>
      <c r="R1100" s="6">
        <f t="shared" si="498"/>
        <v>15.852047556142669</v>
      </c>
      <c r="S1100" s="7">
        <f>B1100/몬스터!$C$18*R1100</f>
        <v>237.78071334214002</v>
      </c>
      <c r="U1100">
        <f>ROUNDDOWN(R1100*몬스터!$H$18, 0)*몬스터!$G$18*(1+몬스터!$I$18)</f>
        <v>897.35249999999996</v>
      </c>
      <c r="V1100" s="2">
        <f t="shared" si="501"/>
        <v>1.030078057739769</v>
      </c>
    </row>
    <row r="1101" spans="1:22" x14ac:dyDescent="0.4">
      <c r="A1101">
        <v>47</v>
      </c>
      <c r="B1101" s="4">
        <f>170*A1101</f>
        <v>7990</v>
      </c>
      <c r="C1101">
        <f t="shared" si="491"/>
        <v>665</v>
      </c>
      <c r="D1101">
        <f t="shared" si="492"/>
        <v>34</v>
      </c>
      <c r="E1101" s="2">
        <v>0</v>
      </c>
      <c r="F1101">
        <f t="shared" si="493"/>
        <v>81</v>
      </c>
      <c r="G1101">
        <f t="shared" si="494"/>
        <v>0.75900000000000001</v>
      </c>
      <c r="H1101" s="3">
        <f t="shared" si="499"/>
        <v>0.05</v>
      </c>
      <c r="I1101" s="2">
        <v>2</v>
      </c>
      <c r="J1101" s="2">
        <v>0</v>
      </c>
      <c r="K1101" s="2">
        <v>1</v>
      </c>
      <c r="L1101" s="16">
        <v>1</v>
      </c>
      <c r="M1101" s="5">
        <f t="shared" si="495"/>
        <v>760</v>
      </c>
      <c r="N1101" s="6">
        <f t="shared" si="496"/>
        <v>64.552949999999996</v>
      </c>
      <c r="O1101">
        <f t="shared" si="497"/>
        <v>891.1</v>
      </c>
      <c r="P1101" s="7">
        <f t="shared" si="500"/>
        <v>13.804171614155512</v>
      </c>
      <c r="Q1101">
        <f>ROUNDUP(몬스터!$P$18/F1101, 0)</f>
        <v>12</v>
      </c>
      <c r="R1101" s="6">
        <f t="shared" si="498"/>
        <v>15.810276679841897</v>
      </c>
      <c r="S1101" s="7">
        <f>B1101/몬스터!$C$18*R1101</f>
        <v>263.17523056653488</v>
      </c>
      <c r="U1101">
        <f>ROUNDDOWN(R1101*몬스터!$H$18, 0)*몬스터!$G$18*(1+몬스터!$I$18)</f>
        <v>897.35249999999996</v>
      </c>
      <c r="V1101" s="2">
        <f t="shared" si="501"/>
        <v>1.0070166086858938</v>
      </c>
    </row>
    <row r="1102" spans="1:22" x14ac:dyDescent="0.4">
      <c r="A1102">
        <v>48</v>
      </c>
      <c r="B1102" s="4">
        <f>170*A1102</f>
        <v>8160</v>
      </c>
      <c r="C1102">
        <f t="shared" si="491"/>
        <v>680</v>
      </c>
      <c r="D1102">
        <f t="shared" si="492"/>
        <v>34</v>
      </c>
      <c r="E1102" s="2">
        <v>0</v>
      </c>
      <c r="F1102">
        <f t="shared" si="493"/>
        <v>83</v>
      </c>
      <c r="G1102">
        <f t="shared" si="494"/>
        <v>0.76100000000000001</v>
      </c>
      <c r="H1102" s="3">
        <f t="shared" si="499"/>
        <v>0.05</v>
      </c>
      <c r="I1102" s="2">
        <v>2</v>
      </c>
      <c r="J1102" s="2">
        <v>0</v>
      </c>
      <c r="K1102" s="2">
        <v>1</v>
      </c>
      <c r="L1102" s="16">
        <v>1</v>
      </c>
      <c r="M1102" s="5">
        <f t="shared" si="495"/>
        <v>770</v>
      </c>
      <c r="N1102" s="6">
        <f t="shared" si="496"/>
        <v>66.321150000000003</v>
      </c>
      <c r="O1102">
        <f t="shared" si="497"/>
        <v>911.2</v>
      </c>
      <c r="P1102" s="7">
        <f t="shared" si="500"/>
        <v>13.739206874428444</v>
      </c>
      <c r="Q1102">
        <f>ROUNDUP(몬스터!$P$18/F1102, 0)</f>
        <v>12</v>
      </c>
      <c r="R1102" s="6">
        <f t="shared" si="498"/>
        <v>15.768725361366622</v>
      </c>
      <c r="S1102" s="7">
        <f>B1102/몬스터!$C$18*R1102</f>
        <v>268.06833114323257</v>
      </c>
      <c r="U1102">
        <f>ROUNDDOWN(R1102*몬스터!$H$18, 0)*몬스터!$G$18*(1+몬스터!$I$18)</f>
        <v>897.35249999999996</v>
      </c>
      <c r="V1102" s="2">
        <f t="shared" si="501"/>
        <v>0.98480300702370493</v>
      </c>
    </row>
    <row r="1103" spans="1:22" x14ac:dyDescent="0.4">
      <c r="A1103">
        <v>49</v>
      </c>
      <c r="B1103" s="4">
        <f>170*A1103</f>
        <v>8330</v>
      </c>
      <c r="C1103">
        <f t="shared" si="491"/>
        <v>690</v>
      </c>
      <c r="D1103">
        <f t="shared" si="492"/>
        <v>34</v>
      </c>
      <c r="E1103" s="2">
        <v>0</v>
      </c>
      <c r="F1103">
        <f t="shared" si="493"/>
        <v>84</v>
      </c>
      <c r="G1103">
        <f t="shared" si="494"/>
        <v>0.76300000000000001</v>
      </c>
      <c r="H1103" s="3">
        <f t="shared" si="499"/>
        <v>0.05</v>
      </c>
      <c r="I1103" s="2">
        <v>2</v>
      </c>
      <c r="J1103" s="2">
        <v>0</v>
      </c>
      <c r="K1103" s="2">
        <v>1</v>
      </c>
      <c r="L1103" s="16">
        <v>1</v>
      </c>
      <c r="M1103" s="5">
        <f t="shared" si="495"/>
        <v>780</v>
      </c>
      <c r="N1103" s="6">
        <f t="shared" si="496"/>
        <v>67.296599999999998</v>
      </c>
      <c r="O1103">
        <f t="shared" si="497"/>
        <v>924.6</v>
      </c>
      <c r="P1103" s="7">
        <f t="shared" si="500"/>
        <v>13.739178502331471</v>
      </c>
      <c r="Q1103">
        <f>ROUNDUP(몬스터!$P$18/F1103, 0)</f>
        <v>12</v>
      </c>
      <c r="R1103" s="6">
        <f t="shared" si="498"/>
        <v>15.727391874180865</v>
      </c>
      <c r="S1103" s="7">
        <f>B1103/몬스터!$C$18*R1103</f>
        <v>272.93577981651379</v>
      </c>
      <c r="U1103">
        <f>ROUNDDOWN(R1103*몬스터!$H$18, 0)*몬스터!$G$18*(1+몬스터!$I$18)</f>
        <v>897.35249999999996</v>
      </c>
      <c r="V1103" s="2">
        <f t="shared" si="501"/>
        <v>0.97053049967553529</v>
      </c>
    </row>
    <row r="1104" spans="1:22" x14ac:dyDescent="0.4">
      <c r="A1104">
        <v>50</v>
      </c>
      <c r="B1104" s="4">
        <f>170*A1104</f>
        <v>8500</v>
      </c>
      <c r="C1104">
        <f t="shared" si="491"/>
        <v>700</v>
      </c>
      <c r="D1104">
        <f t="shared" si="492"/>
        <v>35</v>
      </c>
      <c r="E1104" s="2">
        <v>0</v>
      </c>
      <c r="F1104">
        <f t="shared" si="493"/>
        <v>85</v>
      </c>
      <c r="G1104">
        <f t="shared" si="494"/>
        <v>0.76500000000000001</v>
      </c>
      <c r="H1104" s="3">
        <f t="shared" si="499"/>
        <v>0.05</v>
      </c>
      <c r="I1104" s="2">
        <v>2</v>
      </c>
      <c r="J1104" s="2">
        <v>0</v>
      </c>
      <c r="K1104" s="2">
        <v>1</v>
      </c>
      <c r="L1104" s="16">
        <v>1</v>
      </c>
      <c r="M1104" s="5">
        <f t="shared" si="495"/>
        <v>790</v>
      </c>
      <c r="N1104" s="6">
        <f t="shared" si="496"/>
        <v>68.276250000000005</v>
      </c>
      <c r="O1104">
        <f t="shared" si="497"/>
        <v>945.00000000000011</v>
      </c>
      <c r="P1104" s="7">
        <f t="shared" si="500"/>
        <v>13.84083044982699</v>
      </c>
      <c r="Q1104">
        <f>ROUNDUP(몬스터!$P$18/F1104, 0)</f>
        <v>12</v>
      </c>
      <c r="R1104" s="6">
        <f t="shared" si="498"/>
        <v>15.686274509803921</v>
      </c>
      <c r="S1104" s="7">
        <f>B1104/몬스터!$C$18*R1104</f>
        <v>277.77777777777777</v>
      </c>
      <c r="T1104" s="7">
        <f t="shared" ref="T1104" si="509">SUM(S1100:S1104)</f>
        <v>1319.737832646199</v>
      </c>
      <c r="U1104">
        <f>ROUNDDOWN(R1104*몬스터!$H$18, 0)*몬스터!$G$18*(1+몬스터!$I$18)</f>
        <v>897.35249999999996</v>
      </c>
      <c r="V1104" s="2">
        <f t="shared" si="501"/>
        <v>0.94957936507936491</v>
      </c>
    </row>
    <row r="1105" spans="1:22" x14ac:dyDescent="0.4">
      <c r="A1105">
        <v>51</v>
      </c>
      <c r="B1105" s="4">
        <f>160*A1105</f>
        <v>8160</v>
      </c>
      <c r="C1105">
        <f t="shared" si="491"/>
        <v>710</v>
      </c>
      <c r="D1105">
        <f t="shared" si="492"/>
        <v>35</v>
      </c>
      <c r="E1105" s="2">
        <v>0</v>
      </c>
      <c r="F1105">
        <f t="shared" si="493"/>
        <v>87</v>
      </c>
      <c r="G1105">
        <f t="shared" si="494"/>
        <v>0.76700000000000002</v>
      </c>
      <c r="H1105" s="3">
        <f t="shared" si="499"/>
        <v>0.05</v>
      </c>
      <c r="I1105" s="2">
        <v>2</v>
      </c>
      <c r="J1105" s="2">
        <v>0</v>
      </c>
      <c r="K1105" s="2">
        <v>1</v>
      </c>
      <c r="L1105" s="16">
        <v>1</v>
      </c>
      <c r="M1105" s="5">
        <f t="shared" si="495"/>
        <v>800</v>
      </c>
      <c r="N1105" s="6">
        <f t="shared" si="496"/>
        <v>70.065449999999998</v>
      </c>
      <c r="O1105">
        <f t="shared" si="497"/>
        <v>958.50000000000011</v>
      </c>
      <c r="P1105" s="7">
        <f t="shared" si="500"/>
        <v>13.680066280884517</v>
      </c>
      <c r="Q1105">
        <f>ROUNDUP(몬스터!$P$19/F1105, 0)</f>
        <v>13</v>
      </c>
      <c r="R1105" s="6">
        <f t="shared" si="498"/>
        <v>16.949152542372882</v>
      </c>
      <c r="S1105" s="7">
        <f>B1105/몬스터!$C$19*R1105</f>
        <v>260.95299008634476</v>
      </c>
      <c r="U1105">
        <f>ROUNDDOWN(R1105*몬스터!$H$19, 0)*몬스터!$G$19*(1+몬스터!$I$19)</f>
        <v>1093.5</v>
      </c>
      <c r="V1105" s="2">
        <f t="shared" si="501"/>
        <v>1.140845070422535</v>
      </c>
    </row>
    <row r="1106" spans="1:22" x14ac:dyDescent="0.4">
      <c r="A1106">
        <v>52</v>
      </c>
      <c r="B1106" s="4">
        <f>160*A1106</f>
        <v>8320</v>
      </c>
      <c r="C1106">
        <f t="shared" si="491"/>
        <v>720</v>
      </c>
      <c r="D1106">
        <f t="shared" si="492"/>
        <v>35</v>
      </c>
      <c r="E1106" s="2">
        <v>0</v>
      </c>
      <c r="F1106">
        <f t="shared" si="493"/>
        <v>88</v>
      </c>
      <c r="G1106">
        <f t="shared" si="494"/>
        <v>0.76900000000000002</v>
      </c>
      <c r="H1106" s="3">
        <f t="shared" si="499"/>
        <v>0.05</v>
      </c>
      <c r="I1106" s="2">
        <v>2</v>
      </c>
      <c r="J1106" s="2">
        <v>0</v>
      </c>
      <c r="K1106" s="2">
        <v>1</v>
      </c>
      <c r="L1106" s="16">
        <v>1</v>
      </c>
      <c r="M1106" s="5">
        <f t="shared" si="495"/>
        <v>810</v>
      </c>
      <c r="N1106" s="6">
        <f t="shared" si="496"/>
        <v>71.055599999999998</v>
      </c>
      <c r="O1106">
        <f t="shared" si="497"/>
        <v>972.00000000000011</v>
      </c>
      <c r="P1106" s="7">
        <f t="shared" si="500"/>
        <v>13.67942850387584</v>
      </c>
      <c r="Q1106">
        <f>ROUNDUP(몬스터!$P$19/F1106, 0)</f>
        <v>13</v>
      </c>
      <c r="R1106" s="6">
        <f t="shared" si="498"/>
        <v>16.905071521456435</v>
      </c>
      <c r="S1106" s="7">
        <f>B1106/몬스터!$C$19*R1106</f>
        <v>265.37772652550478</v>
      </c>
      <c r="U1106">
        <f>ROUNDDOWN(R1106*몬스터!$H$19, 0)*몬스터!$G$19*(1+몬스터!$I$19)</f>
        <v>1093.5</v>
      </c>
      <c r="V1106" s="2">
        <f t="shared" si="501"/>
        <v>1.1249999999999998</v>
      </c>
    </row>
    <row r="1107" spans="1:22" x14ac:dyDescent="0.4">
      <c r="A1107">
        <v>53</v>
      </c>
      <c r="B1107" s="4">
        <f>160*A1107</f>
        <v>8480</v>
      </c>
      <c r="C1107">
        <f t="shared" si="491"/>
        <v>735</v>
      </c>
      <c r="D1107">
        <f t="shared" si="492"/>
        <v>35</v>
      </c>
      <c r="E1107" s="2">
        <v>0</v>
      </c>
      <c r="F1107">
        <f t="shared" si="493"/>
        <v>89</v>
      </c>
      <c r="G1107">
        <f t="shared" si="494"/>
        <v>0.77100000000000002</v>
      </c>
      <c r="H1107" s="3">
        <f t="shared" si="499"/>
        <v>0.05</v>
      </c>
      <c r="I1107" s="2">
        <v>2</v>
      </c>
      <c r="J1107" s="2">
        <v>0</v>
      </c>
      <c r="K1107" s="2">
        <v>1</v>
      </c>
      <c r="L1107" s="16">
        <v>1</v>
      </c>
      <c r="M1107" s="5">
        <f t="shared" si="495"/>
        <v>820</v>
      </c>
      <c r="N1107" s="6">
        <f t="shared" si="496"/>
        <v>72.04995000000001</v>
      </c>
      <c r="O1107">
        <f t="shared" si="497"/>
        <v>992.25000000000011</v>
      </c>
      <c r="P1107" s="7">
        <f t="shared" si="500"/>
        <v>13.771695885979101</v>
      </c>
      <c r="Q1107">
        <f>ROUNDUP(몬스터!$P$19/F1107, 0)</f>
        <v>13</v>
      </c>
      <c r="R1107" s="6">
        <f t="shared" si="498"/>
        <v>16.861219195849547</v>
      </c>
      <c r="S1107" s="7">
        <f>B1107/몬스터!$C$19*R1107</f>
        <v>269.77950713359274</v>
      </c>
      <c r="U1107">
        <f>ROUNDDOWN(R1107*몬스터!$H$19, 0)*몬스터!$G$19*(1+몬스터!$I$19)</f>
        <v>1093.5</v>
      </c>
      <c r="V1107" s="2">
        <f t="shared" si="501"/>
        <v>1.1020408163265305</v>
      </c>
    </row>
    <row r="1108" spans="1:22" x14ac:dyDescent="0.4">
      <c r="A1108">
        <v>54</v>
      </c>
      <c r="B1108" s="4">
        <f>160*A1108</f>
        <v>8640</v>
      </c>
      <c r="C1108">
        <f t="shared" si="491"/>
        <v>745</v>
      </c>
      <c r="D1108">
        <f t="shared" si="492"/>
        <v>36</v>
      </c>
      <c r="E1108" s="2">
        <v>0</v>
      </c>
      <c r="F1108">
        <f t="shared" si="493"/>
        <v>91</v>
      </c>
      <c r="G1108">
        <f t="shared" si="494"/>
        <v>0.77300000000000002</v>
      </c>
      <c r="H1108" s="3">
        <f t="shared" si="499"/>
        <v>0.05</v>
      </c>
      <c r="I1108" s="2">
        <v>2</v>
      </c>
      <c r="J1108" s="2">
        <v>0</v>
      </c>
      <c r="K1108" s="2">
        <v>1</v>
      </c>
      <c r="L1108" s="16">
        <v>1</v>
      </c>
      <c r="M1108" s="5">
        <f t="shared" si="495"/>
        <v>830</v>
      </c>
      <c r="N1108" s="6">
        <f t="shared" si="496"/>
        <v>73.860150000000004</v>
      </c>
      <c r="O1108">
        <f t="shared" si="497"/>
        <v>1013.1999999999999</v>
      </c>
      <c r="P1108" s="7">
        <f t="shared" si="500"/>
        <v>13.717816711718022</v>
      </c>
      <c r="Q1108">
        <f>ROUNDUP(몬스터!$P$19/F1108, 0)</f>
        <v>12</v>
      </c>
      <c r="R1108" s="6">
        <f t="shared" si="498"/>
        <v>15.523932729624837</v>
      </c>
      <c r="S1108" s="7">
        <f>B1108/몬스터!$C$19*R1108</f>
        <v>253.06939393199735</v>
      </c>
      <c r="U1108">
        <f>ROUNDDOWN(R1108*몬스터!$H$19, 0)*몬스터!$G$19*(1+몬스터!$I$19)</f>
        <v>1002.375</v>
      </c>
      <c r="V1108" s="2">
        <f t="shared" si="501"/>
        <v>0.98931602842479283</v>
      </c>
    </row>
    <row r="1109" spans="1:22" x14ac:dyDescent="0.4">
      <c r="A1109">
        <v>55</v>
      </c>
      <c r="B1109" s="4">
        <f>160*A1109</f>
        <v>8800</v>
      </c>
      <c r="C1109">
        <f t="shared" si="491"/>
        <v>755</v>
      </c>
      <c r="D1109">
        <f t="shared" si="492"/>
        <v>36</v>
      </c>
      <c r="E1109" s="2">
        <v>0</v>
      </c>
      <c r="F1109">
        <f t="shared" si="493"/>
        <v>92</v>
      </c>
      <c r="G1109">
        <f t="shared" si="494"/>
        <v>0.77500000000000002</v>
      </c>
      <c r="H1109" s="3">
        <f t="shared" si="499"/>
        <v>0.05</v>
      </c>
      <c r="I1109" s="2">
        <v>2</v>
      </c>
      <c r="J1109" s="2">
        <v>0</v>
      </c>
      <c r="K1109" s="2">
        <v>1</v>
      </c>
      <c r="L1109" s="16">
        <v>1</v>
      </c>
      <c r="M1109" s="5">
        <f t="shared" si="495"/>
        <v>840</v>
      </c>
      <c r="N1109" s="6">
        <f t="shared" si="496"/>
        <v>74.864999999999995</v>
      </c>
      <c r="O1109">
        <f t="shared" si="497"/>
        <v>1026.8</v>
      </c>
      <c r="P1109" s="7">
        <f t="shared" si="500"/>
        <v>13.715354304414614</v>
      </c>
      <c r="Q1109">
        <f>ROUNDUP(몬스터!$P$19/F1109, 0)</f>
        <v>12</v>
      </c>
      <c r="R1109" s="6">
        <f t="shared" si="498"/>
        <v>15.483870967741934</v>
      </c>
      <c r="S1109" s="7">
        <f>B1109/몬스터!$C$19*R1109</f>
        <v>257.09068776628118</v>
      </c>
      <c r="T1109" s="7">
        <f t="shared" ref="T1109" si="510">SUM(S1105:S1109)</f>
        <v>1306.2703054437209</v>
      </c>
      <c r="U1109">
        <f>ROUNDDOWN(R1109*몬스터!$H$19, 0)*몬스터!$G$19*(1+몬스터!$I$19)</f>
        <v>1002.375</v>
      </c>
      <c r="V1109" s="2">
        <f t="shared" si="501"/>
        <v>0.97621250486949751</v>
      </c>
    </row>
    <row r="1110" spans="1:22" x14ac:dyDescent="0.4">
      <c r="A1110">
        <v>56</v>
      </c>
      <c r="B1110" s="4">
        <f>170*A1110</f>
        <v>9520</v>
      </c>
      <c r="C1110">
        <f t="shared" si="491"/>
        <v>765</v>
      </c>
      <c r="D1110">
        <f t="shared" si="492"/>
        <v>36</v>
      </c>
      <c r="E1110" s="2">
        <v>0</v>
      </c>
      <c r="F1110">
        <f t="shared" si="493"/>
        <v>93</v>
      </c>
      <c r="G1110">
        <f t="shared" si="494"/>
        <v>0.77700000000000002</v>
      </c>
      <c r="H1110" s="3">
        <f t="shared" si="499"/>
        <v>0.05</v>
      </c>
      <c r="I1110" s="2">
        <v>2</v>
      </c>
      <c r="J1110" s="2">
        <v>0</v>
      </c>
      <c r="K1110" s="2">
        <v>1</v>
      </c>
      <c r="L1110" s="16">
        <v>1</v>
      </c>
      <c r="M1110" s="5">
        <f t="shared" si="495"/>
        <v>850</v>
      </c>
      <c r="N1110" s="6">
        <f t="shared" si="496"/>
        <v>75.874049999999997</v>
      </c>
      <c r="O1110">
        <f t="shared" si="497"/>
        <v>1040.3999999999999</v>
      </c>
      <c r="P1110" s="7">
        <f t="shared" si="500"/>
        <v>13.712198043995278</v>
      </c>
      <c r="Q1110">
        <f>ROUNDUP(몬스터!$P$20/F1110, 0)</f>
        <v>13</v>
      </c>
      <c r="R1110" s="6">
        <f t="shared" si="498"/>
        <v>16.73101673101673</v>
      </c>
      <c r="S1110" s="7">
        <f>B1110/몬스터!$C$20*R1110</f>
        <v>274.61944703324014</v>
      </c>
      <c r="U1110">
        <f>ROUNDDOWN(R1110*몬스터!$H$20, 0)*몬스터!$G$20*(1+몬스터!$I$20)</f>
        <v>1195.92</v>
      </c>
      <c r="V1110" s="2">
        <f t="shared" si="501"/>
        <v>1.1494809688581318</v>
      </c>
    </row>
    <row r="1111" spans="1:22" x14ac:dyDescent="0.4">
      <c r="A1111">
        <v>57</v>
      </c>
      <c r="B1111" s="4">
        <f>170*A1111</f>
        <v>9690</v>
      </c>
      <c r="C1111">
        <f t="shared" si="491"/>
        <v>775</v>
      </c>
      <c r="D1111">
        <f t="shared" si="492"/>
        <v>37</v>
      </c>
      <c r="E1111" s="2">
        <v>0</v>
      </c>
      <c r="F1111">
        <f t="shared" si="493"/>
        <v>95</v>
      </c>
      <c r="G1111">
        <f t="shared" si="494"/>
        <v>0.77900000000000003</v>
      </c>
      <c r="H1111" s="3">
        <f t="shared" si="499"/>
        <v>0.05</v>
      </c>
      <c r="I1111" s="2">
        <v>2</v>
      </c>
      <c r="J1111" s="2">
        <v>0</v>
      </c>
      <c r="K1111" s="2">
        <v>1</v>
      </c>
      <c r="L1111" s="16">
        <v>1</v>
      </c>
      <c r="M1111" s="5">
        <f t="shared" si="495"/>
        <v>860</v>
      </c>
      <c r="N1111" s="6">
        <f t="shared" si="496"/>
        <v>77.705249999999992</v>
      </c>
      <c r="O1111">
        <f t="shared" si="497"/>
        <v>1061.75</v>
      </c>
      <c r="P1111" s="7">
        <f t="shared" si="500"/>
        <v>13.663812934132508</v>
      </c>
      <c r="Q1111">
        <f>ROUNDUP(몬스터!$P$20/F1111, 0)</f>
        <v>13</v>
      </c>
      <c r="R1111" s="6">
        <f t="shared" si="498"/>
        <v>16.688061617458278</v>
      </c>
      <c r="S1111" s="7">
        <f>B1111/몬스터!$C$20*R1111</f>
        <v>278.80571909167367</v>
      </c>
      <c r="U1111">
        <f>ROUNDDOWN(R1111*몬스터!$H$20, 0)*몬스터!$G$20*(1+몬스터!$I$20)</f>
        <v>1195.92</v>
      </c>
      <c r="V1111" s="2">
        <f t="shared" si="501"/>
        <v>1.1263668471862491</v>
      </c>
    </row>
    <row r="1112" spans="1:22" x14ac:dyDescent="0.4">
      <c r="A1112">
        <v>58</v>
      </c>
      <c r="B1112" s="4">
        <f>170*A1112</f>
        <v>9860</v>
      </c>
      <c r="C1112">
        <f t="shared" si="491"/>
        <v>790</v>
      </c>
      <c r="D1112">
        <f t="shared" si="492"/>
        <v>37</v>
      </c>
      <c r="E1112" s="2">
        <v>0</v>
      </c>
      <c r="F1112">
        <f t="shared" si="493"/>
        <v>96</v>
      </c>
      <c r="G1112">
        <f t="shared" si="494"/>
        <v>0.78100000000000003</v>
      </c>
      <c r="H1112" s="3">
        <f t="shared" si="499"/>
        <v>0.05</v>
      </c>
      <c r="I1112" s="2">
        <v>2</v>
      </c>
      <c r="J1112" s="2">
        <v>0</v>
      </c>
      <c r="K1112" s="2">
        <v>1</v>
      </c>
      <c r="L1112" s="16">
        <v>1</v>
      </c>
      <c r="M1112" s="5">
        <f t="shared" si="495"/>
        <v>870</v>
      </c>
      <c r="N1112" s="6">
        <f t="shared" si="496"/>
        <v>78.724800000000002</v>
      </c>
      <c r="O1112">
        <f t="shared" si="497"/>
        <v>1082.3000000000002</v>
      </c>
      <c r="P1112" s="7">
        <f t="shared" si="500"/>
        <v>13.747891388736461</v>
      </c>
      <c r="Q1112">
        <f>ROUNDUP(몬스터!$P$20/F1112, 0)</f>
        <v>13</v>
      </c>
      <c r="R1112" s="6">
        <f t="shared" si="498"/>
        <v>16.645326504481435</v>
      </c>
      <c r="S1112" s="7">
        <f>B1112/몬스터!$C$20*R1112</f>
        <v>282.97055057618439</v>
      </c>
      <c r="U1112">
        <f>ROUNDDOWN(R1112*몬스터!$H$20, 0)*몬스터!$G$20*(1+몬스터!$I$20)</f>
        <v>1195.92</v>
      </c>
      <c r="V1112" s="2">
        <f t="shared" si="501"/>
        <v>1.1049801348979025</v>
      </c>
    </row>
    <row r="1113" spans="1:22" x14ac:dyDescent="0.4">
      <c r="A1113">
        <v>59</v>
      </c>
      <c r="B1113" s="4">
        <f>170*A1113</f>
        <v>10030</v>
      </c>
      <c r="C1113">
        <f t="shared" si="491"/>
        <v>800</v>
      </c>
      <c r="D1113">
        <f t="shared" si="492"/>
        <v>37</v>
      </c>
      <c r="E1113" s="2">
        <v>0</v>
      </c>
      <c r="F1113">
        <f t="shared" si="493"/>
        <v>97</v>
      </c>
      <c r="G1113">
        <f t="shared" si="494"/>
        <v>0.78300000000000003</v>
      </c>
      <c r="H1113" s="3">
        <f t="shared" si="499"/>
        <v>0.05</v>
      </c>
      <c r="I1113" s="2">
        <v>2</v>
      </c>
      <c r="J1113" s="2">
        <v>0</v>
      </c>
      <c r="K1113" s="2">
        <v>1</v>
      </c>
      <c r="L1113" s="16">
        <v>1</v>
      </c>
      <c r="M1113" s="5">
        <f t="shared" si="495"/>
        <v>880</v>
      </c>
      <c r="N1113" s="6">
        <f t="shared" si="496"/>
        <v>79.748550000000009</v>
      </c>
      <c r="O1113">
        <f t="shared" si="497"/>
        <v>1096</v>
      </c>
      <c r="P1113" s="7">
        <f t="shared" si="500"/>
        <v>13.743196584765489</v>
      </c>
      <c r="Q1113">
        <f>ROUNDUP(몬스터!$P$20/F1113, 0)</f>
        <v>13</v>
      </c>
      <c r="R1113" s="6">
        <f t="shared" si="498"/>
        <v>16.602809706257982</v>
      </c>
      <c r="S1113" s="7">
        <f>B1113/몬스터!$C$20*R1113</f>
        <v>287.11410578235785</v>
      </c>
      <c r="U1113">
        <f>ROUNDDOWN(R1113*몬스터!$H$20, 0)*몬스터!$G$20*(1+몬스터!$I$20)</f>
        <v>1195.92</v>
      </c>
      <c r="V1113" s="2">
        <f t="shared" si="501"/>
        <v>1.0911678832116789</v>
      </c>
    </row>
    <row r="1114" spans="1:22" x14ac:dyDescent="0.4">
      <c r="A1114">
        <v>60</v>
      </c>
      <c r="B1114" s="4">
        <f>170*A1114</f>
        <v>10200</v>
      </c>
      <c r="C1114">
        <f t="shared" si="491"/>
        <v>810</v>
      </c>
      <c r="D1114">
        <f t="shared" si="492"/>
        <v>38</v>
      </c>
      <c r="E1114" s="2">
        <v>0</v>
      </c>
      <c r="F1114">
        <f t="shared" si="493"/>
        <v>99</v>
      </c>
      <c r="G1114">
        <f t="shared" si="494"/>
        <v>0.78500000000000003</v>
      </c>
      <c r="H1114" s="3">
        <f t="shared" si="499"/>
        <v>0.05</v>
      </c>
      <c r="I1114" s="2">
        <v>2</v>
      </c>
      <c r="J1114" s="2">
        <v>0</v>
      </c>
      <c r="K1114" s="2">
        <v>1</v>
      </c>
      <c r="L1114" s="16">
        <v>1</v>
      </c>
      <c r="M1114" s="5">
        <f t="shared" si="495"/>
        <v>890</v>
      </c>
      <c r="N1114" s="6">
        <f t="shared" si="496"/>
        <v>81.600750000000005</v>
      </c>
      <c r="O1114">
        <f t="shared" si="497"/>
        <v>1117.8</v>
      </c>
      <c r="P1114" s="7">
        <f t="shared" si="500"/>
        <v>13.698403507320704</v>
      </c>
      <c r="Q1114">
        <f>ROUNDUP(몬스터!$P$20/F1114, 0)</f>
        <v>13</v>
      </c>
      <c r="R1114" s="6">
        <f t="shared" si="498"/>
        <v>16.560509554140125</v>
      </c>
      <c r="S1114" s="7">
        <f>B1114/몬스터!$C$20*R1114</f>
        <v>291.23654733142979</v>
      </c>
      <c r="T1114" s="7">
        <f t="shared" ref="T1114" si="511">SUM(S1110:S1114)</f>
        <v>1414.7463698148861</v>
      </c>
      <c r="U1114">
        <f>ROUNDDOWN(R1114*몬스터!$H$20, 0)*몬스터!$G$20*(1+몬스터!$I$20)</f>
        <v>1195.92</v>
      </c>
      <c r="V1114" s="2">
        <f t="shared" si="501"/>
        <v>1.0698872785829308</v>
      </c>
    </row>
    <row r="1115" spans="1:22" x14ac:dyDescent="0.4">
      <c r="A1115">
        <v>61</v>
      </c>
      <c r="B1115" s="4">
        <f>160*A1115-320</f>
        <v>9440</v>
      </c>
      <c r="C1115">
        <f t="shared" si="491"/>
        <v>820</v>
      </c>
      <c r="D1115">
        <f t="shared" si="492"/>
        <v>38</v>
      </c>
      <c r="E1115" s="2">
        <v>0</v>
      </c>
      <c r="F1115">
        <f t="shared" si="493"/>
        <v>100</v>
      </c>
      <c r="G1115">
        <f t="shared" si="494"/>
        <v>0.78700000000000003</v>
      </c>
      <c r="H1115" s="3">
        <f t="shared" si="499"/>
        <v>0.05</v>
      </c>
      <c r="I1115" s="2">
        <v>2</v>
      </c>
      <c r="J1115" s="2">
        <v>0</v>
      </c>
      <c r="K1115" s="2">
        <v>1</v>
      </c>
      <c r="L1115" s="16">
        <v>1</v>
      </c>
      <c r="M1115" s="5">
        <f t="shared" si="495"/>
        <v>900</v>
      </c>
      <c r="N1115" s="6">
        <f t="shared" si="496"/>
        <v>82.635000000000005</v>
      </c>
      <c r="O1115">
        <f t="shared" si="497"/>
        <v>1131.5999999999999</v>
      </c>
      <c r="P1115" s="7">
        <f t="shared" si="500"/>
        <v>13.693955345797784</v>
      </c>
      <c r="Q1115">
        <f>ROUNDUP(몬스터!$P$23/F1115, 0)</f>
        <v>14</v>
      </c>
      <c r="R1115" s="6">
        <f t="shared" si="498"/>
        <v>17.789072426937736</v>
      </c>
      <c r="S1115" s="7">
        <f>B1115/몬스터!$C$23*R1115</f>
        <v>266.55372017506704</v>
      </c>
      <c r="U1115">
        <f>ROUNDDOWN(R1115*몬스터!$H$23, 0)*몬스터!$G$23*(1+몬스터!$I$23)</f>
        <v>1532.16</v>
      </c>
      <c r="V1115" s="2">
        <f t="shared" si="501"/>
        <v>1.3539766702014848</v>
      </c>
    </row>
    <row r="1116" spans="1:22" x14ac:dyDescent="0.4">
      <c r="A1116">
        <v>62</v>
      </c>
      <c r="B1116" s="4">
        <f>160*A1116</f>
        <v>9920</v>
      </c>
      <c r="C1116">
        <f t="shared" si="491"/>
        <v>830</v>
      </c>
      <c r="D1116">
        <f t="shared" si="492"/>
        <v>38</v>
      </c>
      <c r="E1116" s="2">
        <v>0</v>
      </c>
      <c r="F1116">
        <f t="shared" si="493"/>
        <v>101</v>
      </c>
      <c r="G1116">
        <f t="shared" si="494"/>
        <v>0.78900000000000003</v>
      </c>
      <c r="H1116" s="3">
        <f t="shared" si="499"/>
        <v>0.05</v>
      </c>
      <c r="I1116" s="2">
        <v>2</v>
      </c>
      <c r="J1116" s="2">
        <v>0</v>
      </c>
      <c r="K1116" s="2">
        <v>1</v>
      </c>
      <c r="L1116" s="16">
        <v>1</v>
      </c>
      <c r="M1116" s="5">
        <f t="shared" si="495"/>
        <v>910</v>
      </c>
      <c r="N1116" s="6">
        <f t="shared" si="496"/>
        <v>83.673450000000017</v>
      </c>
      <c r="O1116">
        <f t="shared" si="497"/>
        <v>1145.3999999999999</v>
      </c>
      <c r="P1116" s="7">
        <f t="shared" si="500"/>
        <v>13.688930001093533</v>
      </c>
      <c r="Q1116">
        <f>ROUNDUP(몬스터!$P$23/F1116, 0)</f>
        <v>14</v>
      </c>
      <c r="R1116" s="6">
        <f t="shared" si="498"/>
        <v>17.743979721166031</v>
      </c>
      <c r="S1116" s="7">
        <f>B1116/몬스터!$C$23*R1116</f>
        <v>279.39726799042387</v>
      </c>
      <c r="U1116">
        <f>ROUNDDOWN(R1116*몬스터!$H$23, 0)*몬스터!$G$23*(1+몬스터!$I$23)</f>
        <v>1532.16</v>
      </c>
      <c r="V1116" s="2">
        <f t="shared" si="501"/>
        <v>1.3376636982713466</v>
      </c>
    </row>
    <row r="1117" spans="1:22" x14ac:dyDescent="0.4">
      <c r="A1117">
        <v>63</v>
      </c>
      <c r="B1117" s="4">
        <f>160*A1117</f>
        <v>10080</v>
      </c>
      <c r="C1117">
        <f t="shared" si="491"/>
        <v>845</v>
      </c>
      <c r="D1117">
        <f t="shared" si="492"/>
        <v>38</v>
      </c>
      <c r="E1117" s="2">
        <v>0</v>
      </c>
      <c r="F1117">
        <f t="shared" si="493"/>
        <v>103</v>
      </c>
      <c r="G1117">
        <f t="shared" si="494"/>
        <v>0.79100000000000004</v>
      </c>
      <c r="H1117" s="3">
        <f t="shared" si="499"/>
        <v>0.05</v>
      </c>
      <c r="I1117" s="2">
        <v>2</v>
      </c>
      <c r="J1117" s="2">
        <v>0</v>
      </c>
      <c r="K1117" s="2">
        <v>1</v>
      </c>
      <c r="L1117" s="16">
        <v>1</v>
      </c>
      <c r="M1117" s="5">
        <f t="shared" si="495"/>
        <v>920</v>
      </c>
      <c r="N1117" s="6">
        <f t="shared" si="496"/>
        <v>85.54665</v>
      </c>
      <c r="O1117">
        <f t="shared" si="497"/>
        <v>1166.0999999999999</v>
      </c>
      <c r="P1117" s="7">
        <f t="shared" si="500"/>
        <v>13.631159139487051</v>
      </c>
      <c r="Q1117">
        <f>ROUNDUP(몬스터!$P$23/F1117, 0)</f>
        <v>14</v>
      </c>
      <c r="R1117" s="6">
        <f t="shared" si="498"/>
        <v>17.699115044247787</v>
      </c>
      <c r="S1117" s="7">
        <f>B1117/몬스터!$C$23*R1117</f>
        <v>283.18584070796459</v>
      </c>
      <c r="U1117">
        <f>ROUNDDOWN(R1117*몬스터!$H$23, 0)*몬스터!$G$23*(1+몬스터!$I$23)</f>
        <v>1532.16</v>
      </c>
      <c r="V1117" s="2">
        <f t="shared" si="501"/>
        <v>1.313918188834577</v>
      </c>
    </row>
    <row r="1118" spans="1:22" x14ac:dyDescent="0.4">
      <c r="A1118">
        <v>64</v>
      </c>
      <c r="B1118" s="4">
        <f>160*A1118</f>
        <v>10240</v>
      </c>
      <c r="C1118">
        <f t="shared" si="491"/>
        <v>855</v>
      </c>
      <c r="D1118">
        <f t="shared" si="492"/>
        <v>39</v>
      </c>
      <c r="E1118" s="2">
        <v>0</v>
      </c>
      <c r="F1118">
        <f t="shared" si="493"/>
        <v>104</v>
      </c>
      <c r="G1118">
        <f t="shared" si="494"/>
        <v>0.79300000000000004</v>
      </c>
      <c r="H1118" s="3">
        <f t="shared" si="499"/>
        <v>0.05</v>
      </c>
      <c r="I1118" s="2">
        <v>2</v>
      </c>
      <c r="J1118" s="2">
        <v>0</v>
      </c>
      <c r="K1118" s="2">
        <v>1</v>
      </c>
      <c r="L1118" s="16">
        <v>1</v>
      </c>
      <c r="M1118" s="5">
        <f t="shared" si="495"/>
        <v>930</v>
      </c>
      <c r="N1118" s="6">
        <f t="shared" si="496"/>
        <v>86.595600000000019</v>
      </c>
      <c r="O1118">
        <f t="shared" si="497"/>
        <v>1188.45</v>
      </c>
      <c r="P1118" s="7">
        <f t="shared" si="500"/>
        <v>13.724138408879895</v>
      </c>
      <c r="Q1118">
        <f>ROUNDUP(몬스터!$P$23/F1118, 0)</f>
        <v>13</v>
      </c>
      <c r="R1118" s="6">
        <f t="shared" si="498"/>
        <v>16.393442622950818</v>
      </c>
      <c r="S1118" s="7">
        <f>B1118/몬스터!$C$23*R1118</f>
        <v>266.45849596669262</v>
      </c>
      <c r="U1118">
        <f>ROUNDDOWN(R1118*몬스터!$H$23, 0)*몬스터!$G$23*(1+몬스터!$I$23)</f>
        <v>1313.2800000000002</v>
      </c>
      <c r="V1118" s="2">
        <f t="shared" si="501"/>
        <v>1.1050359712230218</v>
      </c>
    </row>
    <row r="1119" spans="1:22" x14ac:dyDescent="0.4">
      <c r="A1119">
        <v>65</v>
      </c>
      <c r="B1119" s="4">
        <f>160*A1119</f>
        <v>10400</v>
      </c>
      <c r="C1119">
        <f t="shared" ref="C1119:C1154" si="512">MROUND(150+A1119*11,5)</f>
        <v>865</v>
      </c>
      <c r="D1119">
        <f t="shared" ref="D1119:D1154" si="513">ROUNDDOWN((20+A1119*0.3), 0)</f>
        <v>39</v>
      </c>
      <c r="E1119" s="2">
        <v>0</v>
      </c>
      <c r="F1119">
        <f t="shared" ref="F1119:F1154" si="514">ROUND((28+A1119*2)*2/3, 0)</f>
        <v>105</v>
      </c>
      <c r="G1119">
        <f t="shared" ref="G1119:G1154" si="515">0.665+0.002*A1119</f>
        <v>0.79500000000000004</v>
      </c>
      <c r="H1119" s="3">
        <f t="shared" si="499"/>
        <v>0.05</v>
      </c>
      <c r="I1119" s="2">
        <v>2</v>
      </c>
      <c r="J1119" s="2">
        <v>0</v>
      </c>
      <c r="K1119" s="2">
        <v>1</v>
      </c>
      <c r="L1119" s="16">
        <v>1</v>
      </c>
      <c r="M1119" s="5">
        <f t="shared" ref="M1119:M1154" si="516">290+10*A1119</f>
        <v>940</v>
      </c>
      <c r="N1119" s="6">
        <f t="shared" ref="N1119:N1154" si="517">F1119*G1119*(1+H1119)</f>
        <v>87.648750000000007</v>
      </c>
      <c r="O1119">
        <f t="shared" ref="O1119:O1154" si="518">C1119*(1+D1119/100)*(1+E1119)</f>
        <v>1202.3500000000001</v>
      </c>
      <c r="P1119" s="7">
        <f t="shared" si="500"/>
        <v>13.717822558792911</v>
      </c>
      <c r="Q1119">
        <f>ROUNDUP(몬스터!$P$23/F1119, 0)</f>
        <v>13</v>
      </c>
      <c r="R1119" s="6">
        <f t="shared" ref="R1119:R1154" si="519">Q1119/G1119</f>
        <v>16.352201257861633</v>
      </c>
      <c r="S1119" s="7">
        <f>B1119/몬스터!$C$23*R1119</f>
        <v>269.94110012977939</v>
      </c>
      <c r="T1119" s="7">
        <f t="shared" ref="T1119" si="520">SUM(S1115:S1119)</f>
        <v>1365.5364249699276</v>
      </c>
      <c r="U1119">
        <f>ROUNDDOWN(R1119*몬스터!$H$23, 0)*몬스터!$G$23*(1+몬스터!$I$23)</f>
        <v>1313.2800000000002</v>
      </c>
      <c r="V1119" s="2">
        <f t="shared" si="501"/>
        <v>1.0922609888967438</v>
      </c>
    </row>
    <row r="1120" spans="1:22" x14ac:dyDescent="0.4">
      <c r="A1120">
        <v>66</v>
      </c>
      <c r="B1120" s="4">
        <f>170*A1120-680</f>
        <v>10540</v>
      </c>
      <c r="C1120">
        <f t="shared" si="512"/>
        <v>875</v>
      </c>
      <c r="D1120">
        <f t="shared" si="513"/>
        <v>39</v>
      </c>
      <c r="E1120" s="2">
        <v>0</v>
      </c>
      <c r="F1120">
        <f t="shared" si="514"/>
        <v>107</v>
      </c>
      <c r="G1120">
        <f t="shared" si="515"/>
        <v>0.79700000000000004</v>
      </c>
      <c r="H1120" s="3">
        <f t="shared" ref="H1120:H1154" si="521">0.05</f>
        <v>0.05</v>
      </c>
      <c r="I1120" s="2">
        <v>2</v>
      </c>
      <c r="J1120" s="2">
        <v>0</v>
      </c>
      <c r="K1120" s="2">
        <v>1</v>
      </c>
      <c r="L1120" s="16">
        <v>1</v>
      </c>
      <c r="M1120" s="5">
        <f t="shared" si="516"/>
        <v>950</v>
      </c>
      <c r="N1120" s="6">
        <f t="shared" si="517"/>
        <v>89.542950000000019</v>
      </c>
      <c r="O1120">
        <f t="shared" si="518"/>
        <v>1216.25</v>
      </c>
      <c r="P1120" s="7">
        <f t="shared" ref="P1120:P1154" si="522">O1120/N1120</f>
        <v>13.582867216235334</v>
      </c>
      <c r="Q1120">
        <f>ROUNDUP(몬스터!$P$24/F1120, 0)</f>
        <v>14</v>
      </c>
      <c r="R1120" s="6">
        <f t="shared" si="519"/>
        <v>17.565872020075282</v>
      </c>
      <c r="S1120" s="7">
        <f>B1120/몬스터!$C$24*R1120</f>
        <v>272.27101631116687</v>
      </c>
      <c r="U1120">
        <f>ROUNDDOWN(R1120*몬스터!$H$24, 0)*몬스터!$G$24*(1+몬스터!$I$24)</f>
        <v>1654.6949999999999</v>
      </c>
      <c r="V1120" s="2">
        <f t="shared" ref="V1120:V1154" si="523">U1120/O1120</f>
        <v>1.3604892086330935</v>
      </c>
    </row>
    <row r="1121" spans="1:22" x14ac:dyDescent="0.4">
      <c r="A1121">
        <v>67</v>
      </c>
      <c r="B1121" s="4">
        <f>170*A1121</f>
        <v>11390</v>
      </c>
      <c r="C1121">
        <f t="shared" si="512"/>
        <v>885</v>
      </c>
      <c r="D1121">
        <f t="shared" si="513"/>
        <v>40</v>
      </c>
      <c r="E1121" s="2">
        <v>0</v>
      </c>
      <c r="F1121">
        <f t="shared" si="514"/>
        <v>108</v>
      </c>
      <c r="G1121">
        <f t="shared" si="515"/>
        <v>0.79900000000000004</v>
      </c>
      <c r="H1121" s="3">
        <f t="shared" si="521"/>
        <v>0.05</v>
      </c>
      <c r="I1121" s="2">
        <v>2</v>
      </c>
      <c r="J1121" s="2">
        <v>0</v>
      </c>
      <c r="K1121" s="2">
        <v>1</v>
      </c>
      <c r="L1121" s="16">
        <v>1</v>
      </c>
      <c r="M1121" s="5">
        <f t="shared" si="516"/>
        <v>960</v>
      </c>
      <c r="N1121" s="6">
        <f t="shared" si="517"/>
        <v>90.6066</v>
      </c>
      <c r="O1121">
        <f t="shared" si="518"/>
        <v>1239</v>
      </c>
      <c r="P1121" s="7">
        <f t="shared" si="522"/>
        <v>13.674500533073749</v>
      </c>
      <c r="Q1121">
        <f>ROUNDUP(몬스터!$P$24/F1121, 0)</f>
        <v>14</v>
      </c>
      <c r="R1121" s="6">
        <f t="shared" si="519"/>
        <v>17.521902377972463</v>
      </c>
      <c r="S1121" s="7">
        <f>B1121/몬스터!$C$24*R1121</f>
        <v>293.49186483103875</v>
      </c>
      <c r="U1121">
        <f>ROUNDDOWN(R1121*몬스터!$H$24, 0)*몬스터!$G$24*(1+몬스터!$I$24)</f>
        <v>1654.6949999999999</v>
      </c>
      <c r="V1121" s="2">
        <f t="shared" si="523"/>
        <v>1.3355084745762711</v>
      </c>
    </row>
    <row r="1122" spans="1:22" x14ac:dyDescent="0.4">
      <c r="A1122">
        <v>68</v>
      </c>
      <c r="B1122" s="4">
        <f>170*A1122</f>
        <v>11560</v>
      </c>
      <c r="C1122">
        <f t="shared" si="512"/>
        <v>900</v>
      </c>
      <c r="D1122">
        <f t="shared" si="513"/>
        <v>40</v>
      </c>
      <c r="E1122" s="2">
        <v>0</v>
      </c>
      <c r="F1122">
        <f t="shared" si="514"/>
        <v>109</v>
      </c>
      <c r="G1122">
        <f t="shared" si="515"/>
        <v>0.80100000000000005</v>
      </c>
      <c r="H1122" s="3">
        <f t="shared" si="521"/>
        <v>0.05</v>
      </c>
      <c r="I1122" s="2">
        <v>2</v>
      </c>
      <c r="J1122" s="2">
        <v>0</v>
      </c>
      <c r="K1122" s="2">
        <v>1</v>
      </c>
      <c r="L1122" s="16">
        <v>1</v>
      </c>
      <c r="M1122" s="5">
        <f t="shared" si="516"/>
        <v>970</v>
      </c>
      <c r="N1122" s="6">
        <f t="shared" si="517"/>
        <v>91.674450000000022</v>
      </c>
      <c r="O1122">
        <f t="shared" si="518"/>
        <v>1260</v>
      </c>
      <c r="P1122" s="7">
        <f t="shared" si="522"/>
        <v>13.744287530495134</v>
      </c>
      <c r="Q1122">
        <f>ROUNDUP(몬스터!$P$24/F1122, 0)</f>
        <v>14</v>
      </c>
      <c r="R1122" s="6">
        <f t="shared" si="519"/>
        <v>17.478152309612984</v>
      </c>
      <c r="S1122" s="7">
        <f>B1122/몬스터!$C$24*R1122</f>
        <v>297.12858926342074</v>
      </c>
      <c r="U1122">
        <f>ROUNDDOWN(R1122*몬스터!$H$24, 0)*몬스터!$G$24*(1+몬스터!$I$24)</f>
        <v>1654.6949999999999</v>
      </c>
      <c r="V1122" s="2">
        <f t="shared" si="523"/>
        <v>1.31325</v>
      </c>
    </row>
    <row r="1123" spans="1:22" x14ac:dyDescent="0.4">
      <c r="A1123">
        <v>69</v>
      </c>
      <c r="B1123" s="4">
        <f>170*A1123</f>
        <v>11730</v>
      </c>
      <c r="C1123">
        <f t="shared" si="512"/>
        <v>910</v>
      </c>
      <c r="D1123">
        <f t="shared" si="513"/>
        <v>40</v>
      </c>
      <c r="E1123" s="2">
        <v>0</v>
      </c>
      <c r="F1123">
        <f t="shared" si="514"/>
        <v>111</v>
      </c>
      <c r="G1123">
        <f t="shared" si="515"/>
        <v>0.80300000000000005</v>
      </c>
      <c r="H1123" s="3">
        <f t="shared" si="521"/>
        <v>0.05</v>
      </c>
      <c r="I1123" s="2">
        <v>2</v>
      </c>
      <c r="J1123" s="2">
        <v>0</v>
      </c>
      <c r="K1123" s="2">
        <v>1</v>
      </c>
      <c r="L1123" s="16">
        <v>1</v>
      </c>
      <c r="M1123" s="5">
        <f t="shared" si="516"/>
        <v>980</v>
      </c>
      <c r="N1123" s="6">
        <f t="shared" si="517"/>
        <v>93.58965000000002</v>
      </c>
      <c r="O1123">
        <f t="shared" si="518"/>
        <v>1274</v>
      </c>
      <c r="P1123" s="7">
        <f t="shared" si="522"/>
        <v>13.612616352342377</v>
      </c>
      <c r="Q1123">
        <f>ROUNDUP(몬스터!$P$24/F1123, 0)</f>
        <v>14</v>
      </c>
      <c r="R1123" s="6">
        <f t="shared" si="519"/>
        <v>17.4346201743462</v>
      </c>
      <c r="S1123" s="7">
        <f>B1123/몬스터!$C$24*R1123</f>
        <v>300.74719800747198</v>
      </c>
      <c r="U1123">
        <f>ROUNDDOWN(R1123*몬스터!$H$24, 0)*몬스터!$G$24*(1+몬스터!$I$24)</f>
        <v>1654.6949999999999</v>
      </c>
      <c r="V1123" s="2">
        <f t="shared" si="523"/>
        <v>1.2988186813186813</v>
      </c>
    </row>
    <row r="1124" spans="1:22" x14ac:dyDescent="0.4">
      <c r="A1124">
        <v>70</v>
      </c>
      <c r="B1124" s="4">
        <f>170*A1124</f>
        <v>11900</v>
      </c>
      <c r="C1124">
        <f t="shared" si="512"/>
        <v>920</v>
      </c>
      <c r="D1124">
        <f t="shared" si="513"/>
        <v>41</v>
      </c>
      <c r="E1124" s="2">
        <v>0</v>
      </c>
      <c r="F1124">
        <f t="shared" si="514"/>
        <v>112</v>
      </c>
      <c r="G1124">
        <f t="shared" si="515"/>
        <v>0.80500000000000005</v>
      </c>
      <c r="H1124" s="3">
        <f t="shared" si="521"/>
        <v>0.05</v>
      </c>
      <c r="I1124" s="2">
        <v>2</v>
      </c>
      <c r="J1124" s="2">
        <v>0</v>
      </c>
      <c r="K1124" s="2">
        <v>1</v>
      </c>
      <c r="L1124" s="16">
        <v>1</v>
      </c>
      <c r="M1124" s="5">
        <f t="shared" si="516"/>
        <v>990</v>
      </c>
      <c r="N1124" s="6">
        <f t="shared" si="517"/>
        <v>94.668000000000021</v>
      </c>
      <c r="O1124">
        <f t="shared" si="518"/>
        <v>1297.1999999999998</v>
      </c>
      <c r="P1124" s="7">
        <f t="shared" si="522"/>
        <v>13.702623906705535</v>
      </c>
      <c r="Q1124">
        <f>ROUNDUP(몬스터!$P$24/F1124, 0)</f>
        <v>14</v>
      </c>
      <c r="R1124" s="6">
        <f t="shared" si="519"/>
        <v>17.391304347826086</v>
      </c>
      <c r="S1124" s="7">
        <f>B1124/몬스터!$C$24*R1124</f>
        <v>304.3478260869565</v>
      </c>
      <c r="T1124" s="7">
        <f t="shared" ref="T1124" si="524">SUM(S1120:S1124)</f>
        <v>1467.986494500055</v>
      </c>
      <c r="U1124">
        <f>ROUNDDOWN(R1124*몬스터!$H$24, 0)*몬스터!$G$24*(1+몬스터!$I$24)</f>
        <v>1654.6949999999999</v>
      </c>
      <c r="V1124" s="2">
        <f t="shared" si="523"/>
        <v>1.2755897317298799</v>
      </c>
    </row>
    <row r="1125" spans="1:22" x14ac:dyDescent="0.4">
      <c r="A1125">
        <v>71</v>
      </c>
      <c r="B1125" s="4">
        <f>160*A1125</f>
        <v>11360</v>
      </c>
      <c r="C1125">
        <f t="shared" si="512"/>
        <v>930</v>
      </c>
      <c r="D1125">
        <f t="shared" si="513"/>
        <v>41</v>
      </c>
      <c r="E1125" s="2">
        <v>0</v>
      </c>
      <c r="F1125">
        <f t="shared" si="514"/>
        <v>113</v>
      </c>
      <c r="G1125">
        <f t="shared" si="515"/>
        <v>0.80700000000000005</v>
      </c>
      <c r="H1125" s="3">
        <f t="shared" si="521"/>
        <v>0.05</v>
      </c>
      <c r="I1125" s="2">
        <v>2</v>
      </c>
      <c r="J1125" s="2">
        <v>0</v>
      </c>
      <c r="K1125" s="2">
        <v>1</v>
      </c>
      <c r="L1125" s="16">
        <v>1</v>
      </c>
      <c r="M1125" s="5">
        <f t="shared" si="516"/>
        <v>1000</v>
      </c>
      <c r="N1125" s="6">
        <f t="shared" si="517"/>
        <v>95.750550000000004</v>
      </c>
      <c r="O1125">
        <f t="shared" si="518"/>
        <v>1311.3</v>
      </c>
      <c r="P1125" s="7">
        <f t="shared" si="522"/>
        <v>13.694960498921414</v>
      </c>
      <c r="Q1125">
        <f>ROUNDUP(몬스터!$P$25/F1125, 0)</f>
        <v>15</v>
      </c>
      <c r="R1125" s="6">
        <f t="shared" si="519"/>
        <v>18.587360594795538</v>
      </c>
      <c r="S1125" s="7">
        <f>B1125/몬스터!$C$25*R1125</f>
        <v>289.24988542037988</v>
      </c>
      <c r="U1125">
        <f>ROUNDDOWN(R1125*몬스터!$H$25, 0)*몬스터!$G$25*(1+몬스터!$I$25)</f>
        <v>1923.075</v>
      </c>
      <c r="V1125" s="2">
        <f t="shared" si="523"/>
        <v>1.4665408373369939</v>
      </c>
    </row>
    <row r="1126" spans="1:22" x14ac:dyDescent="0.4">
      <c r="A1126">
        <v>72</v>
      </c>
      <c r="B1126" s="4">
        <f>160*A1126</f>
        <v>11520</v>
      </c>
      <c r="C1126">
        <f t="shared" si="512"/>
        <v>940</v>
      </c>
      <c r="D1126">
        <f t="shared" si="513"/>
        <v>41</v>
      </c>
      <c r="E1126" s="2">
        <v>0</v>
      </c>
      <c r="F1126">
        <f t="shared" si="514"/>
        <v>115</v>
      </c>
      <c r="G1126">
        <f t="shared" si="515"/>
        <v>0.80900000000000005</v>
      </c>
      <c r="H1126" s="3">
        <f t="shared" si="521"/>
        <v>0.05</v>
      </c>
      <c r="I1126" s="2">
        <v>2</v>
      </c>
      <c r="J1126" s="2">
        <v>0</v>
      </c>
      <c r="K1126" s="2">
        <v>1</v>
      </c>
      <c r="L1126" s="16">
        <v>1</v>
      </c>
      <c r="M1126" s="5">
        <f t="shared" si="516"/>
        <v>1010</v>
      </c>
      <c r="N1126" s="6">
        <f t="shared" si="517"/>
        <v>97.686750000000018</v>
      </c>
      <c r="O1126">
        <f t="shared" si="518"/>
        <v>1325.3999999999999</v>
      </c>
      <c r="P1126" s="7">
        <f t="shared" si="522"/>
        <v>13.567858486437512</v>
      </c>
      <c r="Q1126">
        <f>ROUNDUP(몬스터!$P$25/F1126, 0)</f>
        <v>15</v>
      </c>
      <c r="R1126" s="6">
        <f t="shared" si="519"/>
        <v>18.541409147095177</v>
      </c>
      <c r="S1126" s="7">
        <f>B1126/몬스터!$C$25*R1126</f>
        <v>292.59867585552934</v>
      </c>
      <c r="U1126">
        <f>ROUNDDOWN(R1126*몬스터!$H$25, 0)*몬스터!$G$25*(1+몬스터!$I$25)</f>
        <v>1923.075</v>
      </c>
      <c r="V1126" s="2">
        <f t="shared" si="523"/>
        <v>1.4509393390674514</v>
      </c>
    </row>
    <row r="1127" spans="1:22" x14ac:dyDescent="0.4">
      <c r="A1127">
        <v>73</v>
      </c>
      <c r="B1127" s="4">
        <f>160*A1127</f>
        <v>11680</v>
      </c>
      <c r="C1127">
        <f t="shared" si="512"/>
        <v>955</v>
      </c>
      <c r="D1127">
        <f t="shared" si="513"/>
        <v>41</v>
      </c>
      <c r="E1127" s="2">
        <v>0</v>
      </c>
      <c r="F1127">
        <f t="shared" si="514"/>
        <v>116</v>
      </c>
      <c r="G1127">
        <f t="shared" si="515"/>
        <v>0.81100000000000005</v>
      </c>
      <c r="H1127" s="3">
        <f t="shared" si="521"/>
        <v>0.05</v>
      </c>
      <c r="I1127" s="2">
        <v>2</v>
      </c>
      <c r="J1127" s="2">
        <v>0</v>
      </c>
      <c r="K1127" s="2">
        <v>1</v>
      </c>
      <c r="L1127" s="16">
        <v>1</v>
      </c>
      <c r="M1127" s="5">
        <f t="shared" si="516"/>
        <v>1020</v>
      </c>
      <c r="N1127" s="6">
        <f t="shared" si="517"/>
        <v>98.779800000000009</v>
      </c>
      <c r="O1127">
        <f t="shared" si="518"/>
        <v>1346.55</v>
      </c>
      <c r="P1127" s="7">
        <f t="shared" si="522"/>
        <v>13.631835658707548</v>
      </c>
      <c r="Q1127">
        <f>ROUNDUP(몬스터!$P$25/F1127, 0)</f>
        <v>15</v>
      </c>
      <c r="R1127" s="6">
        <f t="shared" si="519"/>
        <v>18.49568434032059</v>
      </c>
      <c r="S1127" s="7">
        <f>B1127/몬스터!$C$25*R1127</f>
        <v>295.93094944512944</v>
      </c>
      <c r="U1127">
        <f>ROUNDDOWN(R1127*몬스터!$H$25, 0)*몬스터!$G$25*(1+몬스터!$I$25)</f>
        <v>1923.075</v>
      </c>
      <c r="V1127" s="2">
        <f t="shared" si="523"/>
        <v>1.4281497159407375</v>
      </c>
    </row>
    <row r="1128" spans="1:22" x14ac:dyDescent="0.4">
      <c r="A1128">
        <v>74</v>
      </c>
      <c r="B1128" s="4">
        <f>160*A1128</f>
        <v>11840</v>
      </c>
      <c r="C1128">
        <f t="shared" si="512"/>
        <v>965</v>
      </c>
      <c r="D1128">
        <f t="shared" si="513"/>
        <v>42</v>
      </c>
      <c r="E1128" s="2">
        <v>0</v>
      </c>
      <c r="F1128">
        <f t="shared" si="514"/>
        <v>117</v>
      </c>
      <c r="G1128">
        <f t="shared" si="515"/>
        <v>0.81300000000000006</v>
      </c>
      <c r="H1128" s="3">
        <f t="shared" si="521"/>
        <v>0.05</v>
      </c>
      <c r="I1128" s="2">
        <v>2</v>
      </c>
      <c r="J1128" s="2">
        <v>0</v>
      </c>
      <c r="K1128" s="2">
        <v>1</v>
      </c>
      <c r="L1128" s="16">
        <v>1</v>
      </c>
      <c r="M1128" s="5">
        <f t="shared" si="516"/>
        <v>1030</v>
      </c>
      <c r="N1128" s="6">
        <f t="shared" si="517"/>
        <v>99.877050000000011</v>
      </c>
      <c r="O1128">
        <f t="shared" si="518"/>
        <v>1370.3</v>
      </c>
      <c r="P1128" s="7">
        <f t="shared" si="522"/>
        <v>13.719868578417161</v>
      </c>
      <c r="Q1128">
        <f>ROUNDUP(몬스터!$P$25/F1128, 0)</f>
        <v>15</v>
      </c>
      <c r="R1128" s="6">
        <f t="shared" si="519"/>
        <v>18.450184501845015</v>
      </c>
      <c r="S1128" s="7">
        <f>B1128/몬스터!$C$25*R1128</f>
        <v>299.2468280847192</v>
      </c>
      <c r="U1128">
        <f>ROUNDDOWN(R1128*몬스터!$H$25, 0)*몬스터!$G$25*(1+몬스터!$I$25)</f>
        <v>1923.075</v>
      </c>
      <c r="V1128" s="2">
        <f t="shared" si="523"/>
        <v>1.403397066335839</v>
      </c>
    </row>
    <row r="1129" spans="1:22" x14ac:dyDescent="0.4">
      <c r="A1129">
        <v>75</v>
      </c>
      <c r="B1129" s="4">
        <f>160*A1129</f>
        <v>12000</v>
      </c>
      <c r="C1129">
        <f t="shared" si="512"/>
        <v>975</v>
      </c>
      <c r="D1129">
        <f t="shared" si="513"/>
        <v>42</v>
      </c>
      <c r="E1129" s="2">
        <v>0</v>
      </c>
      <c r="F1129">
        <f t="shared" si="514"/>
        <v>119</v>
      </c>
      <c r="G1129">
        <f t="shared" si="515"/>
        <v>0.81500000000000006</v>
      </c>
      <c r="H1129" s="3">
        <f t="shared" si="521"/>
        <v>0.05</v>
      </c>
      <c r="I1129" s="2">
        <v>2</v>
      </c>
      <c r="J1129" s="2">
        <v>0</v>
      </c>
      <c r="K1129" s="2">
        <v>1</v>
      </c>
      <c r="L1129" s="16">
        <v>1</v>
      </c>
      <c r="M1129" s="5">
        <f t="shared" si="516"/>
        <v>1040</v>
      </c>
      <c r="N1129" s="6">
        <f t="shared" si="517"/>
        <v>101.83425000000003</v>
      </c>
      <c r="O1129">
        <f t="shared" si="518"/>
        <v>1384.5</v>
      </c>
      <c r="P1129" s="7">
        <f t="shared" si="522"/>
        <v>13.595622297998951</v>
      </c>
      <c r="Q1129">
        <f>ROUNDUP(몬스터!$P$25/F1129, 0)</f>
        <v>14</v>
      </c>
      <c r="R1129" s="6">
        <f t="shared" si="519"/>
        <v>17.177914110429448</v>
      </c>
      <c r="S1129" s="7">
        <f>B1129/몬스터!$C$25*R1129</f>
        <v>282.37667030842931</v>
      </c>
      <c r="T1129" s="7">
        <f t="shared" ref="T1129" si="525">SUM(S1125:S1129)</f>
        <v>1459.4030091141872</v>
      </c>
      <c r="U1129">
        <f>ROUNDDOWN(R1129*몬스터!$H$25, 0)*몬스터!$G$25*(1+몬스터!$I$25)</f>
        <v>1794.8700000000001</v>
      </c>
      <c r="V1129" s="2">
        <f t="shared" si="523"/>
        <v>1.2964030335861323</v>
      </c>
    </row>
    <row r="1130" spans="1:22" x14ac:dyDescent="0.4">
      <c r="A1130">
        <v>76</v>
      </c>
      <c r="B1130" s="4">
        <f>170*A1130</f>
        <v>12920</v>
      </c>
      <c r="C1130">
        <f t="shared" si="512"/>
        <v>985</v>
      </c>
      <c r="D1130">
        <f t="shared" si="513"/>
        <v>42</v>
      </c>
      <c r="E1130" s="2">
        <v>0</v>
      </c>
      <c r="F1130">
        <f t="shared" si="514"/>
        <v>120</v>
      </c>
      <c r="G1130">
        <f t="shared" si="515"/>
        <v>0.81700000000000006</v>
      </c>
      <c r="H1130" s="3">
        <f t="shared" si="521"/>
        <v>0.05</v>
      </c>
      <c r="I1130" s="2">
        <v>2</v>
      </c>
      <c r="J1130" s="2">
        <v>0</v>
      </c>
      <c r="K1130" s="2">
        <v>1</v>
      </c>
      <c r="L1130" s="16">
        <v>1</v>
      </c>
      <c r="M1130" s="5">
        <f t="shared" si="516"/>
        <v>1050</v>
      </c>
      <c r="N1130" s="6">
        <f t="shared" si="517"/>
        <v>102.94200000000001</v>
      </c>
      <c r="O1130">
        <f t="shared" si="518"/>
        <v>1398.6999999999998</v>
      </c>
      <c r="P1130" s="7">
        <f t="shared" si="522"/>
        <v>13.587262730469583</v>
      </c>
      <c r="Q1130">
        <f>ROUNDUP(몬스터!$P$26/F1130, 0)</f>
        <v>16</v>
      </c>
      <c r="R1130" s="6">
        <f t="shared" si="519"/>
        <v>19.583843329253366</v>
      </c>
      <c r="S1130" s="7">
        <f>B1130/몬스터!$C$26*R1130</f>
        <v>324.38878950506859</v>
      </c>
      <c r="U1130">
        <f>ROUNDDOWN(R1130*몬스터!$H$26, 0)*몬스터!$G$26*(1+몬스터!$I$26)</f>
        <v>2194.8000000000002</v>
      </c>
      <c r="V1130" s="2">
        <f t="shared" si="523"/>
        <v>1.5691713734181743</v>
      </c>
    </row>
    <row r="1131" spans="1:22" x14ac:dyDescent="0.4">
      <c r="A1131">
        <v>77</v>
      </c>
      <c r="B1131" s="4">
        <f>170*A1131</f>
        <v>13090</v>
      </c>
      <c r="C1131">
        <f t="shared" si="512"/>
        <v>995</v>
      </c>
      <c r="D1131">
        <f t="shared" si="513"/>
        <v>43</v>
      </c>
      <c r="E1131" s="2">
        <v>0</v>
      </c>
      <c r="F1131">
        <f t="shared" si="514"/>
        <v>121</v>
      </c>
      <c r="G1131">
        <f t="shared" si="515"/>
        <v>0.81900000000000006</v>
      </c>
      <c r="H1131" s="3">
        <f t="shared" si="521"/>
        <v>0.05</v>
      </c>
      <c r="I1131" s="2">
        <v>2</v>
      </c>
      <c r="J1131" s="2">
        <v>0</v>
      </c>
      <c r="K1131" s="2">
        <v>1</v>
      </c>
      <c r="L1131" s="16">
        <v>1</v>
      </c>
      <c r="M1131" s="5">
        <f t="shared" si="516"/>
        <v>1060</v>
      </c>
      <c r="N1131" s="6">
        <f t="shared" si="517"/>
        <v>104.05395000000001</v>
      </c>
      <c r="O1131">
        <f t="shared" si="518"/>
        <v>1422.85</v>
      </c>
      <c r="P1131" s="7">
        <f t="shared" si="522"/>
        <v>13.674156531299385</v>
      </c>
      <c r="Q1131">
        <f>ROUNDUP(몬스터!$P$26/F1131, 0)</f>
        <v>15</v>
      </c>
      <c r="R1131" s="6">
        <f t="shared" si="519"/>
        <v>18.315018315018314</v>
      </c>
      <c r="S1131" s="7">
        <f>B1131/몬스터!$C$26*R1131</f>
        <v>307.36357659434577</v>
      </c>
      <c r="U1131">
        <f>ROUNDDOWN(R1131*몬스터!$H$26, 0)*몬스터!$G$26*(1+몬스터!$I$26)</f>
        <v>2057.625</v>
      </c>
      <c r="V1131" s="2">
        <f t="shared" si="523"/>
        <v>1.4461292476367855</v>
      </c>
    </row>
    <row r="1132" spans="1:22" x14ac:dyDescent="0.4">
      <c r="A1132">
        <v>78</v>
      </c>
      <c r="B1132" s="4">
        <f>170*A1132</f>
        <v>13260</v>
      </c>
      <c r="C1132">
        <f t="shared" si="512"/>
        <v>1010</v>
      </c>
      <c r="D1132">
        <f t="shared" si="513"/>
        <v>43</v>
      </c>
      <c r="E1132" s="2">
        <v>0</v>
      </c>
      <c r="F1132">
        <f t="shared" si="514"/>
        <v>123</v>
      </c>
      <c r="G1132">
        <f t="shared" si="515"/>
        <v>0.82100000000000006</v>
      </c>
      <c r="H1132" s="3">
        <f t="shared" si="521"/>
        <v>0.05</v>
      </c>
      <c r="I1132" s="2">
        <v>2</v>
      </c>
      <c r="J1132" s="2">
        <v>0</v>
      </c>
      <c r="K1132" s="2">
        <v>1</v>
      </c>
      <c r="L1132" s="16">
        <v>1</v>
      </c>
      <c r="M1132" s="5">
        <f t="shared" si="516"/>
        <v>1070</v>
      </c>
      <c r="N1132" s="6">
        <f t="shared" si="517"/>
        <v>106.03215000000002</v>
      </c>
      <c r="O1132">
        <f t="shared" si="518"/>
        <v>1444.3</v>
      </c>
      <c r="P1132" s="7">
        <f t="shared" si="522"/>
        <v>13.621340319893539</v>
      </c>
      <c r="Q1132">
        <f>ROUNDUP(몬스터!$P$26/F1132, 0)</f>
        <v>15</v>
      </c>
      <c r="R1132" s="6">
        <f t="shared" si="519"/>
        <v>18.270401948842874</v>
      </c>
      <c r="S1132" s="7">
        <f>B1132/몬스터!$C$26*R1132</f>
        <v>310.59683313032883</v>
      </c>
      <c r="U1132">
        <f>ROUNDDOWN(R1132*몬스터!$H$26, 0)*몬스터!$G$26*(1+몬스터!$I$26)</f>
        <v>2057.625</v>
      </c>
      <c r="V1132" s="2">
        <f t="shared" si="523"/>
        <v>1.4246520805926748</v>
      </c>
    </row>
    <row r="1133" spans="1:22" x14ac:dyDescent="0.4">
      <c r="A1133">
        <v>79</v>
      </c>
      <c r="B1133" s="4">
        <f>170*A1133</f>
        <v>13430</v>
      </c>
      <c r="C1133">
        <f t="shared" si="512"/>
        <v>1020</v>
      </c>
      <c r="D1133">
        <f t="shared" si="513"/>
        <v>43</v>
      </c>
      <c r="E1133" s="2">
        <v>0</v>
      </c>
      <c r="F1133">
        <f t="shared" si="514"/>
        <v>124</v>
      </c>
      <c r="G1133">
        <f t="shared" si="515"/>
        <v>0.82300000000000006</v>
      </c>
      <c r="H1133" s="3">
        <f t="shared" si="521"/>
        <v>0.05</v>
      </c>
      <c r="I1133" s="2">
        <v>2</v>
      </c>
      <c r="J1133" s="2">
        <v>0</v>
      </c>
      <c r="K1133" s="2">
        <v>1</v>
      </c>
      <c r="L1133" s="16">
        <v>1</v>
      </c>
      <c r="M1133" s="5">
        <f t="shared" si="516"/>
        <v>1080</v>
      </c>
      <c r="N1133" s="6">
        <f t="shared" si="517"/>
        <v>107.15460000000002</v>
      </c>
      <c r="O1133">
        <f t="shared" si="518"/>
        <v>1458.6</v>
      </c>
      <c r="P1133" s="7">
        <f t="shared" si="522"/>
        <v>13.612108112950818</v>
      </c>
      <c r="Q1133">
        <f>ROUNDUP(몬스터!$P$26/F1133, 0)</f>
        <v>15</v>
      </c>
      <c r="R1133" s="6">
        <f t="shared" si="519"/>
        <v>18.226002430133654</v>
      </c>
      <c r="S1133" s="7">
        <f>B1133/몬스터!$C$26*R1133</f>
        <v>313.81437517525001</v>
      </c>
      <c r="U1133">
        <f>ROUNDDOWN(R1133*몬스터!$H$26, 0)*몬스터!$G$26*(1+몬스터!$I$26)</f>
        <v>2057.625</v>
      </c>
      <c r="V1133" s="2">
        <f t="shared" si="523"/>
        <v>1.4106849033319622</v>
      </c>
    </row>
    <row r="1134" spans="1:22" x14ac:dyDescent="0.4">
      <c r="A1134">
        <v>80</v>
      </c>
      <c r="B1134" s="4">
        <f>170*A1134</f>
        <v>13600</v>
      </c>
      <c r="C1134">
        <f t="shared" si="512"/>
        <v>1030</v>
      </c>
      <c r="D1134">
        <f t="shared" si="513"/>
        <v>44</v>
      </c>
      <c r="E1134" s="2">
        <v>0</v>
      </c>
      <c r="F1134">
        <f t="shared" si="514"/>
        <v>125</v>
      </c>
      <c r="G1134">
        <f t="shared" si="515"/>
        <v>0.82500000000000007</v>
      </c>
      <c r="H1134" s="3">
        <f t="shared" si="521"/>
        <v>0.05</v>
      </c>
      <c r="I1134" s="2">
        <v>2</v>
      </c>
      <c r="J1134" s="2">
        <v>0</v>
      </c>
      <c r="K1134" s="2">
        <v>1</v>
      </c>
      <c r="L1134" s="16">
        <v>1</v>
      </c>
      <c r="M1134" s="5">
        <f t="shared" si="516"/>
        <v>1090</v>
      </c>
      <c r="N1134" s="6">
        <f t="shared" si="517"/>
        <v>108.28125000000001</v>
      </c>
      <c r="O1134">
        <f t="shared" si="518"/>
        <v>1483.2</v>
      </c>
      <c r="P1134" s="7">
        <f t="shared" si="522"/>
        <v>13.697662337662337</v>
      </c>
      <c r="Q1134">
        <f>ROUNDUP(몬스터!$P$26/F1134, 0)</f>
        <v>15</v>
      </c>
      <c r="R1134" s="6">
        <f t="shared" si="519"/>
        <v>18.18181818181818</v>
      </c>
      <c r="S1134" s="7">
        <f>B1134/몬스터!$C$26*R1134</f>
        <v>317.01631701631698</v>
      </c>
      <c r="T1134" s="7">
        <f t="shared" ref="T1134" si="526">SUM(S1130:S1134)</f>
        <v>1573.17989142131</v>
      </c>
      <c r="U1134">
        <f>ROUNDDOWN(R1134*몬스터!$H$26, 0)*몬스터!$G$26*(1+몬스터!$I$26)</f>
        <v>2057.625</v>
      </c>
      <c r="V1134" s="2">
        <f t="shared" si="523"/>
        <v>1.3872876213592233</v>
      </c>
    </row>
    <row r="1135" spans="1:22" x14ac:dyDescent="0.4">
      <c r="A1135">
        <v>81</v>
      </c>
      <c r="B1135" s="4">
        <f>160*A1135</f>
        <v>12960</v>
      </c>
      <c r="C1135">
        <f t="shared" si="512"/>
        <v>1040</v>
      </c>
      <c r="D1135">
        <f t="shared" si="513"/>
        <v>44</v>
      </c>
      <c r="E1135" s="2">
        <v>0</v>
      </c>
      <c r="F1135">
        <f t="shared" si="514"/>
        <v>127</v>
      </c>
      <c r="G1135">
        <f t="shared" si="515"/>
        <v>0.82700000000000007</v>
      </c>
      <c r="H1135" s="3">
        <f t="shared" si="521"/>
        <v>0.05</v>
      </c>
      <c r="I1135" s="2">
        <v>2</v>
      </c>
      <c r="J1135" s="2">
        <v>0</v>
      </c>
      <c r="K1135" s="2">
        <v>1</v>
      </c>
      <c r="L1135" s="16">
        <v>1</v>
      </c>
      <c r="M1135" s="5">
        <f t="shared" si="516"/>
        <v>1100</v>
      </c>
      <c r="N1135" s="6">
        <f t="shared" si="517"/>
        <v>110.28045000000002</v>
      </c>
      <c r="O1135">
        <f t="shared" si="518"/>
        <v>1497.6</v>
      </c>
      <c r="P1135" s="7">
        <f t="shared" si="522"/>
        <v>13.579922824036352</v>
      </c>
      <c r="Q1135">
        <f>ROUNDUP(몬스터!$P$29/F1135, 0)</f>
        <v>16</v>
      </c>
      <c r="R1135" s="6">
        <f t="shared" si="519"/>
        <v>19.347037484885124</v>
      </c>
      <c r="S1135" s="7">
        <f>B1135/몬스터!$C$29*R1135</f>
        <v>302.09350096880871</v>
      </c>
      <c r="U1135">
        <f>ROUNDDOWN(R1135*몬스터!$H$29, 0)*몬스터!$G$29*(1+몬스터!$I$29)</f>
        <v>2358.7199999999998</v>
      </c>
      <c r="V1135" s="2">
        <f t="shared" si="523"/>
        <v>1.575</v>
      </c>
    </row>
    <row r="1136" spans="1:22" x14ac:dyDescent="0.4">
      <c r="A1136">
        <v>82</v>
      </c>
      <c r="B1136" s="4">
        <f>160*A1136</f>
        <v>13120</v>
      </c>
      <c r="C1136">
        <f t="shared" si="512"/>
        <v>1050</v>
      </c>
      <c r="D1136">
        <f t="shared" si="513"/>
        <v>44</v>
      </c>
      <c r="E1136" s="2">
        <v>0</v>
      </c>
      <c r="F1136">
        <f t="shared" si="514"/>
        <v>128</v>
      </c>
      <c r="G1136">
        <f t="shared" si="515"/>
        <v>0.82900000000000007</v>
      </c>
      <c r="H1136" s="3">
        <f t="shared" si="521"/>
        <v>0.05</v>
      </c>
      <c r="I1136" s="2">
        <v>2</v>
      </c>
      <c r="J1136" s="2">
        <v>0</v>
      </c>
      <c r="K1136" s="2">
        <v>1</v>
      </c>
      <c r="L1136" s="16">
        <v>1</v>
      </c>
      <c r="M1136" s="5">
        <f t="shared" si="516"/>
        <v>1110</v>
      </c>
      <c r="N1136" s="6">
        <f t="shared" si="517"/>
        <v>111.41760000000001</v>
      </c>
      <c r="O1136">
        <f t="shared" si="518"/>
        <v>1512</v>
      </c>
      <c r="P1136" s="7">
        <f t="shared" si="522"/>
        <v>13.570566948130276</v>
      </c>
      <c r="Q1136">
        <f>ROUNDUP(몬스터!$P$29/F1136, 0)</f>
        <v>16</v>
      </c>
      <c r="R1136" s="6">
        <f t="shared" si="519"/>
        <v>19.300361881785282</v>
      </c>
      <c r="S1136" s="7">
        <f>B1136/몬스터!$C$29*R1136</f>
        <v>305.08523842050948</v>
      </c>
      <c r="U1136">
        <f>ROUNDDOWN(R1136*몬스터!$H$29, 0)*몬스터!$G$29*(1+몬스터!$I$29)</f>
        <v>2358.7199999999998</v>
      </c>
      <c r="V1136" s="2">
        <f t="shared" si="523"/>
        <v>1.5599999999999998</v>
      </c>
    </row>
    <row r="1137" spans="1:22" x14ac:dyDescent="0.4">
      <c r="A1137">
        <v>83</v>
      </c>
      <c r="B1137" s="4">
        <f>160*A1137</f>
        <v>13280</v>
      </c>
      <c r="C1137">
        <f t="shared" si="512"/>
        <v>1065</v>
      </c>
      <c r="D1137">
        <f t="shared" si="513"/>
        <v>44</v>
      </c>
      <c r="E1137" s="2">
        <v>0</v>
      </c>
      <c r="F1137">
        <f t="shared" si="514"/>
        <v>129</v>
      </c>
      <c r="G1137">
        <f t="shared" si="515"/>
        <v>0.83100000000000007</v>
      </c>
      <c r="H1137" s="3">
        <f t="shared" si="521"/>
        <v>0.05</v>
      </c>
      <c r="I1137" s="2">
        <v>2</v>
      </c>
      <c r="J1137" s="2">
        <v>0</v>
      </c>
      <c r="K1137" s="2">
        <v>1</v>
      </c>
      <c r="L1137" s="16">
        <v>1</v>
      </c>
      <c r="M1137" s="5">
        <f t="shared" si="516"/>
        <v>1120</v>
      </c>
      <c r="N1137" s="6">
        <f t="shared" si="517"/>
        <v>112.55895000000002</v>
      </c>
      <c r="O1137">
        <f t="shared" si="518"/>
        <v>1533.6</v>
      </c>
      <c r="P1137" s="7">
        <f t="shared" si="522"/>
        <v>13.624860573059713</v>
      </c>
      <c r="Q1137">
        <f>ROUNDUP(몬스터!$P$29/F1137, 0)</f>
        <v>16</v>
      </c>
      <c r="R1137" s="6">
        <f t="shared" si="519"/>
        <v>19.253910950661851</v>
      </c>
      <c r="S1137" s="7">
        <f>B1137/몬스터!$C$29*R1137</f>
        <v>308.06257521058961</v>
      </c>
      <c r="U1137">
        <f>ROUNDDOWN(R1137*몬스터!$H$29, 0)*몬스터!$G$29*(1+몬스터!$I$29)</f>
        <v>2358.7199999999998</v>
      </c>
      <c r="V1137" s="2">
        <f t="shared" si="523"/>
        <v>1.5380281690140845</v>
      </c>
    </row>
    <row r="1138" spans="1:22" x14ac:dyDescent="0.4">
      <c r="A1138">
        <v>84</v>
      </c>
      <c r="B1138" s="4">
        <f>160*A1138</f>
        <v>13440</v>
      </c>
      <c r="C1138">
        <f t="shared" si="512"/>
        <v>1075</v>
      </c>
      <c r="D1138">
        <f t="shared" si="513"/>
        <v>45</v>
      </c>
      <c r="E1138" s="2">
        <v>0</v>
      </c>
      <c r="F1138">
        <f t="shared" si="514"/>
        <v>131</v>
      </c>
      <c r="G1138">
        <f t="shared" si="515"/>
        <v>0.83300000000000007</v>
      </c>
      <c r="H1138" s="3">
        <f t="shared" si="521"/>
        <v>0.05</v>
      </c>
      <c r="I1138" s="2">
        <v>2</v>
      </c>
      <c r="J1138" s="2">
        <v>0</v>
      </c>
      <c r="K1138" s="2">
        <v>1</v>
      </c>
      <c r="L1138" s="16">
        <v>1</v>
      </c>
      <c r="M1138" s="5">
        <f t="shared" si="516"/>
        <v>1130</v>
      </c>
      <c r="N1138" s="6">
        <f t="shared" si="517"/>
        <v>114.57915000000001</v>
      </c>
      <c r="O1138">
        <f t="shared" si="518"/>
        <v>1558.75</v>
      </c>
      <c r="P1138" s="7">
        <f t="shared" si="522"/>
        <v>13.604133038166191</v>
      </c>
      <c r="Q1138">
        <f>ROUNDUP(몬스터!$P$29/F1138, 0)</f>
        <v>16</v>
      </c>
      <c r="R1138" s="6">
        <f t="shared" si="519"/>
        <v>19.20768307322929</v>
      </c>
      <c r="S1138" s="7">
        <f>B1138/몬스터!$C$29*R1138</f>
        <v>311.02561506530321</v>
      </c>
      <c r="U1138">
        <f>ROUNDDOWN(R1138*몬스터!$H$29, 0)*몬스터!$G$29*(1+몬스터!$I$29)</f>
        <v>2358.7199999999998</v>
      </c>
      <c r="V1138" s="2">
        <f t="shared" si="523"/>
        <v>1.5132125100240577</v>
      </c>
    </row>
    <row r="1139" spans="1:22" x14ac:dyDescent="0.4">
      <c r="A1139">
        <v>85</v>
      </c>
      <c r="B1139" s="4">
        <f>160*A1139</f>
        <v>13600</v>
      </c>
      <c r="C1139">
        <f t="shared" si="512"/>
        <v>1085</v>
      </c>
      <c r="D1139">
        <f t="shared" si="513"/>
        <v>45</v>
      </c>
      <c r="E1139" s="2">
        <v>0</v>
      </c>
      <c r="F1139">
        <f t="shared" si="514"/>
        <v>132</v>
      </c>
      <c r="G1139">
        <f t="shared" si="515"/>
        <v>0.83500000000000008</v>
      </c>
      <c r="H1139" s="3">
        <f t="shared" si="521"/>
        <v>0.05</v>
      </c>
      <c r="I1139" s="2">
        <v>2</v>
      </c>
      <c r="J1139" s="2">
        <v>0</v>
      </c>
      <c r="K1139" s="2">
        <v>1</v>
      </c>
      <c r="L1139" s="16">
        <v>1</v>
      </c>
      <c r="M1139" s="5">
        <f t="shared" si="516"/>
        <v>1140</v>
      </c>
      <c r="N1139" s="6">
        <f t="shared" si="517"/>
        <v>115.73100000000002</v>
      </c>
      <c r="O1139">
        <f t="shared" si="518"/>
        <v>1573.25</v>
      </c>
      <c r="P1139" s="7">
        <f t="shared" si="522"/>
        <v>13.594024073065986</v>
      </c>
      <c r="Q1139">
        <f>ROUNDUP(몬스터!$P$29/F1139, 0)</f>
        <v>15</v>
      </c>
      <c r="R1139" s="6">
        <f t="shared" si="519"/>
        <v>17.964071856287422</v>
      </c>
      <c r="S1139" s="7">
        <f>B1139/몬스터!$C$29*R1139</f>
        <v>294.35105692229996</v>
      </c>
      <c r="T1139" s="7">
        <f t="shared" ref="T1139" si="527">SUM(S1135:S1139)</f>
        <v>1520.617986587511</v>
      </c>
      <c r="U1139">
        <f>ROUNDDOWN(R1139*몬스터!$H$29, 0)*몬스터!$G$29*(1+몬스터!$I$29)</f>
        <v>2211.2999999999997</v>
      </c>
      <c r="V1139" s="2">
        <f t="shared" si="523"/>
        <v>1.4055617352614014</v>
      </c>
    </row>
    <row r="1140" spans="1:22" x14ac:dyDescent="0.4">
      <c r="A1140">
        <v>86</v>
      </c>
      <c r="B1140" s="4">
        <f>170*A1140</f>
        <v>14620</v>
      </c>
      <c r="C1140">
        <f t="shared" si="512"/>
        <v>1095</v>
      </c>
      <c r="D1140">
        <f t="shared" si="513"/>
        <v>45</v>
      </c>
      <c r="E1140" s="2">
        <v>0</v>
      </c>
      <c r="F1140">
        <f t="shared" si="514"/>
        <v>133</v>
      </c>
      <c r="G1140">
        <f t="shared" si="515"/>
        <v>0.83700000000000008</v>
      </c>
      <c r="H1140" s="3">
        <f t="shared" si="521"/>
        <v>0.05</v>
      </c>
      <c r="I1140" s="2">
        <v>2</v>
      </c>
      <c r="J1140" s="2">
        <v>0</v>
      </c>
      <c r="K1140" s="2">
        <v>1</v>
      </c>
      <c r="L1140" s="16">
        <v>1</v>
      </c>
      <c r="M1140" s="5">
        <f t="shared" si="516"/>
        <v>1150</v>
      </c>
      <c r="N1140" s="6">
        <f t="shared" si="517"/>
        <v>116.88705000000002</v>
      </c>
      <c r="O1140">
        <f t="shared" si="518"/>
        <v>1587.75</v>
      </c>
      <c r="P1140" s="7">
        <f t="shared" si="522"/>
        <v>13.58362624431021</v>
      </c>
      <c r="Q1140">
        <f>ROUNDUP(몬스터!$P$30/F1140, 0)</f>
        <v>17</v>
      </c>
      <c r="R1140" s="6">
        <f t="shared" si="519"/>
        <v>20.310633213859017</v>
      </c>
      <c r="S1140" s="7">
        <f>B1140/몬스터!$C$30*R1140</f>
        <v>337.43347453024865</v>
      </c>
      <c r="U1140">
        <f>ROUNDDOWN(R1140*몬스터!$H$30, 0)*몬스터!$G$30*(1+몬스터!$I$30)</f>
        <v>2662.3274999999999</v>
      </c>
      <c r="V1140" s="2">
        <f t="shared" si="523"/>
        <v>1.6767926310817194</v>
      </c>
    </row>
    <row r="1141" spans="1:22" x14ac:dyDescent="0.4">
      <c r="A1141">
        <v>87</v>
      </c>
      <c r="B1141" s="4">
        <f>170*A1141</f>
        <v>14790</v>
      </c>
      <c r="C1141">
        <f t="shared" si="512"/>
        <v>1105</v>
      </c>
      <c r="D1141">
        <f t="shared" si="513"/>
        <v>46</v>
      </c>
      <c r="E1141" s="2">
        <v>0</v>
      </c>
      <c r="F1141">
        <f t="shared" si="514"/>
        <v>135</v>
      </c>
      <c r="G1141">
        <f t="shared" si="515"/>
        <v>0.83900000000000008</v>
      </c>
      <c r="H1141" s="3">
        <f t="shared" si="521"/>
        <v>0.05</v>
      </c>
      <c r="I1141" s="2">
        <v>2</v>
      </c>
      <c r="J1141" s="2">
        <v>0</v>
      </c>
      <c r="K1141" s="2">
        <v>1</v>
      </c>
      <c r="L1141" s="16">
        <v>1</v>
      </c>
      <c r="M1141" s="5">
        <f t="shared" si="516"/>
        <v>1160</v>
      </c>
      <c r="N1141" s="6">
        <f t="shared" si="517"/>
        <v>118.92825000000002</v>
      </c>
      <c r="O1141">
        <f t="shared" si="518"/>
        <v>1613.3</v>
      </c>
      <c r="P1141" s="7">
        <f t="shared" si="522"/>
        <v>13.565321948317575</v>
      </c>
      <c r="Q1141">
        <f>ROUNDUP(몬스터!$P$30/F1141, 0)</f>
        <v>16</v>
      </c>
      <c r="R1141" s="6">
        <f t="shared" si="519"/>
        <v>19.070321811680571</v>
      </c>
      <c r="S1141" s="7">
        <f>B1141/몬스터!$C$30*R1141</f>
        <v>320.51143135767688</v>
      </c>
      <c r="U1141">
        <f>ROUNDDOWN(R1141*몬스터!$H$30, 0)*몬스터!$G$30*(1+몬스터!$I$30)</f>
        <v>2505.7199999999998</v>
      </c>
      <c r="V1141" s="2">
        <f t="shared" si="523"/>
        <v>1.553164321576892</v>
      </c>
    </row>
    <row r="1142" spans="1:22" x14ac:dyDescent="0.4">
      <c r="A1142">
        <v>88</v>
      </c>
      <c r="B1142" s="4">
        <f>170*A1142</f>
        <v>14960</v>
      </c>
      <c r="C1142">
        <f t="shared" si="512"/>
        <v>1120</v>
      </c>
      <c r="D1142">
        <f t="shared" si="513"/>
        <v>46</v>
      </c>
      <c r="E1142" s="2">
        <v>0</v>
      </c>
      <c r="F1142">
        <f t="shared" si="514"/>
        <v>136</v>
      </c>
      <c r="G1142">
        <f t="shared" si="515"/>
        <v>0.84099999999999997</v>
      </c>
      <c r="H1142" s="3">
        <f t="shared" si="521"/>
        <v>0.05</v>
      </c>
      <c r="I1142" s="2">
        <v>2</v>
      </c>
      <c r="J1142" s="2">
        <v>0</v>
      </c>
      <c r="K1142" s="2">
        <v>1</v>
      </c>
      <c r="L1142" s="16">
        <v>1</v>
      </c>
      <c r="M1142" s="5">
        <f t="shared" si="516"/>
        <v>1170</v>
      </c>
      <c r="N1142" s="6">
        <f t="shared" si="517"/>
        <v>120.09479999999999</v>
      </c>
      <c r="O1142">
        <f t="shared" si="518"/>
        <v>1635.2</v>
      </c>
      <c r="P1142" s="7">
        <f t="shared" si="522"/>
        <v>13.615910097689493</v>
      </c>
      <c r="Q1142">
        <f>ROUNDUP(몬스터!$P$30/F1142, 0)</f>
        <v>16</v>
      </c>
      <c r="R1142" s="6">
        <f t="shared" si="519"/>
        <v>19.024970273483948</v>
      </c>
      <c r="S1142" s="7">
        <f>B1142/몬스터!$C$30*R1142</f>
        <v>323.42449464922714</v>
      </c>
      <c r="U1142">
        <f>ROUNDDOWN(R1142*몬스터!$H$30, 0)*몬스터!$G$30*(1+몬스터!$I$30)</f>
        <v>2505.7199999999998</v>
      </c>
      <c r="V1142" s="2">
        <f t="shared" si="523"/>
        <v>1.5323630136986299</v>
      </c>
    </row>
    <row r="1143" spans="1:22" x14ac:dyDescent="0.4">
      <c r="A1143">
        <v>89</v>
      </c>
      <c r="B1143" s="4">
        <f>170*A1143</f>
        <v>15130</v>
      </c>
      <c r="C1143">
        <f t="shared" si="512"/>
        <v>1130</v>
      </c>
      <c r="D1143">
        <f t="shared" si="513"/>
        <v>46</v>
      </c>
      <c r="E1143" s="2">
        <v>0</v>
      </c>
      <c r="F1143">
        <f t="shared" si="514"/>
        <v>137</v>
      </c>
      <c r="G1143">
        <f t="shared" si="515"/>
        <v>0.84299999999999997</v>
      </c>
      <c r="H1143" s="3">
        <f t="shared" si="521"/>
        <v>0.05</v>
      </c>
      <c r="I1143" s="2">
        <v>2</v>
      </c>
      <c r="J1143" s="2">
        <v>0</v>
      </c>
      <c r="K1143" s="2">
        <v>1</v>
      </c>
      <c r="L1143" s="16">
        <v>1</v>
      </c>
      <c r="M1143" s="5">
        <f t="shared" si="516"/>
        <v>1180</v>
      </c>
      <c r="N1143" s="6">
        <f t="shared" si="517"/>
        <v>121.26555</v>
      </c>
      <c r="O1143">
        <f t="shared" si="518"/>
        <v>1649.8</v>
      </c>
      <c r="P1143" s="7">
        <f t="shared" si="522"/>
        <v>13.604853150791794</v>
      </c>
      <c r="Q1143">
        <f>ROUNDUP(몬스터!$P$30/F1143, 0)</f>
        <v>16</v>
      </c>
      <c r="R1143" s="6">
        <f t="shared" si="519"/>
        <v>18.979833926453143</v>
      </c>
      <c r="S1143" s="7">
        <f>B1143/몬스터!$C$30*R1143</f>
        <v>326.32373557640454</v>
      </c>
      <c r="U1143">
        <f>ROUNDDOWN(R1143*몬스터!$H$30, 0)*몬스터!$G$30*(1+몬스터!$I$30)</f>
        <v>2505.7199999999998</v>
      </c>
      <c r="V1143" s="2">
        <f t="shared" si="523"/>
        <v>1.5188022790641289</v>
      </c>
    </row>
    <row r="1144" spans="1:22" x14ac:dyDescent="0.4">
      <c r="A1144">
        <v>90</v>
      </c>
      <c r="B1144" s="4">
        <f>170*A1144</f>
        <v>15300</v>
      </c>
      <c r="C1144">
        <f t="shared" si="512"/>
        <v>1140</v>
      </c>
      <c r="D1144">
        <f t="shared" si="513"/>
        <v>47</v>
      </c>
      <c r="E1144" s="2">
        <v>0</v>
      </c>
      <c r="F1144">
        <f t="shared" si="514"/>
        <v>139</v>
      </c>
      <c r="G1144">
        <f t="shared" si="515"/>
        <v>0.84499999999999997</v>
      </c>
      <c r="H1144" s="3">
        <f t="shared" si="521"/>
        <v>0.05</v>
      </c>
      <c r="I1144" s="2">
        <v>2</v>
      </c>
      <c r="J1144" s="2">
        <v>0</v>
      </c>
      <c r="K1144" s="2">
        <v>1</v>
      </c>
      <c r="L1144" s="16">
        <v>1</v>
      </c>
      <c r="M1144" s="5">
        <f t="shared" si="516"/>
        <v>1190</v>
      </c>
      <c r="N1144" s="6">
        <f t="shared" si="517"/>
        <v>123.32775000000001</v>
      </c>
      <c r="O1144">
        <f t="shared" si="518"/>
        <v>1675.8</v>
      </c>
      <c r="P1144" s="7">
        <f t="shared" si="522"/>
        <v>13.588182708271251</v>
      </c>
      <c r="Q1144">
        <f>ROUNDUP(몬스터!$P$30/F1144, 0)</f>
        <v>16</v>
      </c>
      <c r="R1144" s="6">
        <f t="shared" si="519"/>
        <v>18.934911242603551</v>
      </c>
      <c r="S1144" s="7">
        <f>B1144/몬스터!$C$30*R1144</f>
        <v>329.2092522861754</v>
      </c>
      <c r="T1144" s="7">
        <f t="shared" ref="T1144" si="528">SUM(S1140:S1144)</f>
        <v>1636.9023883997324</v>
      </c>
      <c r="U1144">
        <f>ROUNDDOWN(R1144*몬스터!$H$30, 0)*몬스터!$G$30*(1+몬스터!$I$30)</f>
        <v>2505.7199999999998</v>
      </c>
      <c r="V1144" s="2">
        <f t="shared" si="523"/>
        <v>1.4952380952380953</v>
      </c>
    </row>
    <row r="1145" spans="1:22" x14ac:dyDescent="0.4">
      <c r="A1145">
        <v>91</v>
      </c>
      <c r="B1145" s="4">
        <f>160*A1145</f>
        <v>14560</v>
      </c>
      <c r="C1145">
        <f t="shared" si="512"/>
        <v>1150</v>
      </c>
      <c r="D1145">
        <f t="shared" si="513"/>
        <v>47</v>
      </c>
      <c r="E1145" s="2">
        <v>0</v>
      </c>
      <c r="F1145">
        <f t="shared" si="514"/>
        <v>140</v>
      </c>
      <c r="G1145">
        <f t="shared" si="515"/>
        <v>0.84699999999999998</v>
      </c>
      <c r="H1145" s="3">
        <f t="shared" si="521"/>
        <v>0.05</v>
      </c>
      <c r="I1145" s="2">
        <v>2</v>
      </c>
      <c r="J1145" s="2">
        <v>0</v>
      </c>
      <c r="K1145" s="2">
        <v>1</v>
      </c>
      <c r="L1145" s="16">
        <v>1</v>
      </c>
      <c r="M1145" s="5">
        <f t="shared" si="516"/>
        <v>1200</v>
      </c>
      <c r="N1145" s="6">
        <f t="shared" si="517"/>
        <v>124.509</v>
      </c>
      <c r="O1145">
        <f t="shared" si="518"/>
        <v>1690.5</v>
      </c>
      <c r="P1145" s="7">
        <f t="shared" si="522"/>
        <v>13.57733175914994</v>
      </c>
      <c r="Q1145">
        <f>ROUNDUP(몬스터!$P$31/F1145, 0)</f>
        <v>17</v>
      </c>
      <c r="R1145" s="6">
        <f t="shared" si="519"/>
        <v>20.070838252656436</v>
      </c>
      <c r="S1145" s="7">
        <f>B1145/몬스터!$C$31*R1145</f>
        <v>314.22731715986851</v>
      </c>
      <c r="U1145">
        <f>ROUNDDOWN(R1145*몬스터!$H$31, 0)*몬스터!$G$31*(1+몬스터!$I$31)</f>
        <v>2840.4450000000002</v>
      </c>
      <c r="V1145" s="2">
        <f t="shared" si="523"/>
        <v>1.6802395740905058</v>
      </c>
    </row>
    <row r="1146" spans="1:22" x14ac:dyDescent="0.4">
      <c r="A1146">
        <v>92</v>
      </c>
      <c r="B1146" s="4">
        <f>160*A1146</f>
        <v>14720</v>
      </c>
      <c r="C1146">
        <f t="shared" si="512"/>
        <v>1160</v>
      </c>
      <c r="D1146">
        <f t="shared" si="513"/>
        <v>47</v>
      </c>
      <c r="E1146" s="2">
        <v>0</v>
      </c>
      <c r="F1146">
        <f t="shared" si="514"/>
        <v>141</v>
      </c>
      <c r="G1146">
        <f t="shared" si="515"/>
        <v>0.84899999999999998</v>
      </c>
      <c r="H1146" s="3">
        <f t="shared" si="521"/>
        <v>0.05</v>
      </c>
      <c r="I1146" s="2">
        <v>2</v>
      </c>
      <c r="J1146" s="2">
        <v>0</v>
      </c>
      <c r="K1146" s="2">
        <v>1</v>
      </c>
      <c r="L1146" s="16">
        <v>1</v>
      </c>
      <c r="M1146" s="5">
        <f t="shared" si="516"/>
        <v>1210</v>
      </c>
      <c r="N1146" s="6">
        <f t="shared" si="517"/>
        <v>125.69445</v>
      </c>
      <c r="O1146">
        <f t="shared" si="518"/>
        <v>1705.2</v>
      </c>
      <c r="P1146" s="7">
        <f t="shared" si="522"/>
        <v>13.566231444586455</v>
      </c>
      <c r="Q1146">
        <f>ROUNDUP(몬스터!$P$31/F1146, 0)</f>
        <v>17</v>
      </c>
      <c r="R1146" s="6">
        <f t="shared" si="519"/>
        <v>20.023557126030624</v>
      </c>
      <c r="S1146" s="7">
        <f>B1146/몬스터!$C$31*R1146</f>
        <v>316.93200096254924</v>
      </c>
      <c r="U1146">
        <f>ROUNDDOWN(R1146*몬스터!$H$31, 0)*몬스터!$G$31*(1+몬스터!$I$31)</f>
        <v>2840.4450000000002</v>
      </c>
      <c r="V1146" s="2">
        <f t="shared" si="523"/>
        <v>1.6657547501759324</v>
      </c>
    </row>
    <row r="1147" spans="1:22" x14ac:dyDescent="0.4">
      <c r="A1147">
        <v>93</v>
      </c>
      <c r="B1147" s="4">
        <f>160*A1147</f>
        <v>14880</v>
      </c>
      <c r="C1147">
        <f t="shared" si="512"/>
        <v>1175</v>
      </c>
      <c r="D1147">
        <f t="shared" si="513"/>
        <v>47</v>
      </c>
      <c r="E1147" s="2">
        <v>0</v>
      </c>
      <c r="F1147">
        <f t="shared" si="514"/>
        <v>143</v>
      </c>
      <c r="G1147">
        <f t="shared" si="515"/>
        <v>0.85099999999999998</v>
      </c>
      <c r="H1147" s="3">
        <f t="shared" si="521"/>
        <v>0.05</v>
      </c>
      <c r="I1147" s="2">
        <v>2</v>
      </c>
      <c r="J1147" s="2">
        <v>0</v>
      </c>
      <c r="K1147" s="2">
        <v>1</v>
      </c>
      <c r="L1147" s="16">
        <v>1</v>
      </c>
      <c r="M1147" s="5">
        <f t="shared" si="516"/>
        <v>1220</v>
      </c>
      <c r="N1147" s="6">
        <f t="shared" si="517"/>
        <v>127.77765000000001</v>
      </c>
      <c r="O1147">
        <f t="shared" si="518"/>
        <v>1727.25</v>
      </c>
      <c r="P1147" s="7">
        <f t="shared" si="522"/>
        <v>13.517622213274386</v>
      </c>
      <c r="Q1147">
        <f>ROUNDUP(몬스터!$P$31/F1147, 0)</f>
        <v>17</v>
      </c>
      <c r="R1147" s="6">
        <f t="shared" si="519"/>
        <v>19.976498237367803</v>
      </c>
      <c r="S1147" s="7">
        <f>B1147/몬스터!$C$31*R1147</f>
        <v>319.62397179788485</v>
      </c>
      <c r="U1147">
        <f>ROUNDDOWN(R1147*몬스터!$H$31, 0)*몬스터!$G$31*(1+몬스터!$I$31)</f>
        <v>2840.4450000000002</v>
      </c>
      <c r="V1147" s="2">
        <f t="shared" si="523"/>
        <v>1.6444897959183675</v>
      </c>
    </row>
    <row r="1148" spans="1:22" x14ac:dyDescent="0.4">
      <c r="A1148">
        <v>94</v>
      </c>
      <c r="B1148" s="4">
        <f>160*A1148</f>
        <v>15040</v>
      </c>
      <c r="C1148">
        <f t="shared" si="512"/>
        <v>1185</v>
      </c>
      <c r="D1148">
        <f t="shared" si="513"/>
        <v>48</v>
      </c>
      <c r="E1148" s="2">
        <v>0</v>
      </c>
      <c r="F1148">
        <f t="shared" si="514"/>
        <v>144</v>
      </c>
      <c r="G1148">
        <f t="shared" si="515"/>
        <v>0.85299999999999998</v>
      </c>
      <c r="H1148" s="3">
        <f t="shared" si="521"/>
        <v>0.05</v>
      </c>
      <c r="I1148" s="2">
        <v>2</v>
      </c>
      <c r="J1148" s="2">
        <v>0</v>
      </c>
      <c r="K1148" s="2">
        <v>1</v>
      </c>
      <c r="L1148" s="16">
        <v>1</v>
      </c>
      <c r="M1148" s="5">
        <f t="shared" si="516"/>
        <v>1230</v>
      </c>
      <c r="N1148" s="6">
        <f t="shared" si="517"/>
        <v>128.9736</v>
      </c>
      <c r="O1148">
        <f t="shared" si="518"/>
        <v>1753.8</v>
      </c>
      <c r="P1148" s="7">
        <f t="shared" si="522"/>
        <v>13.598131710675672</v>
      </c>
      <c r="Q1148">
        <f>ROUNDUP(몬스터!$P$31/F1148, 0)</f>
        <v>17</v>
      </c>
      <c r="R1148" s="6">
        <f t="shared" si="519"/>
        <v>19.929660023446658</v>
      </c>
      <c r="S1148" s="7">
        <f>B1148/몬스터!$C$31*R1148</f>
        <v>322.30331908885779</v>
      </c>
      <c r="U1148">
        <f>ROUNDDOWN(R1148*몬스터!$H$31, 0)*몬스터!$G$31*(1+몬스터!$I$31)</f>
        <v>2840.4450000000002</v>
      </c>
      <c r="V1148" s="2">
        <f t="shared" si="523"/>
        <v>1.6195945945945946</v>
      </c>
    </row>
    <row r="1149" spans="1:22" x14ac:dyDescent="0.4">
      <c r="A1149">
        <v>95</v>
      </c>
      <c r="B1149" s="4">
        <f>160*A1149</f>
        <v>15200</v>
      </c>
      <c r="C1149">
        <f t="shared" si="512"/>
        <v>1195</v>
      </c>
      <c r="D1149">
        <f t="shared" si="513"/>
        <v>48</v>
      </c>
      <c r="E1149" s="2">
        <v>0</v>
      </c>
      <c r="F1149">
        <f t="shared" si="514"/>
        <v>145</v>
      </c>
      <c r="G1149">
        <f t="shared" si="515"/>
        <v>0.85499999999999998</v>
      </c>
      <c r="H1149" s="3">
        <f t="shared" si="521"/>
        <v>0.05</v>
      </c>
      <c r="I1149" s="2">
        <v>2</v>
      </c>
      <c r="J1149" s="2">
        <v>0</v>
      </c>
      <c r="K1149" s="2">
        <v>1</v>
      </c>
      <c r="L1149" s="16">
        <v>1</v>
      </c>
      <c r="M1149" s="5">
        <f t="shared" si="516"/>
        <v>1240</v>
      </c>
      <c r="N1149" s="6">
        <f t="shared" si="517"/>
        <v>130.17375000000001</v>
      </c>
      <c r="O1149">
        <f t="shared" si="518"/>
        <v>1768.6</v>
      </c>
      <c r="P1149" s="7">
        <f t="shared" si="522"/>
        <v>13.586456562863095</v>
      </c>
      <c r="Q1149">
        <f>ROUNDUP(몬스터!$P$31/F1149, 0)</f>
        <v>17</v>
      </c>
      <c r="R1149" s="6">
        <f t="shared" si="519"/>
        <v>19.883040935672515</v>
      </c>
      <c r="S1149" s="7">
        <f>B1149/몬스터!$C$31*R1149</f>
        <v>324.97013142174433</v>
      </c>
      <c r="T1149" s="7">
        <f t="shared" ref="T1149" si="529">SUM(S1145:S1149)</f>
        <v>1598.0567404309047</v>
      </c>
      <c r="U1149">
        <f>ROUNDDOWN(R1149*몬스터!$H$31, 0)*몬스터!$G$31*(1+몬스터!$I$31)</f>
        <v>2840.4450000000002</v>
      </c>
      <c r="V1149" s="2">
        <f t="shared" si="523"/>
        <v>1.6060415017527989</v>
      </c>
    </row>
    <row r="1150" spans="1:22" x14ac:dyDescent="0.4">
      <c r="A1150">
        <v>96</v>
      </c>
      <c r="B1150" s="4">
        <f>170*A1150</f>
        <v>16320</v>
      </c>
      <c r="C1150">
        <f t="shared" si="512"/>
        <v>1205</v>
      </c>
      <c r="D1150">
        <f t="shared" si="513"/>
        <v>48</v>
      </c>
      <c r="E1150" s="2">
        <v>0</v>
      </c>
      <c r="F1150">
        <f t="shared" si="514"/>
        <v>147</v>
      </c>
      <c r="G1150">
        <f t="shared" si="515"/>
        <v>0.85699999999999998</v>
      </c>
      <c r="H1150" s="3">
        <f t="shared" si="521"/>
        <v>0.05</v>
      </c>
      <c r="I1150" s="2">
        <v>2</v>
      </c>
      <c r="J1150" s="2">
        <v>0</v>
      </c>
      <c r="K1150" s="2">
        <v>1</v>
      </c>
      <c r="L1150" s="16">
        <v>1</v>
      </c>
      <c r="M1150" s="5">
        <f t="shared" si="516"/>
        <v>1250</v>
      </c>
      <c r="N1150" s="6">
        <f t="shared" si="517"/>
        <v>132.27795</v>
      </c>
      <c r="O1150">
        <f t="shared" si="518"/>
        <v>1783.4</v>
      </c>
      <c r="P1150" s="7">
        <f t="shared" si="522"/>
        <v>13.482216801817687</v>
      </c>
      <c r="Q1150">
        <f>ROUNDUP(몬스터!$P$32/F1150, 0)</f>
        <v>18</v>
      </c>
      <c r="R1150" s="6">
        <f t="shared" si="519"/>
        <v>21.003500583430572</v>
      </c>
      <c r="S1150" s="7">
        <f>B1150/몬스터!$C$32*R1150</f>
        <v>349.77258114447648</v>
      </c>
      <c r="U1150">
        <f>ROUNDDOWN(R1150*몬스터!$H$32, 0)*몬스터!$G$32*(1+몬스터!$I$32)</f>
        <v>3176.8199999999997</v>
      </c>
      <c r="V1150" s="2">
        <f t="shared" si="523"/>
        <v>1.7813278008298752</v>
      </c>
    </row>
    <row r="1151" spans="1:22" x14ac:dyDescent="0.4">
      <c r="A1151">
        <v>97</v>
      </c>
      <c r="B1151" s="4">
        <f>170*A1151</f>
        <v>16490</v>
      </c>
      <c r="C1151">
        <f t="shared" si="512"/>
        <v>1215</v>
      </c>
      <c r="D1151">
        <f t="shared" si="513"/>
        <v>49</v>
      </c>
      <c r="E1151" s="2">
        <v>0</v>
      </c>
      <c r="F1151">
        <f t="shared" si="514"/>
        <v>148</v>
      </c>
      <c r="G1151">
        <f t="shared" si="515"/>
        <v>0.85899999999999999</v>
      </c>
      <c r="H1151" s="3">
        <f t="shared" si="521"/>
        <v>0.05</v>
      </c>
      <c r="I1151" s="2">
        <v>2</v>
      </c>
      <c r="J1151" s="2">
        <v>0</v>
      </c>
      <c r="K1151" s="2">
        <v>1</v>
      </c>
      <c r="L1151" s="16">
        <v>1</v>
      </c>
      <c r="M1151" s="5">
        <f t="shared" si="516"/>
        <v>1260</v>
      </c>
      <c r="N1151" s="6">
        <f t="shared" si="517"/>
        <v>133.48860000000002</v>
      </c>
      <c r="O1151">
        <f t="shared" si="518"/>
        <v>1810.35</v>
      </c>
      <c r="P1151" s="7">
        <f t="shared" si="522"/>
        <v>13.561832246349123</v>
      </c>
      <c r="Q1151">
        <f>ROUNDUP(몬스터!$P$32/F1151, 0)</f>
        <v>17</v>
      </c>
      <c r="R1151" s="6">
        <f t="shared" si="519"/>
        <v>19.790454016298021</v>
      </c>
      <c r="S1151" s="7">
        <f>B1151/몬스터!$C$32*R1151</f>
        <v>333.00468033546366</v>
      </c>
      <c r="U1151">
        <f>ROUNDDOWN(R1151*몬스터!$H$32, 0)*몬스터!$G$32*(1+몬스터!$I$32)</f>
        <v>3000.33</v>
      </c>
      <c r="V1151" s="2">
        <f t="shared" si="523"/>
        <v>1.6573204076559782</v>
      </c>
    </row>
    <row r="1152" spans="1:22" x14ac:dyDescent="0.4">
      <c r="A1152">
        <v>98</v>
      </c>
      <c r="B1152" s="4">
        <f>170*A1152</f>
        <v>16660</v>
      </c>
      <c r="C1152">
        <f t="shared" si="512"/>
        <v>1230</v>
      </c>
      <c r="D1152">
        <f t="shared" si="513"/>
        <v>49</v>
      </c>
      <c r="E1152" s="2">
        <v>0</v>
      </c>
      <c r="F1152">
        <f t="shared" si="514"/>
        <v>149</v>
      </c>
      <c r="G1152">
        <f t="shared" si="515"/>
        <v>0.86099999999999999</v>
      </c>
      <c r="H1152" s="3">
        <f t="shared" si="521"/>
        <v>0.05</v>
      </c>
      <c r="I1152" s="2">
        <v>2</v>
      </c>
      <c r="J1152" s="2">
        <v>0</v>
      </c>
      <c r="K1152" s="2">
        <v>1</v>
      </c>
      <c r="L1152" s="16">
        <v>1</v>
      </c>
      <c r="M1152" s="5">
        <f t="shared" si="516"/>
        <v>1270</v>
      </c>
      <c r="N1152" s="6">
        <f t="shared" si="517"/>
        <v>134.70345</v>
      </c>
      <c r="O1152">
        <f t="shared" si="518"/>
        <v>1832.7</v>
      </c>
      <c r="P1152" s="7">
        <f t="shared" si="522"/>
        <v>13.605442176870747</v>
      </c>
      <c r="Q1152">
        <f>ROUNDUP(몬스터!$P$32/F1152, 0)</f>
        <v>17</v>
      </c>
      <c r="R1152" s="6">
        <f t="shared" si="519"/>
        <v>19.744483159117305</v>
      </c>
      <c r="S1152" s="7">
        <f>B1152/몬스터!$C$32*R1152</f>
        <v>335.65621370499417</v>
      </c>
      <c r="U1152">
        <f>ROUNDDOWN(R1152*몬스터!$H$32, 0)*몬스터!$G$32*(1+몬스터!$I$32)</f>
        <v>3000.33</v>
      </c>
      <c r="V1152" s="2">
        <f t="shared" si="523"/>
        <v>1.6371091831723685</v>
      </c>
    </row>
    <row r="1153" spans="1:22" x14ac:dyDescent="0.4">
      <c r="A1153">
        <v>99</v>
      </c>
      <c r="B1153" s="4">
        <f>170*A1153</f>
        <v>16830</v>
      </c>
      <c r="C1153">
        <f t="shared" si="512"/>
        <v>1240</v>
      </c>
      <c r="D1153">
        <f t="shared" si="513"/>
        <v>49</v>
      </c>
      <c r="E1153" s="2">
        <v>0</v>
      </c>
      <c r="F1153">
        <f t="shared" si="514"/>
        <v>151</v>
      </c>
      <c r="G1153">
        <f t="shared" si="515"/>
        <v>0.86299999999999999</v>
      </c>
      <c r="H1153" s="3">
        <f t="shared" si="521"/>
        <v>0.05</v>
      </c>
      <c r="I1153" s="2">
        <v>2</v>
      </c>
      <c r="J1153" s="2">
        <v>0</v>
      </c>
      <c r="K1153" s="2">
        <v>1</v>
      </c>
      <c r="L1153" s="16">
        <v>1</v>
      </c>
      <c r="M1153" s="5">
        <f t="shared" si="516"/>
        <v>1280</v>
      </c>
      <c r="N1153" s="6">
        <f t="shared" si="517"/>
        <v>136.82864999999998</v>
      </c>
      <c r="O1153">
        <f t="shared" si="518"/>
        <v>1847.6</v>
      </c>
      <c r="P1153" s="7">
        <f t="shared" si="522"/>
        <v>13.503020018102935</v>
      </c>
      <c r="Q1153">
        <f>ROUNDUP(몬스터!$P$32/F1153, 0)</f>
        <v>17</v>
      </c>
      <c r="R1153" s="6">
        <f t="shared" si="519"/>
        <v>19.698725376593281</v>
      </c>
      <c r="S1153" s="7">
        <f>B1153/몬스터!$C$32*R1153</f>
        <v>338.29545723271929</v>
      </c>
      <c r="U1153">
        <f>ROUNDDOWN(R1153*몬스터!$H$32, 0)*몬스터!$G$32*(1+몬스터!$I$32)</f>
        <v>3000.33</v>
      </c>
      <c r="V1153" s="2">
        <f t="shared" si="523"/>
        <v>1.6239066897596883</v>
      </c>
    </row>
    <row r="1154" spans="1:22" x14ac:dyDescent="0.4">
      <c r="A1154">
        <v>100</v>
      </c>
      <c r="B1154" s="4">
        <f>170*A1154</f>
        <v>17000</v>
      </c>
      <c r="C1154">
        <f t="shared" si="512"/>
        <v>1250</v>
      </c>
      <c r="D1154">
        <f t="shared" si="513"/>
        <v>50</v>
      </c>
      <c r="E1154" s="2">
        <v>0</v>
      </c>
      <c r="F1154">
        <f t="shared" si="514"/>
        <v>152</v>
      </c>
      <c r="G1154">
        <f t="shared" si="515"/>
        <v>0.86499999999999999</v>
      </c>
      <c r="H1154" s="3">
        <f t="shared" si="521"/>
        <v>0.05</v>
      </c>
      <c r="I1154" s="2">
        <v>2</v>
      </c>
      <c r="J1154" s="2">
        <v>0</v>
      </c>
      <c r="K1154" s="2">
        <v>1</v>
      </c>
      <c r="L1154" s="16">
        <v>1</v>
      </c>
      <c r="M1154" s="5">
        <f t="shared" si="516"/>
        <v>1290</v>
      </c>
      <c r="N1154" s="6">
        <f t="shared" si="517"/>
        <v>138.054</v>
      </c>
      <c r="O1154">
        <f t="shared" si="518"/>
        <v>1875</v>
      </c>
      <c r="P1154" s="7">
        <f t="shared" si="522"/>
        <v>13.581641966187144</v>
      </c>
      <c r="Q1154">
        <f>ROUNDUP(몬스터!$P$32/F1154, 0)</f>
        <v>17</v>
      </c>
      <c r="R1154" s="6">
        <f t="shared" si="519"/>
        <v>19.653179190751445</v>
      </c>
      <c r="S1154" s="7">
        <f>B1154/몬스터!$C$32*R1154</f>
        <v>340.92249616609649</v>
      </c>
      <c r="T1154" s="7">
        <f t="shared" ref="T1154" si="530">SUM(S1150:S1154)</f>
        <v>1697.6514285837502</v>
      </c>
      <c r="U1154">
        <f>ROUNDDOWN(R1154*몬스터!$H$32, 0)*몬스터!$G$32*(1+몬스터!$I$32)</f>
        <v>3000.33</v>
      </c>
      <c r="V1154" s="2">
        <f t="shared" si="523"/>
        <v>1.600176</v>
      </c>
    </row>
    <row r="1156" spans="1:22" x14ac:dyDescent="0.4">
      <c r="A1156" t="s">
        <v>282</v>
      </c>
      <c r="B1156" t="s">
        <v>354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C7"/>
  <sheetViews>
    <sheetView workbookViewId="0">
      <selection activeCell="B3" sqref="B3"/>
    </sheetView>
  </sheetViews>
  <sheetFormatPr defaultRowHeight="17.399999999999999" x14ac:dyDescent="0.4"/>
  <cols>
    <col min="1" max="3" width="12.69921875" customWidth="1"/>
  </cols>
  <sheetData>
    <row r="2" spans="1:3" ht="21" x14ac:dyDescent="0.4">
      <c r="B2" s="1" t="s">
        <v>214</v>
      </c>
    </row>
    <row r="4" spans="1:3" x14ac:dyDescent="0.4">
      <c r="A4" t="s">
        <v>11</v>
      </c>
      <c r="B4" t="s">
        <v>15</v>
      </c>
      <c r="C4" t="s">
        <v>16</v>
      </c>
    </row>
    <row r="5" spans="1:3" x14ac:dyDescent="0.4">
      <c r="A5" t="s">
        <v>12</v>
      </c>
      <c r="B5" s="5">
        <v>250</v>
      </c>
      <c r="C5" s="8">
        <v>75</v>
      </c>
    </row>
    <row r="6" spans="1:3" x14ac:dyDescent="0.4">
      <c r="A6" t="s">
        <v>13</v>
      </c>
      <c r="B6" s="5">
        <v>700</v>
      </c>
      <c r="C6" s="8">
        <v>175</v>
      </c>
    </row>
    <row r="7" spans="1:3" x14ac:dyDescent="0.4">
      <c r="A7" t="s">
        <v>14</v>
      </c>
      <c r="B7" s="5">
        <v>1150</v>
      </c>
      <c r="C7" s="8">
        <v>350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V123"/>
  <sheetViews>
    <sheetView tabSelected="1" topLeftCell="A77" workbookViewId="0">
      <selection activeCell="Z87" sqref="Z87"/>
    </sheetView>
  </sheetViews>
  <sheetFormatPr defaultRowHeight="17.399999999999999" x14ac:dyDescent="0.4"/>
  <cols>
    <col min="1" max="1" width="5.69921875" customWidth="1"/>
    <col min="2" max="2" width="10.69921875" customWidth="1"/>
    <col min="3" max="15" width="8.796875" customWidth="1"/>
    <col min="16" max="16" width="10.69921875" customWidth="1"/>
    <col min="17" max="17" width="8.796875" customWidth="1"/>
    <col min="18" max="18" width="8.69921875" customWidth="1"/>
    <col min="19" max="19" width="11.69921875" customWidth="1"/>
    <col min="20" max="20" width="11.59765625" customWidth="1"/>
    <col min="21" max="22" width="8.796875" customWidth="1"/>
  </cols>
  <sheetData>
    <row r="2" spans="1:22" ht="21" x14ac:dyDescent="0.4">
      <c r="B2" s="1" t="s">
        <v>1</v>
      </c>
    </row>
    <row r="3" spans="1:22" ht="18" thickBot="1" x14ac:dyDescent="0.45"/>
    <row r="4" spans="1:22" ht="18" thickBot="1" x14ac:dyDescent="0.45">
      <c r="A4" s="36" t="s">
        <v>18</v>
      </c>
      <c r="B4" s="36" t="s">
        <v>300</v>
      </c>
      <c r="C4" s="28" t="s">
        <v>301</v>
      </c>
      <c r="D4" s="28" t="s">
        <v>302</v>
      </c>
      <c r="E4" s="28" t="s">
        <v>303</v>
      </c>
      <c r="F4" s="37" t="s">
        <v>305</v>
      </c>
      <c r="G4" s="37" t="s">
        <v>306</v>
      </c>
      <c r="H4" s="37" t="s">
        <v>307</v>
      </c>
      <c r="I4" s="37" t="s">
        <v>308</v>
      </c>
      <c r="J4" s="37" t="s">
        <v>309</v>
      </c>
      <c r="K4" s="38" t="s">
        <v>310</v>
      </c>
      <c r="L4" s="38" t="s">
        <v>312</v>
      </c>
      <c r="M4" s="38" t="s">
        <v>311</v>
      </c>
      <c r="N4" s="23" t="s">
        <v>313</v>
      </c>
      <c r="O4" s="23" t="s">
        <v>314</v>
      </c>
      <c r="P4" s="23" t="s">
        <v>315</v>
      </c>
      <c r="Q4" s="39" t="s">
        <v>316</v>
      </c>
      <c r="R4" s="39" t="s">
        <v>317</v>
      </c>
      <c r="S4" s="39" t="s">
        <v>318</v>
      </c>
      <c r="T4" s="39" t="s">
        <v>319</v>
      </c>
      <c r="U4" s="39" t="s">
        <v>320</v>
      </c>
      <c r="V4" s="39" t="s">
        <v>321</v>
      </c>
    </row>
    <row r="5" spans="1:22" ht="18" thickTop="1" x14ac:dyDescent="0.4">
      <c r="A5">
        <v>1</v>
      </c>
      <c r="B5" s="4">
        <f>150*A5</f>
        <v>150</v>
      </c>
      <c r="C5">
        <f>90+A5*20</f>
        <v>110</v>
      </c>
      <c r="D5">
        <f>9+A5</f>
        <v>10</v>
      </c>
      <c r="E5" s="3">
        <f>0.0012*A5-0.12%</f>
        <v>0</v>
      </c>
      <c r="F5">
        <f>ROUND((17+A5*3)*2/3, 0)</f>
        <v>13</v>
      </c>
      <c r="G5">
        <f t="shared" ref="G5:G36" si="0">0.663+0.004*A5</f>
        <v>0.66700000000000004</v>
      </c>
      <c r="H5" s="3">
        <f t="shared" ref="H5:H36" si="1">0.0475+0.0025*A5</f>
        <v>0.05</v>
      </c>
      <c r="I5" s="2">
        <v>2</v>
      </c>
      <c r="J5" s="2">
        <v>0</v>
      </c>
      <c r="K5" s="2">
        <v>1</v>
      </c>
      <c r="L5" s="16">
        <f>1</f>
        <v>1</v>
      </c>
      <c r="M5" s="5">
        <f t="shared" ref="M5:M36" si="2">190+10*A5</f>
        <v>200</v>
      </c>
      <c r="N5" s="6">
        <f t="shared" ref="N5:N36" si="3">F5*G5*(1+H5)</f>
        <v>9.1045500000000015</v>
      </c>
      <c r="O5">
        <f t="shared" ref="O5:O36" si="4">C5*(1+D5/100)*(1+E5)</f>
        <v>121.00000000000001</v>
      </c>
      <c r="P5" s="7">
        <f t="shared" ref="P5:P36" si="5">O5/N5</f>
        <v>13.290058267569512</v>
      </c>
      <c r="Q5">
        <f>ROUNDUP(몬스터!$P$5/F5, 0)</f>
        <v>11</v>
      </c>
      <c r="R5" s="6">
        <f t="shared" ref="R5:R36" si="6">Q5/G5</f>
        <v>16.491754122938531</v>
      </c>
      <c r="S5" s="7">
        <f>B5/몬스터!C5*R5</f>
        <v>82.458770614692654</v>
      </c>
      <c r="U5">
        <f>ROUNDDOWN(R5*몬스터!H5, 0)*몬스터!G5*(1+몬스터!I5)</f>
        <v>56.7</v>
      </c>
      <c r="V5" s="2">
        <f>U5/O5</f>
        <v>0.468595041322314</v>
      </c>
    </row>
    <row r="6" spans="1:22" x14ac:dyDescent="0.4">
      <c r="A6">
        <v>2</v>
      </c>
      <c r="B6" s="4">
        <f t="shared" ref="B6:B11" si="7">150*A6</f>
        <v>300</v>
      </c>
      <c r="C6">
        <f t="shared" ref="C6:C69" si="8">90+A6*20</f>
        <v>130</v>
      </c>
      <c r="D6">
        <f t="shared" ref="D6:D69" si="9">9+A6</f>
        <v>11</v>
      </c>
      <c r="E6" s="3">
        <f t="shared" ref="E6:E69" si="10">0.0012*A6-0.12%</f>
        <v>1.1999999999999999E-3</v>
      </c>
      <c r="F6">
        <f t="shared" ref="F6:F69" si="11">ROUND((17+A6*3)*2/3, 0)</f>
        <v>15</v>
      </c>
      <c r="G6">
        <f t="shared" si="0"/>
        <v>0.67100000000000004</v>
      </c>
      <c r="H6" s="3">
        <f t="shared" si="1"/>
        <v>5.2499999999999998E-2</v>
      </c>
      <c r="I6" s="2">
        <v>2</v>
      </c>
      <c r="J6" s="2">
        <v>0</v>
      </c>
      <c r="K6" s="2">
        <v>1</v>
      </c>
      <c r="L6" s="16">
        <f>1</f>
        <v>1</v>
      </c>
      <c r="M6" s="5">
        <f t="shared" si="2"/>
        <v>210</v>
      </c>
      <c r="N6" s="6">
        <f t="shared" si="3"/>
        <v>10.593412500000001</v>
      </c>
      <c r="O6">
        <f t="shared" si="4"/>
        <v>144.47316000000004</v>
      </c>
      <c r="P6" s="7">
        <f t="shared" si="5"/>
        <v>13.638018910336969</v>
      </c>
      <c r="Q6">
        <f>ROUNDUP(몬스터!$P$5/F6, 0)</f>
        <v>9</v>
      </c>
      <c r="R6" s="6">
        <f t="shared" si="6"/>
        <v>13.412816691505215</v>
      </c>
      <c r="S6" s="7">
        <f>B6/몬스터!C5*R6</f>
        <v>134.12816691505216</v>
      </c>
      <c r="U6">
        <f>ROUNDDOWN(R6*몬스터!H5, 0)*몬스터!G5*(1+몬스터!I5)</f>
        <v>50.400000000000006</v>
      </c>
      <c r="V6" s="2">
        <f t="shared" ref="V6:V69" si="12">U6/O6</f>
        <v>0.34885372480258614</v>
      </c>
    </row>
    <row r="7" spans="1:22" x14ac:dyDescent="0.4">
      <c r="A7">
        <v>3</v>
      </c>
      <c r="B7" s="4">
        <f t="shared" si="7"/>
        <v>450</v>
      </c>
      <c r="C7">
        <f t="shared" si="8"/>
        <v>150</v>
      </c>
      <c r="D7">
        <f t="shared" si="9"/>
        <v>12</v>
      </c>
      <c r="E7" s="3">
        <f t="shared" si="10"/>
        <v>2.4000000000000002E-3</v>
      </c>
      <c r="F7">
        <f t="shared" si="11"/>
        <v>17</v>
      </c>
      <c r="G7">
        <f t="shared" si="0"/>
        <v>0.67500000000000004</v>
      </c>
      <c r="H7" s="3">
        <f t="shared" si="1"/>
        <v>5.5E-2</v>
      </c>
      <c r="I7" s="2">
        <v>2</v>
      </c>
      <c r="J7" s="2">
        <v>0</v>
      </c>
      <c r="K7" s="2">
        <v>1</v>
      </c>
      <c r="L7" s="16">
        <f>1</f>
        <v>1</v>
      </c>
      <c r="M7" s="5">
        <f t="shared" si="2"/>
        <v>220</v>
      </c>
      <c r="N7" s="6">
        <f>F7*G7*(1+H7)</f>
        <v>12.106125</v>
      </c>
      <c r="O7">
        <f t="shared" si="4"/>
        <v>168.40320000000003</v>
      </c>
      <c r="P7" s="7">
        <f t="shared" si="5"/>
        <v>13.910578322956356</v>
      </c>
      <c r="Q7">
        <f>ROUNDUP(몬스터!$P$5/F7, 0)</f>
        <v>8</v>
      </c>
      <c r="R7" s="6">
        <f t="shared" si="6"/>
        <v>11.851851851851851</v>
      </c>
      <c r="S7" s="7">
        <f>B7/몬스터!C5*R7</f>
        <v>177.77777777777777</v>
      </c>
      <c r="U7">
        <f>ROUNDDOWN(R7*몬스터!H5, 0)*몬스터!G5*(1+몬스터!I5)</f>
        <v>44.1</v>
      </c>
      <c r="V7" s="2">
        <f t="shared" si="12"/>
        <v>0.26187150837988826</v>
      </c>
    </row>
    <row r="8" spans="1:22" x14ac:dyDescent="0.4">
      <c r="A8">
        <v>4</v>
      </c>
      <c r="B8" s="4">
        <f>150*A8+50</f>
        <v>650</v>
      </c>
      <c r="C8">
        <f t="shared" si="8"/>
        <v>170</v>
      </c>
      <c r="D8">
        <f t="shared" si="9"/>
        <v>13</v>
      </c>
      <c r="E8" s="3">
        <f t="shared" si="10"/>
        <v>3.5999999999999999E-3</v>
      </c>
      <c r="F8">
        <f t="shared" si="11"/>
        <v>19</v>
      </c>
      <c r="G8">
        <f t="shared" si="0"/>
        <v>0.67900000000000005</v>
      </c>
      <c r="H8" s="3">
        <f t="shared" si="1"/>
        <v>5.7500000000000002E-2</v>
      </c>
      <c r="I8" s="2">
        <v>2</v>
      </c>
      <c r="J8" s="2">
        <v>0</v>
      </c>
      <c r="K8" s="2">
        <v>1</v>
      </c>
      <c r="L8" s="16">
        <f>1</f>
        <v>1</v>
      </c>
      <c r="M8" s="5">
        <f t="shared" si="2"/>
        <v>230</v>
      </c>
      <c r="N8" s="6">
        <f t="shared" si="3"/>
        <v>13.642807500000004</v>
      </c>
      <c r="O8">
        <f t="shared" si="4"/>
        <v>192.79156</v>
      </c>
      <c r="P8" s="7">
        <f t="shared" si="5"/>
        <v>14.131369954461348</v>
      </c>
      <c r="Q8">
        <f>ROUNDUP(몬스터!$P$5/F8, 0)</f>
        <v>8</v>
      </c>
      <c r="R8" s="6">
        <f t="shared" si="6"/>
        <v>11.782032400589101</v>
      </c>
      <c r="S8" s="7">
        <f>B8/몬스터!C5*R8</f>
        <v>255.27736867943054</v>
      </c>
      <c r="U8">
        <f>ROUNDDOWN(R8*몬스터!H5, 0)*몬스터!G5*(1+몬스터!I5)</f>
        <v>44.1</v>
      </c>
      <c r="V8" s="2">
        <f t="shared" si="12"/>
        <v>0.22874445333602778</v>
      </c>
    </row>
    <row r="9" spans="1:22" x14ac:dyDescent="0.4">
      <c r="A9">
        <v>5</v>
      </c>
      <c r="B9" s="4">
        <f>150*A9+75</f>
        <v>825</v>
      </c>
      <c r="C9">
        <f t="shared" si="8"/>
        <v>190</v>
      </c>
      <c r="D9">
        <f t="shared" si="9"/>
        <v>14</v>
      </c>
      <c r="E9" s="3">
        <f t="shared" si="10"/>
        <v>4.7999999999999996E-3</v>
      </c>
      <c r="F9">
        <f t="shared" si="11"/>
        <v>21</v>
      </c>
      <c r="G9">
        <f t="shared" si="0"/>
        <v>0.68300000000000005</v>
      </c>
      <c r="H9" s="3">
        <f t="shared" si="1"/>
        <v>0.06</v>
      </c>
      <c r="I9" s="2">
        <v>2</v>
      </c>
      <c r="J9" s="2">
        <v>0</v>
      </c>
      <c r="K9" s="2">
        <v>1</v>
      </c>
      <c r="L9" s="16">
        <f>1</f>
        <v>1</v>
      </c>
      <c r="M9" s="5">
        <f t="shared" si="2"/>
        <v>240</v>
      </c>
      <c r="N9" s="6">
        <f t="shared" si="3"/>
        <v>15.203580000000002</v>
      </c>
      <c r="O9">
        <f t="shared" si="4"/>
        <v>217.63968</v>
      </c>
      <c r="P9" s="7">
        <f t="shared" si="5"/>
        <v>14.315028434092495</v>
      </c>
      <c r="Q9">
        <f>ROUNDUP(몬스터!$P$5/F9, 0)</f>
        <v>7</v>
      </c>
      <c r="R9" s="6">
        <f t="shared" si="6"/>
        <v>10.248901903367496</v>
      </c>
      <c r="S9" s="7">
        <f>B9/몬스터!C5*R9</f>
        <v>281.84480234260616</v>
      </c>
      <c r="T9" s="7">
        <f>SUM(S5:S9)</f>
        <v>931.4868863295593</v>
      </c>
      <c r="U9">
        <f>ROUNDDOWN(R9*몬스터!H5, 0)*몬스터!G5*(1+몬스터!I5)</f>
        <v>37.800000000000004</v>
      </c>
      <c r="V9" s="2">
        <f t="shared" si="12"/>
        <v>0.17368156395010323</v>
      </c>
    </row>
    <row r="10" spans="1:22" x14ac:dyDescent="0.4">
      <c r="A10">
        <v>6</v>
      </c>
      <c r="B10" s="4">
        <f t="shared" si="7"/>
        <v>900</v>
      </c>
      <c r="C10">
        <f t="shared" si="8"/>
        <v>210</v>
      </c>
      <c r="D10">
        <f t="shared" si="9"/>
        <v>15</v>
      </c>
      <c r="E10" s="3">
        <f t="shared" si="10"/>
        <v>6.0000000000000001E-3</v>
      </c>
      <c r="F10">
        <f t="shared" si="11"/>
        <v>23</v>
      </c>
      <c r="G10">
        <f t="shared" si="0"/>
        <v>0.68700000000000006</v>
      </c>
      <c r="H10" s="3">
        <f t="shared" si="1"/>
        <v>6.25E-2</v>
      </c>
      <c r="I10" s="2">
        <v>2</v>
      </c>
      <c r="J10" s="2">
        <v>0</v>
      </c>
      <c r="K10" s="2">
        <v>1</v>
      </c>
      <c r="L10" s="16">
        <f>1</f>
        <v>1</v>
      </c>
      <c r="M10" s="5">
        <f t="shared" si="2"/>
        <v>250</v>
      </c>
      <c r="N10" s="6">
        <f t="shared" si="3"/>
        <v>16.788562500000001</v>
      </c>
      <c r="O10">
        <f t="shared" si="4"/>
        <v>242.94899999999998</v>
      </c>
      <c r="P10" s="7">
        <f t="shared" si="5"/>
        <v>14.471101977909065</v>
      </c>
      <c r="Q10">
        <f>ROUNDUP(몬스터!$P$6/F10, 0)</f>
        <v>10</v>
      </c>
      <c r="R10" s="6">
        <f t="shared" si="6"/>
        <v>14.556040756914118</v>
      </c>
      <c r="S10" s="7">
        <f>B10/몬스터!C6*R10</f>
        <v>163.75545851528383</v>
      </c>
      <c r="U10">
        <f>ROUNDDOWN(R10*몬스터!H6, 0)*몬스터!G6*(1+몬스터!I6)</f>
        <v>109.98000000000002</v>
      </c>
      <c r="V10" s="2">
        <f t="shared" si="12"/>
        <v>0.45268760110146583</v>
      </c>
    </row>
    <row r="11" spans="1:22" x14ac:dyDescent="0.4">
      <c r="A11">
        <v>7</v>
      </c>
      <c r="B11" s="4">
        <f t="shared" si="7"/>
        <v>1050</v>
      </c>
      <c r="C11">
        <f t="shared" si="8"/>
        <v>230</v>
      </c>
      <c r="D11">
        <f t="shared" si="9"/>
        <v>16</v>
      </c>
      <c r="E11" s="3">
        <f t="shared" si="10"/>
        <v>7.1999999999999998E-3</v>
      </c>
      <c r="F11">
        <f t="shared" si="11"/>
        <v>25</v>
      </c>
      <c r="G11">
        <f t="shared" si="0"/>
        <v>0.69100000000000006</v>
      </c>
      <c r="H11" s="3">
        <f t="shared" si="1"/>
        <v>6.5000000000000002E-2</v>
      </c>
      <c r="I11" s="2">
        <v>2</v>
      </c>
      <c r="J11" s="2">
        <v>0</v>
      </c>
      <c r="K11" s="2">
        <v>1</v>
      </c>
      <c r="L11" s="16">
        <f>1</f>
        <v>1</v>
      </c>
      <c r="M11" s="5">
        <f t="shared" si="2"/>
        <v>260</v>
      </c>
      <c r="N11" s="6">
        <f t="shared" si="3"/>
        <v>18.397875000000003</v>
      </c>
      <c r="O11">
        <f t="shared" si="4"/>
        <v>268.72095999999999</v>
      </c>
      <c r="P11" s="7">
        <f t="shared" si="5"/>
        <v>14.606086844268697</v>
      </c>
      <c r="Q11">
        <f>ROUNDUP(몬스터!$P$6/F11, 0)</f>
        <v>9</v>
      </c>
      <c r="R11" s="6">
        <f t="shared" si="6"/>
        <v>13.024602026049203</v>
      </c>
      <c r="S11" s="7">
        <f>B11/몬스터!C6*R11</f>
        <v>170.9479015918958</v>
      </c>
      <c r="U11">
        <f>ROUNDDOWN(R11*몬스터!H6, 0)*몬스터!G6*(1+몬스터!I6)</f>
        <v>109.98000000000002</v>
      </c>
      <c r="V11" s="2">
        <f t="shared" si="12"/>
        <v>0.40927213121001066</v>
      </c>
    </row>
    <row r="12" spans="1:22" x14ac:dyDescent="0.4">
      <c r="A12">
        <v>8</v>
      </c>
      <c r="B12" s="4">
        <f>150*A12+50</f>
        <v>1250</v>
      </c>
      <c r="C12">
        <f t="shared" si="8"/>
        <v>250</v>
      </c>
      <c r="D12">
        <f t="shared" si="9"/>
        <v>17</v>
      </c>
      <c r="E12" s="3">
        <f t="shared" si="10"/>
        <v>8.3999999999999995E-3</v>
      </c>
      <c r="F12">
        <f t="shared" si="11"/>
        <v>27</v>
      </c>
      <c r="G12">
        <f t="shared" si="0"/>
        <v>0.69500000000000006</v>
      </c>
      <c r="H12" s="3">
        <f t="shared" si="1"/>
        <v>6.7500000000000004E-2</v>
      </c>
      <c r="I12" s="2">
        <v>2</v>
      </c>
      <c r="J12" s="2">
        <v>0</v>
      </c>
      <c r="K12" s="2">
        <v>1</v>
      </c>
      <c r="L12" s="16">
        <f>1</f>
        <v>1</v>
      </c>
      <c r="M12" s="5">
        <f t="shared" si="2"/>
        <v>270</v>
      </c>
      <c r="N12" s="6">
        <f t="shared" si="3"/>
        <v>20.031637499999999</v>
      </c>
      <c r="O12">
        <f t="shared" si="4"/>
        <v>294.95699999999999</v>
      </c>
      <c r="P12" s="7">
        <f t="shared" si="5"/>
        <v>14.72455759046159</v>
      </c>
      <c r="Q12">
        <f>ROUNDUP(몬스터!$P$6/F12, 0)</f>
        <v>9</v>
      </c>
      <c r="R12" s="6">
        <f t="shared" si="6"/>
        <v>12.949640287769784</v>
      </c>
      <c r="S12" s="7">
        <f>B12/몬스터!C6*R12</f>
        <v>202.33812949640287</v>
      </c>
      <c r="U12">
        <f>ROUNDDOWN(R12*몬스터!H6, 0)*몬스터!G6*(1+몬스터!I6)</f>
        <v>96.232500000000016</v>
      </c>
      <c r="V12" s="2">
        <f t="shared" si="12"/>
        <v>0.32625942086473625</v>
      </c>
    </row>
    <row r="13" spans="1:22" x14ac:dyDescent="0.4">
      <c r="A13">
        <v>9</v>
      </c>
      <c r="B13" s="4">
        <f>150*A13+50</f>
        <v>1400</v>
      </c>
      <c r="C13">
        <f t="shared" si="8"/>
        <v>270</v>
      </c>
      <c r="D13">
        <f t="shared" si="9"/>
        <v>18</v>
      </c>
      <c r="E13" s="3">
        <f t="shared" si="10"/>
        <v>9.5999999999999992E-3</v>
      </c>
      <c r="F13">
        <f t="shared" si="11"/>
        <v>29</v>
      </c>
      <c r="G13">
        <f t="shared" si="0"/>
        <v>0.69900000000000007</v>
      </c>
      <c r="H13" s="3">
        <f t="shared" si="1"/>
        <v>7.0000000000000007E-2</v>
      </c>
      <c r="I13" s="2">
        <v>2</v>
      </c>
      <c r="J13" s="2">
        <v>0</v>
      </c>
      <c r="K13" s="2">
        <v>1</v>
      </c>
      <c r="L13" s="16">
        <f>1</f>
        <v>1</v>
      </c>
      <c r="M13" s="5">
        <f t="shared" si="2"/>
        <v>280</v>
      </c>
      <c r="N13" s="6">
        <f t="shared" si="3"/>
        <v>21.689970000000002</v>
      </c>
      <c r="O13">
        <f t="shared" si="4"/>
        <v>321.65855999999997</v>
      </c>
      <c r="P13" s="7">
        <f t="shared" si="5"/>
        <v>14.829829640151642</v>
      </c>
      <c r="Q13">
        <f>ROUNDUP(몬스터!$P$6/F13, 0)</f>
        <v>8</v>
      </c>
      <c r="R13" s="6">
        <f t="shared" si="6"/>
        <v>11.444921316165951</v>
      </c>
      <c r="S13" s="7">
        <f>B13/몬스터!C6*R13</f>
        <v>200.28612303290416</v>
      </c>
      <c r="U13">
        <f>ROUNDDOWN(R13*몬스터!H6, 0)*몬스터!G6*(1+몬스터!I6)</f>
        <v>96.232500000000016</v>
      </c>
      <c r="V13" s="2">
        <f t="shared" si="12"/>
        <v>0.2991759336359649</v>
      </c>
    </row>
    <row r="14" spans="1:22" x14ac:dyDescent="0.4">
      <c r="A14">
        <v>10</v>
      </c>
      <c r="B14" s="4">
        <f>150*A14+50</f>
        <v>1550</v>
      </c>
      <c r="C14">
        <f t="shared" si="8"/>
        <v>290</v>
      </c>
      <c r="D14">
        <f t="shared" si="9"/>
        <v>19</v>
      </c>
      <c r="E14" s="3">
        <f t="shared" si="10"/>
        <v>1.0799999999999999E-2</v>
      </c>
      <c r="F14">
        <f t="shared" si="11"/>
        <v>31</v>
      </c>
      <c r="G14">
        <f t="shared" si="0"/>
        <v>0.70300000000000007</v>
      </c>
      <c r="H14" s="3">
        <f t="shared" si="1"/>
        <v>7.2500000000000009E-2</v>
      </c>
      <c r="I14" s="2">
        <v>2</v>
      </c>
      <c r="J14" s="2">
        <v>0</v>
      </c>
      <c r="K14" s="2">
        <v>1</v>
      </c>
      <c r="L14" s="16">
        <f>1</f>
        <v>1</v>
      </c>
      <c r="M14" s="5">
        <f t="shared" si="2"/>
        <v>290</v>
      </c>
      <c r="N14" s="6">
        <f t="shared" si="3"/>
        <v>23.372992500000002</v>
      </c>
      <c r="O14">
        <f t="shared" si="4"/>
        <v>348.82707999999991</v>
      </c>
      <c r="P14" s="7">
        <f t="shared" si="5"/>
        <v>14.924365375978274</v>
      </c>
      <c r="Q14">
        <f>ROUNDUP(몬스터!$P$6/F14, 0)</f>
        <v>8</v>
      </c>
      <c r="R14" s="6">
        <f t="shared" si="6"/>
        <v>11.379800853485063</v>
      </c>
      <c r="S14" s="7">
        <f>B14/몬스터!C6*R14</f>
        <v>220.4836415362731</v>
      </c>
      <c r="T14" s="7">
        <f>SUM(S10:S14)</f>
        <v>957.81125417275973</v>
      </c>
      <c r="U14">
        <f>ROUNDDOWN(R14*몬스터!H6, 0)*몬스터!G6*(1+몬스터!I6)</f>
        <v>96.232500000000016</v>
      </c>
      <c r="V14" s="2">
        <f t="shared" si="12"/>
        <v>0.27587451066012431</v>
      </c>
    </row>
    <row r="15" spans="1:22" x14ac:dyDescent="0.4">
      <c r="A15">
        <v>11</v>
      </c>
      <c r="B15" s="4">
        <f>160*A15</f>
        <v>1760</v>
      </c>
      <c r="C15">
        <f t="shared" si="8"/>
        <v>310</v>
      </c>
      <c r="D15">
        <f t="shared" si="9"/>
        <v>20</v>
      </c>
      <c r="E15" s="3">
        <f t="shared" si="10"/>
        <v>1.1999999999999999E-2</v>
      </c>
      <c r="F15">
        <f t="shared" si="11"/>
        <v>33</v>
      </c>
      <c r="G15">
        <f t="shared" si="0"/>
        <v>0.70700000000000007</v>
      </c>
      <c r="H15" s="3">
        <f t="shared" si="1"/>
        <v>7.4999999999999997E-2</v>
      </c>
      <c r="I15" s="2">
        <v>2</v>
      </c>
      <c r="J15" s="2">
        <v>0</v>
      </c>
      <c r="K15" s="2">
        <v>1</v>
      </c>
      <c r="L15" s="16">
        <f>1</f>
        <v>1</v>
      </c>
      <c r="M15" s="5">
        <f t="shared" si="2"/>
        <v>300</v>
      </c>
      <c r="N15" s="6">
        <f t="shared" si="3"/>
        <v>25.080825000000001</v>
      </c>
      <c r="O15">
        <f t="shared" si="4"/>
        <v>376.464</v>
      </c>
      <c r="P15" s="7">
        <f t="shared" si="5"/>
        <v>15.010032564718266</v>
      </c>
      <c r="Q15">
        <f>ROUNDUP(몬스터!$P$7/F15, 0)</f>
        <v>8</v>
      </c>
      <c r="R15" s="6">
        <f t="shared" si="6"/>
        <v>11.315417256011314</v>
      </c>
      <c r="S15" s="7">
        <f>B15/몬스터!C7*R15</f>
        <v>153.19334131215317</v>
      </c>
      <c r="U15">
        <f>ROUNDDOWN(R15*몬스터!H7, 0)*몬스터!G7*(1+몬스터!I7)</f>
        <v>156.55499999999998</v>
      </c>
      <c r="V15" s="2">
        <f t="shared" si="12"/>
        <v>0.41585649623868415</v>
      </c>
    </row>
    <row r="16" spans="1:22" x14ac:dyDescent="0.4">
      <c r="A16">
        <v>12</v>
      </c>
      <c r="B16" s="4">
        <f t="shared" ref="B16:B23" si="13">160*A16</f>
        <v>1920</v>
      </c>
      <c r="C16">
        <f t="shared" si="8"/>
        <v>330</v>
      </c>
      <c r="D16">
        <f t="shared" si="9"/>
        <v>21</v>
      </c>
      <c r="E16" s="3">
        <f t="shared" si="10"/>
        <v>1.32E-2</v>
      </c>
      <c r="F16">
        <f t="shared" si="11"/>
        <v>35</v>
      </c>
      <c r="G16">
        <f t="shared" si="0"/>
        <v>0.71100000000000008</v>
      </c>
      <c r="H16" s="3">
        <f t="shared" si="1"/>
        <v>7.7499999999999999E-2</v>
      </c>
      <c r="I16" s="2">
        <v>2</v>
      </c>
      <c r="J16" s="2">
        <v>0</v>
      </c>
      <c r="K16" s="2">
        <v>1</v>
      </c>
      <c r="L16" s="16">
        <f>1</f>
        <v>1</v>
      </c>
      <c r="M16" s="5">
        <f t="shared" si="2"/>
        <v>310</v>
      </c>
      <c r="N16" s="6">
        <f t="shared" si="3"/>
        <v>26.813587500000001</v>
      </c>
      <c r="O16">
        <f t="shared" si="4"/>
        <v>404.57076000000006</v>
      </c>
      <c r="P16" s="7">
        <f t="shared" si="5"/>
        <v>15.088274181886332</v>
      </c>
      <c r="Q16">
        <f>ROUNDUP(몬스터!$P$7/F16, 0)</f>
        <v>8</v>
      </c>
      <c r="R16" s="6">
        <f t="shared" si="6"/>
        <v>11.251758087201123</v>
      </c>
      <c r="S16" s="7">
        <f>B16/몬스터!C7*R16</f>
        <v>166.17981174943199</v>
      </c>
      <c r="U16">
        <f>ROUNDDOWN(R16*몬스터!H7, 0)*몬스터!G7*(1+몬스터!I7)</f>
        <v>156.55499999999998</v>
      </c>
      <c r="V16" s="2">
        <f t="shared" si="12"/>
        <v>0.38696568185006736</v>
      </c>
    </row>
    <row r="17" spans="1:22" x14ac:dyDescent="0.4">
      <c r="A17">
        <v>13</v>
      </c>
      <c r="B17" s="4">
        <f>160*A17+40</f>
        <v>2120</v>
      </c>
      <c r="C17">
        <f t="shared" si="8"/>
        <v>350</v>
      </c>
      <c r="D17">
        <f t="shared" si="9"/>
        <v>22</v>
      </c>
      <c r="E17" s="3">
        <f t="shared" si="10"/>
        <v>1.44E-2</v>
      </c>
      <c r="F17">
        <f t="shared" si="11"/>
        <v>37</v>
      </c>
      <c r="G17">
        <f t="shared" si="0"/>
        <v>0.71500000000000008</v>
      </c>
      <c r="H17" s="3">
        <f t="shared" si="1"/>
        <v>0.08</v>
      </c>
      <c r="I17" s="2">
        <v>2</v>
      </c>
      <c r="J17" s="2">
        <v>0</v>
      </c>
      <c r="K17" s="2">
        <v>1</v>
      </c>
      <c r="L17" s="16">
        <f>1</f>
        <v>1</v>
      </c>
      <c r="M17" s="5">
        <f t="shared" si="2"/>
        <v>320</v>
      </c>
      <c r="N17" s="6">
        <f t="shared" si="3"/>
        <v>28.571400000000004</v>
      </c>
      <c r="O17">
        <f t="shared" si="4"/>
        <v>433.14879999999999</v>
      </c>
      <c r="P17" s="7">
        <f t="shared" si="5"/>
        <v>15.160223160223158</v>
      </c>
      <c r="Q17">
        <f>ROUNDUP(몬스터!$P$7/F17, 0)</f>
        <v>7</v>
      </c>
      <c r="R17" s="6">
        <f t="shared" si="6"/>
        <v>9.79020979020979</v>
      </c>
      <c r="S17" s="7">
        <f>B17/몬스터!C7*R17</f>
        <v>159.65572888649811</v>
      </c>
      <c r="U17">
        <f>ROUNDDOWN(R17*몬스터!H7, 0)*몬스터!G7*(1+몬스터!I7)</f>
        <v>134.19</v>
      </c>
      <c r="V17" s="2">
        <f t="shared" si="12"/>
        <v>0.30980115840099293</v>
      </c>
    </row>
    <row r="18" spans="1:22" x14ac:dyDescent="0.4">
      <c r="A18">
        <v>14</v>
      </c>
      <c r="B18" s="4">
        <f>160*A18+120</f>
        <v>2360</v>
      </c>
      <c r="C18">
        <f t="shared" si="8"/>
        <v>370</v>
      </c>
      <c r="D18">
        <f t="shared" si="9"/>
        <v>23</v>
      </c>
      <c r="E18" s="3">
        <f t="shared" si="10"/>
        <v>1.5599999999999999E-2</v>
      </c>
      <c r="F18">
        <f t="shared" si="11"/>
        <v>39</v>
      </c>
      <c r="G18">
        <f t="shared" si="0"/>
        <v>0.71900000000000008</v>
      </c>
      <c r="H18" s="3">
        <f t="shared" si="1"/>
        <v>8.2500000000000004E-2</v>
      </c>
      <c r="I18" s="2">
        <v>2</v>
      </c>
      <c r="J18" s="2">
        <v>0</v>
      </c>
      <c r="K18" s="2">
        <v>1</v>
      </c>
      <c r="L18" s="16">
        <f>1</f>
        <v>1</v>
      </c>
      <c r="M18" s="5">
        <f t="shared" si="2"/>
        <v>330</v>
      </c>
      <c r="N18" s="6">
        <f t="shared" si="3"/>
        <v>30.354382500000003</v>
      </c>
      <c r="O18">
        <f t="shared" si="4"/>
        <v>462.19956000000002</v>
      </c>
      <c r="P18" s="7">
        <f t="shared" si="5"/>
        <v>15.22678183290337</v>
      </c>
      <c r="Q18">
        <f>ROUNDUP(몬스터!$P$7/F18, 0)</f>
        <v>7</v>
      </c>
      <c r="R18" s="6">
        <f t="shared" si="6"/>
        <v>9.7357440890125169</v>
      </c>
      <c r="S18" s="7">
        <f>B18/몬스터!C7*R18</f>
        <v>176.74120038515031</v>
      </c>
      <c r="U18">
        <f>ROUNDDOWN(R18*몬스터!H7, 0)*몬스터!G7*(1+몬스터!I7)</f>
        <v>134.19</v>
      </c>
      <c r="V18" s="2">
        <f t="shared" si="12"/>
        <v>0.29032913834881191</v>
      </c>
    </row>
    <row r="19" spans="1:22" x14ac:dyDescent="0.4">
      <c r="A19">
        <v>15</v>
      </c>
      <c r="B19" s="4">
        <f>160*A19+100</f>
        <v>2500</v>
      </c>
      <c r="C19">
        <f t="shared" si="8"/>
        <v>390</v>
      </c>
      <c r="D19">
        <f t="shared" si="9"/>
        <v>24</v>
      </c>
      <c r="E19" s="3">
        <f t="shared" si="10"/>
        <v>1.6799999999999999E-2</v>
      </c>
      <c r="F19">
        <f t="shared" si="11"/>
        <v>41</v>
      </c>
      <c r="G19">
        <f t="shared" si="0"/>
        <v>0.72300000000000009</v>
      </c>
      <c r="H19" s="3">
        <f t="shared" si="1"/>
        <v>8.4999999999999992E-2</v>
      </c>
      <c r="I19" s="2">
        <v>2</v>
      </c>
      <c r="J19" s="2">
        <v>0</v>
      </c>
      <c r="K19" s="2">
        <v>1</v>
      </c>
      <c r="L19" s="16">
        <f>1</f>
        <v>1</v>
      </c>
      <c r="M19" s="5">
        <f t="shared" si="2"/>
        <v>340</v>
      </c>
      <c r="N19" s="6">
        <f t="shared" si="3"/>
        <v>32.162655000000001</v>
      </c>
      <c r="O19">
        <f t="shared" si="4"/>
        <v>491.72447999999997</v>
      </c>
      <c r="P19" s="7">
        <f t="shared" si="5"/>
        <v>15.2886781268524</v>
      </c>
      <c r="Q19">
        <f>ROUNDUP(몬스터!$P$7/F19, 0)</f>
        <v>7</v>
      </c>
      <c r="R19" s="6">
        <f t="shared" si="6"/>
        <v>9.6818810511756563</v>
      </c>
      <c r="S19" s="7">
        <f>B19/몬스터!C7*R19</f>
        <v>186.19002021491647</v>
      </c>
      <c r="T19" s="7">
        <f t="shared" ref="T19" si="14">SUM(S15:S19)</f>
        <v>841.96010254815008</v>
      </c>
      <c r="U19">
        <f>ROUNDDOWN(R19*몬스터!H7, 0)*몬스터!G7*(1+몬스터!I7)</f>
        <v>134.19</v>
      </c>
      <c r="V19" s="2">
        <f t="shared" si="12"/>
        <v>0.27289672460480308</v>
      </c>
    </row>
    <row r="20" spans="1:22" x14ac:dyDescent="0.4">
      <c r="A20">
        <v>16</v>
      </c>
      <c r="B20" s="4">
        <f>160*A20</f>
        <v>2560</v>
      </c>
      <c r="C20">
        <f t="shared" si="8"/>
        <v>410</v>
      </c>
      <c r="D20">
        <f t="shared" si="9"/>
        <v>25</v>
      </c>
      <c r="E20" s="3">
        <f t="shared" si="10"/>
        <v>1.7999999999999999E-2</v>
      </c>
      <c r="F20">
        <f t="shared" si="11"/>
        <v>43</v>
      </c>
      <c r="G20">
        <f t="shared" si="0"/>
        <v>0.72700000000000009</v>
      </c>
      <c r="H20" s="3">
        <f t="shared" si="1"/>
        <v>8.7499999999999994E-2</v>
      </c>
      <c r="I20" s="2">
        <v>2</v>
      </c>
      <c r="J20" s="2">
        <v>0</v>
      </c>
      <c r="K20" s="2">
        <v>1</v>
      </c>
      <c r="L20" s="16">
        <f>1</f>
        <v>1</v>
      </c>
      <c r="M20" s="5">
        <f t="shared" si="2"/>
        <v>350</v>
      </c>
      <c r="N20" s="6">
        <f t="shared" si="3"/>
        <v>33.996337500000003</v>
      </c>
      <c r="O20">
        <f t="shared" si="4"/>
        <v>521.72500000000002</v>
      </c>
      <c r="P20" s="7">
        <f t="shared" si="5"/>
        <v>15.346506075838315</v>
      </c>
      <c r="Q20">
        <f>ROUNDUP(몬스터!$P$8/F20, 0)</f>
        <v>8</v>
      </c>
      <c r="R20" s="6">
        <f t="shared" si="6"/>
        <v>11.004126547455295</v>
      </c>
      <c r="S20" s="7">
        <f>B20/몬스터!C8*R20</f>
        <v>156.50313311936418</v>
      </c>
      <c r="U20">
        <f>ROUNDDOWN(R20*몬스터!H$8, 0)*몬스터!G$8*(1+몬스터!I$8)</f>
        <v>210.21</v>
      </c>
      <c r="V20" s="2">
        <f t="shared" si="12"/>
        <v>0.40291341223824811</v>
      </c>
    </row>
    <row r="21" spans="1:22" x14ac:dyDescent="0.4">
      <c r="A21">
        <v>17</v>
      </c>
      <c r="B21" s="4">
        <f t="shared" si="13"/>
        <v>2720</v>
      </c>
      <c r="C21">
        <f t="shared" si="8"/>
        <v>430</v>
      </c>
      <c r="D21">
        <f t="shared" si="9"/>
        <v>26</v>
      </c>
      <c r="E21" s="3">
        <f t="shared" si="10"/>
        <v>1.9199999999999998E-2</v>
      </c>
      <c r="F21">
        <f t="shared" si="11"/>
        <v>45</v>
      </c>
      <c r="G21">
        <f t="shared" si="0"/>
        <v>0.73100000000000009</v>
      </c>
      <c r="H21" s="3">
        <f t="shared" si="1"/>
        <v>0.09</v>
      </c>
      <c r="I21" s="2">
        <v>2</v>
      </c>
      <c r="J21" s="2">
        <v>0</v>
      </c>
      <c r="K21" s="2">
        <v>1</v>
      </c>
      <c r="L21" s="16">
        <f>1</f>
        <v>1</v>
      </c>
      <c r="M21" s="5">
        <f t="shared" si="2"/>
        <v>360</v>
      </c>
      <c r="N21" s="6">
        <f t="shared" si="3"/>
        <v>35.855550000000008</v>
      </c>
      <c r="O21">
        <f t="shared" si="4"/>
        <v>552.20256000000006</v>
      </c>
      <c r="P21" s="7">
        <f t="shared" si="5"/>
        <v>15.400755531570425</v>
      </c>
      <c r="Q21">
        <f>ROUNDUP(몬스터!$P$8/F21, 0)</f>
        <v>8</v>
      </c>
      <c r="R21" s="6">
        <f t="shared" si="6"/>
        <v>10.943912448700409</v>
      </c>
      <c r="S21" s="7">
        <f>B21/몬스터!C8*R21</f>
        <v>165.37467700258395</v>
      </c>
      <c r="U21">
        <f>ROUNDDOWN(R21*몬스터!H$8, 0)*몬스터!G$8*(1+몬스터!I$8)</f>
        <v>210.21</v>
      </c>
      <c r="V21" s="2">
        <f t="shared" si="12"/>
        <v>0.38067552602436322</v>
      </c>
    </row>
    <row r="22" spans="1:22" x14ac:dyDescent="0.4">
      <c r="A22">
        <v>18</v>
      </c>
      <c r="B22" s="4">
        <f t="shared" si="13"/>
        <v>2880</v>
      </c>
      <c r="C22">
        <f t="shared" si="8"/>
        <v>450</v>
      </c>
      <c r="D22">
        <f t="shared" si="9"/>
        <v>27</v>
      </c>
      <c r="E22" s="3">
        <f t="shared" si="10"/>
        <v>2.0399999999999998E-2</v>
      </c>
      <c r="F22">
        <f t="shared" si="11"/>
        <v>47</v>
      </c>
      <c r="G22">
        <f t="shared" si="0"/>
        <v>0.7350000000000001</v>
      </c>
      <c r="H22" s="3">
        <f t="shared" si="1"/>
        <v>9.2499999999999999E-2</v>
      </c>
      <c r="I22" s="2">
        <v>2</v>
      </c>
      <c r="J22" s="2">
        <v>0</v>
      </c>
      <c r="K22" s="2">
        <v>1</v>
      </c>
      <c r="L22" s="16">
        <f>1</f>
        <v>1</v>
      </c>
      <c r="M22" s="5">
        <f t="shared" si="2"/>
        <v>370</v>
      </c>
      <c r="N22" s="6">
        <f t="shared" si="3"/>
        <v>37.740412500000005</v>
      </c>
      <c r="O22">
        <f t="shared" si="4"/>
        <v>583.15859999999998</v>
      </c>
      <c r="P22" s="7">
        <f t="shared" si="5"/>
        <v>15.45183429036447</v>
      </c>
      <c r="Q22">
        <f>ROUNDUP(몬스터!$P$8/F22, 0)</f>
        <v>8</v>
      </c>
      <c r="R22" s="6">
        <f t="shared" si="6"/>
        <v>10.884353741496597</v>
      </c>
      <c r="S22" s="7">
        <f>B22/몬스터!C8*R22</f>
        <v>174.14965986394554</v>
      </c>
      <c r="U22">
        <f>ROUNDDOWN(R22*몬스터!H$8, 0)*몬스터!G$8*(1+몬스터!I$8)</f>
        <v>210.21</v>
      </c>
      <c r="V22" s="2">
        <f t="shared" si="12"/>
        <v>0.36046797560732197</v>
      </c>
    </row>
    <row r="23" spans="1:22" x14ac:dyDescent="0.4">
      <c r="A23">
        <v>19</v>
      </c>
      <c r="B23" s="4">
        <f t="shared" si="13"/>
        <v>3040</v>
      </c>
      <c r="C23">
        <f t="shared" si="8"/>
        <v>470</v>
      </c>
      <c r="D23">
        <f t="shared" si="9"/>
        <v>28</v>
      </c>
      <c r="E23" s="3">
        <f t="shared" si="10"/>
        <v>2.1599999999999998E-2</v>
      </c>
      <c r="F23">
        <f t="shared" si="11"/>
        <v>49</v>
      </c>
      <c r="G23">
        <f t="shared" si="0"/>
        <v>0.73899999999999999</v>
      </c>
      <c r="H23" s="3">
        <f t="shared" si="1"/>
        <v>9.5000000000000001E-2</v>
      </c>
      <c r="I23" s="2">
        <v>2</v>
      </c>
      <c r="J23" s="2">
        <v>0</v>
      </c>
      <c r="K23" s="2">
        <v>1</v>
      </c>
      <c r="L23" s="16">
        <f>1</f>
        <v>1</v>
      </c>
      <c r="M23" s="5">
        <f t="shared" si="2"/>
        <v>380</v>
      </c>
      <c r="N23" s="6">
        <f t="shared" si="3"/>
        <v>39.651044999999996</v>
      </c>
      <c r="O23">
        <f t="shared" si="4"/>
        <v>614.59456000000011</v>
      </c>
      <c r="P23" s="7">
        <f t="shared" si="5"/>
        <v>15.500084802304711</v>
      </c>
      <c r="Q23">
        <f>ROUNDUP(몬스터!$P$8/F23, 0)</f>
        <v>7</v>
      </c>
      <c r="R23" s="6">
        <f t="shared" si="6"/>
        <v>9.472259810554803</v>
      </c>
      <c r="S23" s="7">
        <f>B23/몬스터!C8*R23</f>
        <v>159.9759434671478</v>
      </c>
      <c r="U23">
        <f>ROUNDDOWN(R23*몬스터!H$8, 0)*몬스터!G$8*(1+몬스터!I$8)</f>
        <v>180.18</v>
      </c>
      <c r="V23" s="2">
        <f t="shared" si="12"/>
        <v>0.29316888193738644</v>
      </c>
    </row>
    <row r="24" spans="1:22" x14ac:dyDescent="0.4">
      <c r="A24">
        <v>20</v>
      </c>
      <c r="B24" s="4">
        <f>160*A24+80</f>
        <v>3280</v>
      </c>
      <c r="C24">
        <f t="shared" si="8"/>
        <v>490</v>
      </c>
      <c r="D24">
        <f t="shared" si="9"/>
        <v>29</v>
      </c>
      <c r="E24" s="3">
        <f t="shared" si="10"/>
        <v>2.2799999999999997E-2</v>
      </c>
      <c r="F24">
        <f t="shared" si="11"/>
        <v>51</v>
      </c>
      <c r="G24">
        <f t="shared" si="0"/>
        <v>0.74299999999999999</v>
      </c>
      <c r="H24" s="3">
        <f t="shared" si="1"/>
        <v>9.7500000000000003E-2</v>
      </c>
      <c r="I24" s="2">
        <v>2</v>
      </c>
      <c r="J24" s="2">
        <v>0</v>
      </c>
      <c r="K24" s="2">
        <v>1</v>
      </c>
      <c r="L24" s="16">
        <f>1</f>
        <v>1</v>
      </c>
      <c r="M24" s="5">
        <f t="shared" si="2"/>
        <v>390</v>
      </c>
      <c r="N24" s="6">
        <f t="shared" si="3"/>
        <v>41.587567499999999</v>
      </c>
      <c r="O24">
        <f t="shared" si="4"/>
        <v>646.51188000000002</v>
      </c>
      <c r="P24" s="7">
        <f t="shared" si="5"/>
        <v>15.545796950013969</v>
      </c>
      <c r="Q24">
        <f>ROUNDUP(몬스터!$P$8/F24, 0)</f>
        <v>7</v>
      </c>
      <c r="R24" s="6">
        <f t="shared" si="6"/>
        <v>9.4212651413189779</v>
      </c>
      <c r="S24" s="7">
        <f>B24/몬스터!C8*R24</f>
        <v>171.67638701959027</v>
      </c>
      <c r="T24" s="7">
        <f t="shared" ref="T24" si="15">SUM(S20:S24)</f>
        <v>827.67980047263177</v>
      </c>
      <c r="U24">
        <f>ROUNDDOWN(R24*몬스터!H$8, 0)*몬스터!G$8*(1+몬스터!I$8)</f>
        <v>180.18</v>
      </c>
      <c r="V24" s="2">
        <f t="shared" si="12"/>
        <v>0.27869557478201329</v>
      </c>
    </row>
    <row r="25" spans="1:22" x14ac:dyDescent="0.4">
      <c r="A25">
        <v>21</v>
      </c>
      <c r="B25" s="4">
        <f>160*A25</f>
        <v>3360</v>
      </c>
      <c r="C25">
        <f t="shared" si="8"/>
        <v>510</v>
      </c>
      <c r="D25">
        <f t="shared" si="9"/>
        <v>30</v>
      </c>
      <c r="E25" s="3">
        <f t="shared" si="10"/>
        <v>2.3999999999999997E-2</v>
      </c>
      <c r="F25">
        <f t="shared" si="11"/>
        <v>53</v>
      </c>
      <c r="G25">
        <f t="shared" si="0"/>
        <v>0.747</v>
      </c>
      <c r="H25" s="3">
        <f t="shared" si="1"/>
        <v>0.1</v>
      </c>
      <c r="I25" s="2">
        <v>2</v>
      </c>
      <c r="J25" s="2">
        <v>0</v>
      </c>
      <c r="K25" s="2">
        <v>1</v>
      </c>
      <c r="L25" s="16">
        <f>1</f>
        <v>1</v>
      </c>
      <c r="M25" s="5">
        <f t="shared" si="2"/>
        <v>400</v>
      </c>
      <c r="N25" s="6">
        <f t="shared" si="3"/>
        <v>43.550100000000008</v>
      </c>
      <c r="O25">
        <f t="shared" si="4"/>
        <v>678.91200000000003</v>
      </c>
      <c r="P25" s="7">
        <f t="shared" si="5"/>
        <v>15.589217935205658</v>
      </c>
      <c r="Q25">
        <f>ROUNDUP(몬스터!$P$11/F25, 0)</f>
        <v>9</v>
      </c>
      <c r="R25" s="6">
        <f t="shared" si="6"/>
        <v>12.048192771084338</v>
      </c>
      <c r="S25" s="7">
        <f>B25/몬스터!C11*R25</f>
        <v>176.00838135149291</v>
      </c>
      <c r="U25">
        <f>ROUNDDOWN(R25*몬스터!H$11, 0)*몬스터!G$11*(1+몬스터!I$11)</f>
        <v>311.04000000000002</v>
      </c>
      <c r="V25" s="2">
        <f t="shared" si="12"/>
        <v>0.45814479638009048</v>
      </c>
    </row>
    <row r="26" spans="1:22" x14ac:dyDescent="0.4">
      <c r="A26">
        <v>22</v>
      </c>
      <c r="B26" s="4">
        <f t="shared" ref="B26:B29" si="16">160*A26</f>
        <v>3520</v>
      </c>
      <c r="C26">
        <f t="shared" si="8"/>
        <v>530</v>
      </c>
      <c r="D26">
        <f t="shared" si="9"/>
        <v>31</v>
      </c>
      <c r="E26" s="3">
        <f t="shared" si="10"/>
        <v>2.5199999999999997E-2</v>
      </c>
      <c r="F26">
        <f t="shared" si="11"/>
        <v>55</v>
      </c>
      <c r="G26">
        <f t="shared" si="0"/>
        <v>0.751</v>
      </c>
      <c r="H26" s="3">
        <f t="shared" si="1"/>
        <v>0.10250000000000001</v>
      </c>
      <c r="I26" s="2">
        <v>2</v>
      </c>
      <c r="J26" s="2">
        <v>0</v>
      </c>
      <c r="K26" s="2">
        <v>1</v>
      </c>
      <c r="L26" s="16">
        <f>1</f>
        <v>1</v>
      </c>
      <c r="M26" s="5">
        <f t="shared" si="2"/>
        <v>410</v>
      </c>
      <c r="N26" s="6">
        <f t="shared" si="3"/>
        <v>45.538762500000004</v>
      </c>
      <c r="O26">
        <f t="shared" si="4"/>
        <v>711.79636000000005</v>
      </c>
      <c r="P26" s="7">
        <f t="shared" si="5"/>
        <v>15.630560009178993</v>
      </c>
      <c r="Q26">
        <f>ROUNDUP(몬스터!$P$11/F26, 0)</f>
        <v>8</v>
      </c>
      <c r="R26" s="6">
        <f t="shared" si="6"/>
        <v>10.652463382157125</v>
      </c>
      <c r="S26" s="7">
        <f>B26/몬스터!C11*R26</f>
        <v>163.0290048051873</v>
      </c>
      <c r="U26">
        <f>ROUNDDOWN(R26*몬스터!H$11, 0)*몬스터!G$11*(1+몬스터!I$11)</f>
        <v>272.16000000000003</v>
      </c>
      <c r="V26" s="2">
        <f t="shared" si="12"/>
        <v>0.38235654928047119</v>
      </c>
    </row>
    <row r="27" spans="1:22" x14ac:dyDescent="0.4">
      <c r="A27">
        <v>23</v>
      </c>
      <c r="B27" s="4">
        <f t="shared" si="16"/>
        <v>3680</v>
      </c>
      <c r="C27">
        <f t="shared" si="8"/>
        <v>550</v>
      </c>
      <c r="D27">
        <f t="shared" si="9"/>
        <v>32</v>
      </c>
      <c r="E27" s="3">
        <f t="shared" si="10"/>
        <v>2.6399999999999996E-2</v>
      </c>
      <c r="F27">
        <f t="shared" si="11"/>
        <v>57</v>
      </c>
      <c r="G27">
        <f t="shared" si="0"/>
        <v>0.755</v>
      </c>
      <c r="H27" s="3">
        <f t="shared" si="1"/>
        <v>0.10500000000000001</v>
      </c>
      <c r="I27" s="2">
        <v>2</v>
      </c>
      <c r="J27" s="2">
        <v>0</v>
      </c>
      <c r="K27" s="2">
        <v>1</v>
      </c>
      <c r="L27" s="16">
        <f>1</f>
        <v>1</v>
      </c>
      <c r="M27" s="5">
        <f t="shared" si="2"/>
        <v>420</v>
      </c>
      <c r="N27" s="6">
        <f t="shared" si="3"/>
        <v>47.553675000000005</v>
      </c>
      <c r="O27">
        <f t="shared" si="4"/>
        <v>745.16639999999995</v>
      </c>
      <c r="P27" s="7">
        <f t="shared" si="5"/>
        <v>15.670006576778764</v>
      </c>
      <c r="Q27">
        <f>ROUNDUP(몬스터!$P$11/F27, 0)</f>
        <v>8</v>
      </c>
      <c r="R27" s="6">
        <f t="shared" si="6"/>
        <v>10.596026490066226</v>
      </c>
      <c r="S27" s="7">
        <f>B27/몬스터!C11*R27</f>
        <v>169.53642384105962</v>
      </c>
      <c r="U27">
        <f>ROUNDDOWN(R27*몬스터!H$11, 0)*몬스터!G$11*(1+몬스터!I$11)</f>
        <v>272.16000000000003</v>
      </c>
      <c r="V27" s="2">
        <f t="shared" si="12"/>
        <v>0.36523385917561507</v>
      </c>
    </row>
    <row r="28" spans="1:22" x14ac:dyDescent="0.4">
      <c r="A28">
        <v>24</v>
      </c>
      <c r="B28" s="4">
        <f t="shared" si="16"/>
        <v>3840</v>
      </c>
      <c r="C28">
        <f t="shared" si="8"/>
        <v>570</v>
      </c>
      <c r="D28">
        <f t="shared" si="9"/>
        <v>33</v>
      </c>
      <c r="E28" s="3">
        <f t="shared" si="10"/>
        <v>2.76E-2</v>
      </c>
      <c r="F28">
        <f t="shared" si="11"/>
        <v>59</v>
      </c>
      <c r="G28">
        <f t="shared" si="0"/>
        <v>0.75900000000000001</v>
      </c>
      <c r="H28" s="3">
        <f t="shared" si="1"/>
        <v>0.1075</v>
      </c>
      <c r="I28" s="2">
        <v>2</v>
      </c>
      <c r="J28" s="2">
        <v>0</v>
      </c>
      <c r="K28" s="2">
        <v>1</v>
      </c>
      <c r="L28" s="16">
        <f>1</f>
        <v>1</v>
      </c>
      <c r="M28" s="5">
        <f t="shared" si="2"/>
        <v>430</v>
      </c>
      <c r="N28" s="6">
        <f t="shared" si="3"/>
        <v>49.594957499999992</v>
      </c>
      <c r="O28">
        <f t="shared" si="4"/>
        <v>779.02356000000009</v>
      </c>
      <c r="P28" s="7">
        <f t="shared" si="5"/>
        <v>15.707717059743427</v>
      </c>
      <c r="Q28">
        <f>ROUNDUP(몬스터!$P$11/F28, 0)</f>
        <v>8</v>
      </c>
      <c r="R28" s="6">
        <f t="shared" si="6"/>
        <v>10.540184453227932</v>
      </c>
      <c r="S28" s="7">
        <f>B28/몬스터!C11*R28</f>
        <v>175.97525347997939</v>
      </c>
      <c r="U28">
        <f>ROUNDDOWN(R28*몬스터!H$11, 0)*몬스터!G$11*(1+몬스터!I$11)</f>
        <v>233.28000000000003</v>
      </c>
      <c r="V28" s="2">
        <f t="shared" si="12"/>
        <v>0.29945179064930977</v>
      </c>
    </row>
    <row r="29" spans="1:22" x14ac:dyDescent="0.4">
      <c r="A29">
        <v>25</v>
      </c>
      <c r="B29" s="4">
        <f t="shared" si="16"/>
        <v>4000</v>
      </c>
      <c r="C29">
        <f t="shared" si="8"/>
        <v>590</v>
      </c>
      <c r="D29">
        <f>9+A29</f>
        <v>34</v>
      </c>
      <c r="E29" s="3">
        <f t="shared" si="10"/>
        <v>2.8799999999999999E-2</v>
      </c>
      <c r="F29">
        <f t="shared" si="11"/>
        <v>61</v>
      </c>
      <c r="G29">
        <f t="shared" si="0"/>
        <v>0.76300000000000001</v>
      </c>
      <c r="H29" s="3">
        <f t="shared" si="1"/>
        <v>0.11</v>
      </c>
      <c r="I29" s="2">
        <v>2</v>
      </c>
      <c r="J29" s="2">
        <v>0</v>
      </c>
      <c r="K29" s="2">
        <v>1</v>
      </c>
      <c r="L29" s="16">
        <f>1</f>
        <v>1</v>
      </c>
      <c r="M29" s="5">
        <f t="shared" si="2"/>
        <v>440</v>
      </c>
      <c r="N29" s="6">
        <f t="shared" si="3"/>
        <v>51.662730000000003</v>
      </c>
      <c r="O29">
        <f t="shared" si="4"/>
        <v>813.36928</v>
      </c>
      <c r="P29" s="7">
        <f t="shared" si="5"/>
        <v>15.743830804140623</v>
      </c>
      <c r="Q29">
        <f>ROUNDUP(몬스터!$P$11/F29, 0)</f>
        <v>7</v>
      </c>
      <c r="R29" s="6">
        <f t="shared" si="6"/>
        <v>9.1743119266055047</v>
      </c>
      <c r="S29" s="7">
        <f>B29/몬스터!C11*R29</f>
        <v>159.55325089748703</v>
      </c>
      <c r="T29" s="7">
        <f t="shared" ref="T29" si="17">SUM(S25:S29)</f>
        <v>844.10231437520622</v>
      </c>
      <c r="U29">
        <f>ROUNDDOWN(R29*몬스터!H$11, 0)*몬스터!G$11*(1+몬스터!I$11)</f>
        <v>233.28000000000003</v>
      </c>
      <c r="V29" s="2">
        <f t="shared" si="12"/>
        <v>0.28680699620226624</v>
      </c>
    </row>
    <row r="30" spans="1:22" x14ac:dyDescent="0.4">
      <c r="A30">
        <v>26</v>
      </c>
      <c r="B30" s="4">
        <f>170*A30</f>
        <v>4420</v>
      </c>
      <c r="C30">
        <f t="shared" si="8"/>
        <v>610</v>
      </c>
      <c r="D30">
        <f t="shared" si="9"/>
        <v>35</v>
      </c>
      <c r="E30" s="3">
        <f t="shared" si="10"/>
        <v>0.03</v>
      </c>
      <c r="F30">
        <f t="shared" si="11"/>
        <v>63</v>
      </c>
      <c r="G30">
        <f t="shared" si="0"/>
        <v>0.76700000000000002</v>
      </c>
      <c r="H30" s="3">
        <f t="shared" si="1"/>
        <v>0.1125</v>
      </c>
      <c r="I30" s="2">
        <v>2</v>
      </c>
      <c r="J30" s="2">
        <v>0</v>
      </c>
      <c r="K30" s="2">
        <v>1</v>
      </c>
      <c r="L30" s="16">
        <f>1</f>
        <v>1</v>
      </c>
      <c r="M30" s="5">
        <f t="shared" si="2"/>
        <v>450</v>
      </c>
      <c r="N30" s="6">
        <f t="shared" si="3"/>
        <v>53.757112499999998</v>
      </c>
      <c r="O30">
        <f t="shared" si="4"/>
        <v>848.20500000000004</v>
      </c>
      <c r="P30" s="7">
        <f t="shared" si="5"/>
        <v>15.778470244286281</v>
      </c>
      <c r="Q30">
        <f>ROUNDUP(몬스터!$P$12/F30, 0)</f>
        <v>9</v>
      </c>
      <c r="R30" s="6">
        <f t="shared" si="6"/>
        <v>11.734028683181226</v>
      </c>
      <c r="S30" s="7">
        <f>B30/몬스터!C12*R30</f>
        <v>185.23002421307507</v>
      </c>
      <c r="U30">
        <f>ROUNDDOWN(R30*몬스터!H$12, 0)*몬스터!G$12*(1+몬스터!I$12)</f>
        <v>327.33749999999998</v>
      </c>
      <c r="V30" s="2">
        <f t="shared" si="12"/>
        <v>0.38591790899605632</v>
      </c>
    </row>
    <row r="31" spans="1:22" x14ac:dyDescent="0.4">
      <c r="A31">
        <v>27</v>
      </c>
      <c r="B31" s="4">
        <f t="shared" ref="B31:B34" si="18">170*A31</f>
        <v>4590</v>
      </c>
      <c r="C31">
        <f t="shared" si="8"/>
        <v>630</v>
      </c>
      <c r="D31">
        <f t="shared" si="9"/>
        <v>36</v>
      </c>
      <c r="E31" s="3">
        <f t="shared" si="10"/>
        <v>3.1199999999999999E-2</v>
      </c>
      <c r="F31">
        <f t="shared" si="11"/>
        <v>65</v>
      </c>
      <c r="G31">
        <f t="shared" si="0"/>
        <v>0.77100000000000002</v>
      </c>
      <c r="H31" s="3">
        <f t="shared" si="1"/>
        <v>0.115</v>
      </c>
      <c r="I31" s="2">
        <v>2</v>
      </c>
      <c r="J31" s="2">
        <v>0</v>
      </c>
      <c r="K31" s="2">
        <v>1</v>
      </c>
      <c r="L31" s="16">
        <f>1</f>
        <v>1</v>
      </c>
      <c r="M31" s="5">
        <f t="shared" si="2"/>
        <v>460</v>
      </c>
      <c r="N31" s="6">
        <f t="shared" si="3"/>
        <v>55.878225</v>
      </c>
      <c r="O31">
        <f t="shared" si="4"/>
        <v>883.53215999999986</v>
      </c>
      <c r="P31" s="7">
        <f t="shared" si="5"/>
        <v>15.811743483262036</v>
      </c>
      <c r="Q31">
        <f>ROUNDUP(몬스터!$P$12/F31, 0)</f>
        <v>8</v>
      </c>
      <c r="R31" s="6">
        <f t="shared" si="6"/>
        <v>10.376134889753567</v>
      </c>
      <c r="S31" s="7">
        <f>B31/몬스터!C12*R31</f>
        <v>170.09449694274596</v>
      </c>
      <c r="U31">
        <f>ROUNDDOWN(R31*몬스터!H$12, 0)*몬스터!G$12*(1+몬스터!I$12)</f>
        <v>327.33749999999998</v>
      </c>
      <c r="V31" s="2">
        <f t="shared" si="12"/>
        <v>0.37048736290482059</v>
      </c>
    </row>
    <row r="32" spans="1:22" x14ac:dyDescent="0.4">
      <c r="A32">
        <v>28</v>
      </c>
      <c r="B32" s="4">
        <f t="shared" si="18"/>
        <v>4760</v>
      </c>
      <c r="C32">
        <f t="shared" si="8"/>
        <v>650</v>
      </c>
      <c r="D32">
        <f t="shared" si="9"/>
        <v>37</v>
      </c>
      <c r="E32" s="3">
        <f t="shared" si="10"/>
        <v>3.2399999999999998E-2</v>
      </c>
      <c r="F32">
        <f t="shared" si="11"/>
        <v>67</v>
      </c>
      <c r="G32">
        <f t="shared" si="0"/>
        <v>0.77500000000000002</v>
      </c>
      <c r="H32" s="3">
        <f t="shared" si="1"/>
        <v>0.11750000000000001</v>
      </c>
      <c r="I32" s="2">
        <v>2</v>
      </c>
      <c r="J32" s="2">
        <v>0</v>
      </c>
      <c r="K32" s="2">
        <v>1</v>
      </c>
      <c r="L32" s="16">
        <f>1</f>
        <v>1</v>
      </c>
      <c r="M32" s="5">
        <f t="shared" si="2"/>
        <v>470</v>
      </c>
      <c r="N32" s="6">
        <f t="shared" si="3"/>
        <v>58.026187499999999</v>
      </c>
      <c r="O32">
        <f t="shared" si="4"/>
        <v>919.35220000000015</v>
      </c>
      <c r="P32" s="7">
        <f t="shared" si="5"/>
        <v>15.843746411911004</v>
      </c>
      <c r="Q32">
        <f>ROUNDUP(몬스터!$P$12/F32, 0)</f>
        <v>8</v>
      </c>
      <c r="R32" s="6">
        <f t="shared" si="6"/>
        <v>10.32258064516129</v>
      </c>
      <c r="S32" s="7">
        <f>B32/몬스터!C12*R32</f>
        <v>175.48387096774192</v>
      </c>
      <c r="U32">
        <f>ROUNDDOWN(R32*몬스터!H$12, 0)*몬스터!G$12*(1+몬스터!I$12)</f>
        <v>327.33749999999998</v>
      </c>
      <c r="V32" s="2">
        <f t="shared" si="12"/>
        <v>0.35605233772214817</v>
      </c>
    </row>
    <row r="33" spans="1:22" x14ac:dyDescent="0.4">
      <c r="A33">
        <v>29</v>
      </c>
      <c r="B33" s="4">
        <f t="shared" si="18"/>
        <v>4930</v>
      </c>
      <c r="C33">
        <f t="shared" si="8"/>
        <v>670</v>
      </c>
      <c r="D33">
        <f t="shared" si="9"/>
        <v>38</v>
      </c>
      <c r="E33" s="3">
        <f t="shared" si="10"/>
        <v>3.3599999999999998E-2</v>
      </c>
      <c r="F33">
        <f t="shared" si="11"/>
        <v>69</v>
      </c>
      <c r="G33">
        <f t="shared" si="0"/>
        <v>0.77900000000000003</v>
      </c>
      <c r="H33" s="3">
        <f t="shared" si="1"/>
        <v>0.12</v>
      </c>
      <c r="I33" s="2">
        <v>2</v>
      </c>
      <c r="J33" s="2">
        <v>0</v>
      </c>
      <c r="K33" s="2">
        <v>1</v>
      </c>
      <c r="L33" s="16">
        <f>1</f>
        <v>1</v>
      </c>
      <c r="M33" s="5">
        <f t="shared" si="2"/>
        <v>480</v>
      </c>
      <c r="N33" s="6">
        <f t="shared" si="3"/>
        <v>60.20112000000001</v>
      </c>
      <c r="O33">
        <f t="shared" si="4"/>
        <v>955.66656</v>
      </c>
      <c r="P33" s="7">
        <f t="shared" si="5"/>
        <v>15.87456445993031</v>
      </c>
      <c r="Q33">
        <f>ROUNDUP(몬스터!$P$12/F33, 0)</f>
        <v>8</v>
      </c>
      <c r="R33" s="6">
        <f t="shared" si="6"/>
        <v>10.269576379974326</v>
      </c>
      <c r="S33" s="7">
        <f>B33/몬스터!C12*R33</f>
        <v>180.81789840454798</v>
      </c>
      <c r="U33">
        <f>ROUNDDOWN(R33*몬스터!H$12, 0)*몬스터!G$12*(1+몬스터!I$12)</f>
        <v>280.57499999999999</v>
      </c>
      <c r="V33" s="2">
        <f t="shared" si="12"/>
        <v>0.29359089429685598</v>
      </c>
    </row>
    <row r="34" spans="1:22" x14ac:dyDescent="0.4">
      <c r="A34">
        <v>30</v>
      </c>
      <c r="B34" s="4">
        <f t="shared" si="18"/>
        <v>5100</v>
      </c>
      <c r="C34">
        <f t="shared" si="8"/>
        <v>690</v>
      </c>
      <c r="D34">
        <f t="shared" si="9"/>
        <v>39</v>
      </c>
      <c r="E34" s="3">
        <f t="shared" si="10"/>
        <v>3.4799999999999998E-2</v>
      </c>
      <c r="F34">
        <f t="shared" si="11"/>
        <v>71</v>
      </c>
      <c r="G34">
        <f t="shared" si="0"/>
        <v>0.78300000000000003</v>
      </c>
      <c r="H34" s="3">
        <f t="shared" si="1"/>
        <v>0.1225</v>
      </c>
      <c r="I34" s="2">
        <v>2</v>
      </c>
      <c r="J34" s="2">
        <v>0</v>
      </c>
      <c r="K34" s="2">
        <v>1</v>
      </c>
      <c r="L34" s="16">
        <f>1</f>
        <v>1</v>
      </c>
      <c r="M34" s="5">
        <f t="shared" si="2"/>
        <v>490</v>
      </c>
      <c r="N34" s="6">
        <f t="shared" si="3"/>
        <v>62.403142500000008</v>
      </c>
      <c r="O34">
        <f t="shared" si="4"/>
        <v>992.4766800000001</v>
      </c>
      <c r="P34" s="7">
        <f t="shared" si="5"/>
        <v>15.904274051583219</v>
      </c>
      <c r="Q34">
        <f>ROUNDUP(몬스터!$P$12/F34, 0)</f>
        <v>8</v>
      </c>
      <c r="R34" s="6">
        <f t="shared" si="6"/>
        <v>10.217113665389528</v>
      </c>
      <c r="S34" s="7">
        <f>B34/몬스터!C12*R34</f>
        <v>186.09742747673783</v>
      </c>
      <c r="T34" s="7">
        <f t="shared" ref="T34" si="19">SUM(S30:S34)</f>
        <v>897.72371800484882</v>
      </c>
      <c r="U34">
        <f>ROUNDDOWN(R34*몬스터!H$12, 0)*몬스터!G$12*(1+몬스터!I$12)</f>
        <v>280.57499999999999</v>
      </c>
      <c r="V34" s="2">
        <f t="shared" si="12"/>
        <v>0.28270185653127888</v>
      </c>
    </row>
    <row r="35" spans="1:22" x14ac:dyDescent="0.4">
      <c r="A35">
        <v>31</v>
      </c>
      <c r="B35" s="4">
        <f>160*A35</f>
        <v>4960</v>
      </c>
      <c r="C35">
        <f t="shared" si="8"/>
        <v>710</v>
      </c>
      <c r="D35">
        <f t="shared" si="9"/>
        <v>40</v>
      </c>
      <c r="E35" s="3">
        <f t="shared" si="10"/>
        <v>3.5999999999999997E-2</v>
      </c>
      <c r="F35">
        <f t="shared" si="11"/>
        <v>73</v>
      </c>
      <c r="G35">
        <f t="shared" si="0"/>
        <v>0.78700000000000003</v>
      </c>
      <c r="H35" s="3">
        <f t="shared" si="1"/>
        <v>0.125</v>
      </c>
      <c r="I35" s="2">
        <v>2</v>
      </c>
      <c r="J35" s="2">
        <v>0</v>
      </c>
      <c r="K35" s="2">
        <v>1</v>
      </c>
      <c r="L35" s="16">
        <f>1</f>
        <v>1</v>
      </c>
      <c r="M35" s="5">
        <f t="shared" si="2"/>
        <v>500</v>
      </c>
      <c r="N35" s="6">
        <f t="shared" si="3"/>
        <v>64.632374999999996</v>
      </c>
      <c r="O35">
        <f t="shared" si="4"/>
        <v>1029.7839999999999</v>
      </c>
      <c r="P35" s="7">
        <f t="shared" si="5"/>
        <v>15.932943822658535</v>
      </c>
      <c r="Q35">
        <f>ROUNDUP(몬스터!$P$13/F35, 0)</f>
        <v>9</v>
      </c>
      <c r="R35" s="6">
        <f t="shared" si="6"/>
        <v>11.435832274459974</v>
      </c>
      <c r="S35" s="7">
        <f>B35/몬스터!C13*R35</f>
        <v>171.88402448885296</v>
      </c>
      <c r="U35">
        <f>ROUNDDOWN(R35*몬스터!H$13, 0)*몬스터!G$13*(1+몬스터!I$13)</f>
        <v>390.91499999999996</v>
      </c>
      <c r="V35" s="2">
        <f t="shared" si="12"/>
        <v>0.37960873348197294</v>
      </c>
    </row>
    <row r="36" spans="1:22" x14ac:dyDescent="0.4">
      <c r="A36">
        <v>32</v>
      </c>
      <c r="B36" s="4">
        <f t="shared" ref="B36:B39" si="20">160*A36</f>
        <v>5120</v>
      </c>
      <c r="C36">
        <f t="shared" si="8"/>
        <v>730</v>
      </c>
      <c r="D36">
        <f t="shared" si="9"/>
        <v>41</v>
      </c>
      <c r="E36" s="3">
        <f t="shared" si="10"/>
        <v>3.7199999999999997E-2</v>
      </c>
      <c r="F36">
        <f t="shared" si="11"/>
        <v>75</v>
      </c>
      <c r="G36">
        <f t="shared" si="0"/>
        <v>0.79100000000000004</v>
      </c>
      <c r="H36" s="3">
        <f t="shared" si="1"/>
        <v>0.1275</v>
      </c>
      <c r="I36" s="2">
        <v>2</v>
      </c>
      <c r="J36" s="2">
        <v>0</v>
      </c>
      <c r="K36" s="2">
        <v>1</v>
      </c>
      <c r="L36" s="16">
        <f>1</f>
        <v>1</v>
      </c>
      <c r="M36" s="5">
        <f t="shared" si="2"/>
        <v>510</v>
      </c>
      <c r="N36" s="6">
        <f t="shared" si="3"/>
        <v>66.888937499999997</v>
      </c>
      <c r="O36">
        <f t="shared" si="4"/>
        <v>1067.5899599999998</v>
      </c>
      <c r="P36" s="7">
        <f t="shared" si="5"/>
        <v>15.960635643225755</v>
      </c>
      <c r="Q36">
        <f>ROUNDUP(몬스터!$P$13/F36, 0)</f>
        <v>9</v>
      </c>
      <c r="R36" s="6">
        <f t="shared" si="6"/>
        <v>11.378002528445005</v>
      </c>
      <c r="S36" s="7">
        <f>B36/몬스터!C13*R36</f>
        <v>176.5314331686013</v>
      </c>
      <c r="U36">
        <f>ROUNDDOWN(R36*몬스터!H$13, 0)*몬스터!G$13*(1+몬스터!I$13)</f>
        <v>390.91499999999996</v>
      </c>
      <c r="V36" s="2">
        <f t="shared" si="12"/>
        <v>0.36616586390527694</v>
      </c>
    </row>
    <row r="37" spans="1:22" x14ac:dyDescent="0.4">
      <c r="A37">
        <v>33</v>
      </c>
      <c r="B37" s="4">
        <f t="shared" si="20"/>
        <v>5280</v>
      </c>
      <c r="C37">
        <f t="shared" si="8"/>
        <v>750</v>
      </c>
      <c r="D37">
        <f t="shared" si="9"/>
        <v>42</v>
      </c>
      <c r="E37" s="3">
        <f t="shared" si="10"/>
        <v>3.8399999999999997E-2</v>
      </c>
      <c r="F37">
        <f t="shared" si="11"/>
        <v>77</v>
      </c>
      <c r="G37">
        <f t="shared" ref="G37:G68" si="21">0.663+0.004*A37</f>
        <v>0.79500000000000004</v>
      </c>
      <c r="H37" s="3">
        <f t="shared" ref="H37:H68" si="22">0.0475+0.0025*A37</f>
        <v>0.13</v>
      </c>
      <c r="I37" s="2">
        <v>2</v>
      </c>
      <c r="J37" s="2">
        <v>0</v>
      </c>
      <c r="K37" s="2">
        <v>1</v>
      </c>
      <c r="L37" s="16">
        <f>1</f>
        <v>1</v>
      </c>
      <c r="M37" s="5">
        <f t="shared" ref="M37:M68" si="23">190+10*A37</f>
        <v>520</v>
      </c>
      <c r="N37" s="6">
        <f t="shared" ref="N37:N68" si="24">F37*G37*(1+H37)</f>
        <v>69.17295</v>
      </c>
      <c r="O37">
        <f t="shared" ref="O37:O68" si="25">C37*(1+D37/100)*(1+E37)</f>
        <v>1105.896</v>
      </c>
      <c r="P37" s="7">
        <f t="shared" ref="P37:P68" si="26">O37/N37</f>
        <v>15.987405481477946</v>
      </c>
      <c r="Q37">
        <f>ROUNDUP(몬스터!$P$13/F37, 0)</f>
        <v>9</v>
      </c>
      <c r="R37" s="6">
        <f t="shared" ref="R37:R68" si="27">Q37/G37</f>
        <v>11.320754716981131</v>
      </c>
      <c r="S37" s="7">
        <f>B37/몬스터!C13*R37</f>
        <v>181.1320754716981</v>
      </c>
      <c r="U37">
        <f>ROUNDDOWN(R37*몬스터!H$13, 0)*몬스터!G$13*(1+몬스터!I$13)</f>
        <v>390.91499999999996</v>
      </c>
      <c r="V37" s="2">
        <f t="shared" si="12"/>
        <v>0.35348260595933068</v>
      </c>
    </row>
    <row r="38" spans="1:22" x14ac:dyDescent="0.4">
      <c r="A38">
        <v>34</v>
      </c>
      <c r="B38" s="4">
        <f t="shared" si="20"/>
        <v>5440</v>
      </c>
      <c r="C38">
        <f t="shared" si="8"/>
        <v>770</v>
      </c>
      <c r="D38">
        <f t="shared" si="9"/>
        <v>43</v>
      </c>
      <c r="E38" s="3">
        <f t="shared" si="10"/>
        <v>3.9599999999999996E-2</v>
      </c>
      <c r="F38">
        <f t="shared" si="11"/>
        <v>79</v>
      </c>
      <c r="G38">
        <f t="shared" si="21"/>
        <v>0.79900000000000004</v>
      </c>
      <c r="H38" s="3">
        <f t="shared" si="22"/>
        <v>0.13250000000000001</v>
      </c>
      <c r="I38" s="2">
        <v>2</v>
      </c>
      <c r="J38" s="2">
        <v>0</v>
      </c>
      <c r="K38" s="2">
        <v>1</v>
      </c>
      <c r="L38" s="16">
        <f>1</f>
        <v>1</v>
      </c>
      <c r="M38" s="5">
        <f t="shared" si="23"/>
        <v>530</v>
      </c>
      <c r="N38" s="6">
        <f t="shared" si="24"/>
        <v>71.4845325</v>
      </c>
      <c r="O38">
        <f t="shared" si="25"/>
        <v>1144.7035599999999</v>
      </c>
      <c r="P38" s="7">
        <f t="shared" si="26"/>
        <v>16.013304136807495</v>
      </c>
      <c r="Q38">
        <f>ROUNDUP(몬스터!$P$13/F38, 0)</f>
        <v>8</v>
      </c>
      <c r="R38" s="6">
        <f t="shared" si="27"/>
        <v>10.012515644555695</v>
      </c>
      <c r="S38" s="7">
        <f>B38/몬스터!C13*R38</f>
        <v>165.05480335267569</v>
      </c>
      <c r="U38">
        <f>ROUNDDOWN(R38*몬스터!H$13, 0)*몬스터!G$13*(1+몬스터!I$13)</f>
        <v>335.07</v>
      </c>
      <c r="V38" s="2">
        <f t="shared" si="12"/>
        <v>0.29271333794052323</v>
      </c>
    </row>
    <row r="39" spans="1:22" x14ac:dyDescent="0.4">
      <c r="A39">
        <v>35</v>
      </c>
      <c r="B39" s="4">
        <f t="shared" si="20"/>
        <v>5600</v>
      </c>
      <c r="C39">
        <f t="shared" si="8"/>
        <v>790</v>
      </c>
      <c r="D39">
        <f t="shared" si="9"/>
        <v>44</v>
      </c>
      <c r="E39" s="3">
        <f t="shared" si="10"/>
        <v>4.0799999999999996E-2</v>
      </c>
      <c r="F39">
        <f t="shared" si="11"/>
        <v>81</v>
      </c>
      <c r="G39">
        <f t="shared" si="21"/>
        <v>0.80300000000000005</v>
      </c>
      <c r="H39" s="3">
        <f t="shared" si="22"/>
        <v>0.13500000000000001</v>
      </c>
      <c r="I39" s="2">
        <v>2</v>
      </c>
      <c r="J39" s="2">
        <v>0</v>
      </c>
      <c r="K39" s="2">
        <v>1</v>
      </c>
      <c r="L39" s="16">
        <f>1</f>
        <v>1</v>
      </c>
      <c r="M39" s="5">
        <f t="shared" si="23"/>
        <v>540</v>
      </c>
      <c r="N39" s="6">
        <f t="shared" si="24"/>
        <v>73.823805000000007</v>
      </c>
      <c r="O39">
        <f t="shared" si="25"/>
        <v>1184.0140799999999</v>
      </c>
      <c r="P39" s="7">
        <f t="shared" si="26"/>
        <v>16.038377864700955</v>
      </c>
      <c r="Q39">
        <f>ROUNDUP(몬스터!$P$13/F39, 0)</f>
        <v>8</v>
      </c>
      <c r="R39" s="6">
        <f t="shared" si="27"/>
        <v>9.9626400996264</v>
      </c>
      <c r="S39" s="7">
        <f>B39/몬스터!C13*R39</f>
        <v>169.06298350881164</v>
      </c>
      <c r="T39" s="7">
        <f t="shared" ref="T39" si="28">SUM(S35:S39)</f>
        <v>863.66531999063955</v>
      </c>
      <c r="U39">
        <f>ROUNDDOWN(R39*몬스터!H$13, 0)*몬스터!G$13*(1+몬스터!I$13)</f>
        <v>335.07</v>
      </c>
      <c r="V39" s="2">
        <f t="shared" si="12"/>
        <v>0.2829949454655134</v>
      </c>
    </row>
    <row r="40" spans="1:22" x14ac:dyDescent="0.4">
      <c r="A40">
        <v>36</v>
      </c>
      <c r="B40" s="4">
        <f>170*A40</f>
        <v>6120</v>
      </c>
      <c r="C40">
        <f t="shared" si="8"/>
        <v>810</v>
      </c>
      <c r="D40">
        <f t="shared" si="9"/>
        <v>45</v>
      </c>
      <c r="E40" s="3">
        <f t="shared" si="10"/>
        <v>4.1999999999999996E-2</v>
      </c>
      <c r="F40">
        <f t="shared" si="11"/>
        <v>83</v>
      </c>
      <c r="G40">
        <f t="shared" si="21"/>
        <v>0.80700000000000005</v>
      </c>
      <c r="H40" s="3">
        <f t="shared" si="22"/>
        <v>0.13750000000000001</v>
      </c>
      <c r="I40" s="2">
        <v>2</v>
      </c>
      <c r="J40" s="2">
        <v>0</v>
      </c>
      <c r="K40" s="2">
        <v>1</v>
      </c>
      <c r="L40" s="16">
        <f>1</f>
        <v>1</v>
      </c>
      <c r="M40" s="5">
        <f t="shared" si="23"/>
        <v>550</v>
      </c>
      <c r="N40" s="6">
        <f t="shared" si="24"/>
        <v>76.190887500000002</v>
      </c>
      <c r="O40">
        <f t="shared" si="25"/>
        <v>1223.829</v>
      </c>
      <c r="P40" s="7">
        <f t="shared" si="26"/>
        <v>16.062668911685797</v>
      </c>
      <c r="Q40">
        <f>ROUNDUP(몬스터!$P$14/F40, 0)</f>
        <v>9</v>
      </c>
      <c r="R40" s="6">
        <f t="shared" si="27"/>
        <v>11.152416356877323</v>
      </c>
      <c r="S40" s="7">
        <f>B40/몬스터!C14*R40</f>
        <v>179.61260027391899</v>
      </c>
      <c r="U40">
        <f>ROUNDDOWN(R40*몬스터!H$14, 0)*몬스터!G$14*(1+몬스터!I$14)</f>
        <v>447.61500000000001</v>
      </c>
      <c r="V40" s="2">
        <f t="shared" si="12"/>
        <v>0.36574962678609513</v>
      </c>
    </row>
    <row r="41" spans="1:22" x14ac:dyDescent="0.4">
      <c r="A41">
        <v>37</v>
      </c>
      <c r="B41" s="4">
        <f t="shared" ref="B41:B44" si="29">170*A41</f>
        <v>6290</v>
      </c>
      <c r="C41">
        <f t="shared" si="8"/>
        <v>830</v>
      </c>
      <c r="D41">
        <f t="shared" si="9"/>
        <v>46</v>
      </c>
      <c r="E41" s="3">
        <f t="shared" si="10"/>
        <v>4.3199999999999995E-2</v>
      </c>
      <c r="F41">
        <f t="shared" si="11"/>
        <v>85</v>
      </c>
      <c r="G41">
        <f t="shared" si="21"/>
        <v>0.81100000000000005</v>
      </c>
      <c r="H41" s="3">
        <f t="shared" si="22"/>
        <v>0.14000000000000001</v>
      </c>
      <c r="I41" s="2">
        <v>2</v>
      </c>
      <c r="J41" s="2">
        <v>0</v>
      </c>
      <c r="K41" s="2">
        <v>1</v>
      </c>
      <c r="L41" s="16">
        <f>1</f>
        <v>1</v>
      </c>
      <c r="M41" s="5">
        <f t="shared" si="23"/>
        <v>560</v>
      </c>
      <c r="N41" s="6">
        <f t="shared" si="24"/>
        <v>78.585900000000009</v>
      </c>
      <c r="O41">
        <f t="shared" si="25"/>
        <v>1264.1497599999998</v>
      </c>
      <c r="P41" s="7">
        <f t="shared" si="26"/>
        <v>16.086215975130393</v>
      </c>
      <c r="Q41">
        <f>ROUNDUP(몬스터!$P$14/F41, 0)</f>
        <v>8</v>
      </c>
      <c r="R41" s="6">
        <f t="shared" si="27"/>
        <v>9.8643649815043144</v>
      </c>
      <c r="S41" s="7">
        <f>B41/몬스터!C14*R41</f>
        <v>163.28119929911091</v>
      </c>
      <c r="U41">
        <f>ROUNDDOWN(R41*몬스터!H$14, 0)*몬스터!G$14*(1+몬스터!I$14)</f>
        <v>447.61500000000001</v>
      </c>
      <c r="V41" s="2">
        <f t="shared" si="12"/>
        <v>0.35408383892743855</v>
      </c>
    </row>
    <row r="42" spans="1:22" x14ac:dyDescent="0.4">
      <c r="A42">
        <v>38</v>
      </c>
      <c r="B42" s="4">
        <f t="shared" si="29"/>
        <v>6460</v>
      </c>
      <c r="C42">
        <f t="shared" si="8"/>
        <v>850</v>
      </c>
      <c r="D42">
        <f t="shared" si="9"/>
        <v>47</v>
      </c>
      <c r="E42" s="3">
        <f t="shared" si="10"/>
        <v>4.4399999999999995E-2</v>
      </c>
      <c r="F42">
        <f t="shared" si="11"/>
        <v>87</v>
      </c>
      <c r="G42">
        <f t="shared" si="21"/>
        <v>0.81500000000000006</v>
      </c>
      <c r="H42" s="3">
        <f t="shared" si="22"/>
        <v>0.14250000000000002</v>
      </c>
      <c r="I42" s="2">
        <v>2</v>
      </c>
      <c r="J42" s="2">
        <v>0</v>
      </c>
      <c r="K42" s="2">
        <v>1</v>
      </c>
      <c r="L42" s="16">
        <f>1</f>
        <v>1</v>
      </c>
      <c r="M42" s="5">
        <f t="shared" si="23"/>
        <v>570</v>
      </c>
      <c r="N42" s="6">
        <f t="shared" si="24"/>
        <v>81.00896250000001</v>
      </c>
      <c r="O42">
        <f t="shared" si="25"/>
        <v>1304.9777999999999</v>
      </c>
      <c r="P42" s="7">
        <f t="shared" si="26"/>
        <v>16.109054599977128</v>
      </c>
      <c r="Q42">
        <f>ROUNDUP(몬스터!$P$14/F42, 0)</f>
        <v>8</v>
      </c>
      <c r="R42" s="6">
        <f t="shared" si="27"/>
        <v>9.8159509202453989</v>
      </c>
      <c r="S42" s="7">
        <f>B42/몬스터!C14*R42</f>
        <v>166.87116564417178</v>
      </c>
      <c r="U42">
        <f>ROUNDDOWN(R42*몬스터!H$14, 0)*몬스터!G$14*(1+몬스터!I$14)</f>
        <v>383.67</v>
      </c>
      <c r="V42" s="2">
        <f t="shared" si="12"/>
        <v>0.29400500146439279</v>
      </c>
    </row>
    <row r="43" spans="1:22" x14ac:dyDescent="0.4">
      <c r="A43">
        <v>39</v>
      </c>
      <c r="B43" s="4">
        <f t="shared" si="29"/>
        <v>6630</v>
      </c>
      <c r="C43">
        <f t="shared" si="8"/>
        <v>870</v>
      </c>
      <c r="D43">
        <f t="shared" si="9"/>
        <v>48</v>
      </c>
      <c r="E43" s="3">
        <f t="shared" si="10"/>
        <v>4.5599999999999995E-2</v>
      </c>
      <c r="F43">
        <f t="shared" si="11"/>
        <v>89</v>
      </c>
      <c r="G43">
        <f t="shared" si="21"/>
        <v>0.81900000000000006</v>
      </c>
      <c r="H43" s="3">
        <f t="shared" si="22"/>
        <v>0.14500000000000002</v>
      </c>
      <c r="I43" s="2">
        <v>2</v>
      </c>
      <c r="J43" s="2">
        <v>0</v>
      </c>
      <c r="K43" s="2">
        <v>1</v>
      </c>
      <c r="L43" s="16">
        <f>1</f>
        <v>1</v>
      </c>
      <c r="M43" s="5">
        <f t="shared" si="23"/>
        <v>580</v>
      </c>
      <c r="N43" s="6">
        <f t="shared" si="24"/>
        <v>83.460195000000013</v>
      </c>
      <c r="O43">
        <f t="shared" si="25"/>
        <v>1346.31456</v>
      </c>
      <c r="P43" s="7">
        <f t="shared" si="26"/>
        <v>16.131217522317073</v>
      </c>
      <c r="Q43">
        <f>ROUNDUP(몬스터!$P$14/F43, 0)</f>
        <v>8</v>
      </c>
      <c r="R43" s="6">
        <f t="shared" si="27"/>
        <v>9.7680097680097671</v>
      </c>
      <c r="S43" s="7">
        <f>B43/몬스터!C14*R43</f>
        <v>170.42606516290724</v>
      </c>
      <c r="U43">
        <f>ROUNDDOWN(R43*몬스터!H$14, 0)*몬스터!G$14*(1+몬스터!I$14)</f>
        <v>383.67</v>
      </c>
      <c r="V43" s="2">
        <f t="shared" si="12"/>
        <v>0.28497797721210116</v>
      </c>
    </row>
    <row r="44" spans="1:22" x14ac:dyDescent="0.4">
      <c r="A44">
        <v>40</v>
      </c>
      <c r="B44" s="4">
        <f t="shared" si="29"/>
        <v>6800</v>
      </c>
      <c r="C44">
        <f t="shared" si="8"/>
        <v>890</v>
      </c>
      <c r="D44">
        <f t="shared" si="9"/>
        <v>49</v>
      </c>
      <c r="E44" s="3">
        <f t="shared" si="10"/>
        <v>4.6799999999999994E-2</v>
      </c>
      <c r="F44">
        <f t="shared" si="11"/>
        <v>91</v>
      </c>
      <c r="G44">
        <f t="shared" si="21"/>
        <v>0.82300000000000006</v>
      </c>
      <c r="H44" s="3">
        <f t="shared" si="22"/>
        <v>0.14750000000000002</v>
      </c>
      <c r="I44" s="2">
        <v>2</v>
      </c>
      <c r="J44" s="2">
        <v>0</v>
      </c>
      <c r="K44" s="2">
        <v>1</v>
      </c>
      <c r="L44" s="16">
        <f>1</f>
        <v>1</v>
      </c>
      <c r="M44" s="5">
        <f t="shared" si="23"/>
        <v>590</v>
      </c>
      <c r="N44" s="6">
        <f t="shared" si="24"/>
        <v>85.9397175</v>
      </c>
      <c r="O44">
        <f t="shared" si="25"/>
        <v>1388.1614799999998</v>
      </c>
      <c r="P44" s="7">
        <f t="shared" si="26"/>
        <v>16.152734967973334</v>
      </c>
      <c r="Q44">
        <f>ROUNDUP(몬스터!$P$14/F44, 0)</f>
        <v>8</v>
      </c>
      <c r="R44" s="6">
        <f t="shared" si="27"/>
        <v>9.7205346294046162</v>
      </c>
      <c r="S44" s="7">
        <f>B44/몬스터!C14*R44</f>
        <v>173.94640915776682</v>
      </c>
      <c r="T44" s="7">
        <f t="shared" ref="T44" si="30">SUM(S40:S44)</f>
        <v>854.13743953787571</v>
      </c>
      <c r="U44">
        <f>ROUNDDOWN(R44*몬스터!H$14, 0)*몬스터!G$14*(1+몬스터!I$14)</f>
        <v>383.67</v>
      </c>
      <c r="V44" s="2">
        <f t="shared" si="12"/>
        <v>0.27638715345998516</v>
      </c>
    </row>
    <row r="45" spans="1:22" x14ac:dyDescent="0.4">
      <c r="A45">
        <v>41</v>
      </c>
      <c r="B45" s="4">
        <f>160*A45</f>
        <v>6560</v>
      </c>
      <c r="C45">
        <f t="shared" si="8"/>
        <v>910</v>
      </c>
      <c r="D45">
        <f t="shared" si="9"/>
        <v>50</v>
      </c>
      <c r="E45" s="3">
        <f t="shared" si="10"/>
        <v>4.7999999999999994E-2</v>
      </c>
      <c r="F45">
        <f t="shared" si="11"/>
        <v>93</v>
      </c>
      <c r="G45">
        <f t="shared" si="21"/>
        <v>0.82700000000000007</v>
      </c>
      <c r="H45" s="3">
        <f t="shared" si="22"/>
        <v>0.15000000000000002</v>
      </c>
      <c r="I45" s="2">
        <v>2</v>
      </c>
      <c r="J45" s="2">
        <v>0</v>
      </c>
      <c r="K45" s="2">
        <v>1</v>
      </c>
      <c r="L45" s="16">
        <f>1</f>
        <v>1</v>
      </c>
      <c r="M45" s="5">
        <f t="shared" si="23"/>
        <v>600</v>
      </c>
      <c r="N45" s="6">
        <f t="shared" si="24"/>
        <v>88.447649999999996</v>
      </c>
      <c r="O45">
        <f t="shared" si="25"/>
        <v>1430.52</v>
      </c>
      <c r="P45" s="7">
        <f t="shared" si="26"/>
        <v>16.173634912855231</v>
      </c>
      <c r="Q45">
        <f>ROUNDUP(몬스터!$P$17/F45, 0)</f>
        <v>9</v>
      </c>
      <c r="R45" s="6">
        <f t="shared" si="27"/>
        <v>10.882708585247883</v>
      </c>
      <c r="S45" s="7">
        <f>B45/몬스터!C17*R45</f>
        <v>166.02457748657235</v>
      </c>
      <c r="U45">
        <f>ROUNDDOWN(R45*몬스터!H$17, 0)*몬스터!G$17*(1+몬스터!I$17)</f>
        <v>512.82000000000005</v>
      </c>
      <c r="V45" s="2">
        <f t="shared" si="12"/>
        <v>0.35848502642395774</v>
      </c>
    </row>
    <row r="46" spans="1:22" x14ac:dyDescent="0.4">
      <c r="A46">
        <v>42</v>
      </c>
      <c r="B46" s="4">
        <f t="shared" ref="B46:B49" si="31">160*A46</f>
        <v>6720</v>
      </c>
      <c r="C46">
        <f t="shared" si="8"/>
        <v>930</v>
      </c>
      <c r="D46">
        <f t="shared" si="9"/>
        <v>51</v>
      </c>
      <c r="E46" s="3">
        <f t="shared" si="10"/>
        <v>4.9199999999999994E-2</v>
      </c>
      <c r="F46">
        <f t="shared" si="11"/>
        <v>95</v>
      </c>
      <c r="G46">
        <f t="shared" si="21"/>
        <v>0.83100000000000007</v>
      </c>
      <c r="H46" s="3">
        <f t="shared" si="22"/>
        <v>0.1525</v>
      </c>
      <c r="I46" s="2">
        <v>2</v>
      </c>
      <c r="J46" s="2">
        <v>0</v>
      </c>
      <c r="K46" s="2">
        <v>1</v>
      </c>
      <c r="L46" s="16">
        <f>1</f>
        <v>1</v>
      </c>
      <c r="M46" s="5">
        <f t="shared" si="23"/>
        <v>610</v>
      </c>
      <c r="N46" s="6">
        <f t="shared" si="24"/>
        <v>90.984112500000009</v>
      </c>
      <c r="O46">
        <f t="shared" si="25"/>
        <v>1473.3915599999998</v>
      </c>
      <c r="P46" s="7">
        <f t="shared" si="26"/>
        <v>16.193943310707127</v>
      </c>
      <c r="Q46">
        <f>ROUNDUP(몬스터!$P$17/F46, 0)</f>
        <v>9</v>
      </c>
      <c r="R46" s="6">
        <f t="shared" si="27"/>
        <v>10.830324909747292</v>
      </c>
      <c r="S46" s="7">
        <f>B46/몬스터!C17*R46</f>
        <v>169.25531021744604</v>
      </c>
      <c r="U46">
        <f>ROUNDDOWN(R46*몬스터!H$17, 0)*몬스터!G$17*(1+몬스터!I$17)</f>
        <v>512.82000000000005</v>
      </c>
      <c r="V46" s="2">
        <f t="shared" si="12"/>
        <v>0.34805411807842862</v>
      </c>
    </row>
    <row r="47" spans="1:22" x14ac:dyDescent="0.4">
      <c r="A47">
        <v>43</v>
      </c>
      <c r="B47" s="4">
        <f t="shared" si="31"/>
        <v>6880</v>
      </c>
      <c r="C47">
        <f t="shared" si="8"/>
        <v>950</v>
      </c>
      <c r="D47">
        <f t="shared" si="9"/>
        <v>52</v>
      </c>
      <c r="E47" s="3">
        <f t="shared" si="10"/>
        <v>5.0399999999999993E-2</v>
      </c>
      <c r="F47">
        <f t="shared" si="11"/>
        <v>97</v>
      </c>
      <c r="G47">
        <f t="shared" si="21"/>
        <v>0.83500000000000008</v>
      </c>
      <c r="H47" s="3">
        <f t="shared" si="22"/>
        <v>0.155</v>
      </c>
      <c r="I47" s="2">
        <v>2</v>
      </c>
      <c r="J47" s="2">
        <v>0</v>
      </c>
      <c r="K47" s="2">
        <v>1</v>
      </c>
      <c r="L47" s="16">
        <f>1</f>
        <v>1</v>
      </c>
      <c r="M47" s="5">
        <f t="shared" si="23"/>
        <v>620</v>
      </c>
      <c r="N47" s="6">
        <f t="shared" si="24"/>
        <v>93.549225000000007</v>
      </c>
      <c r="O47">
        <f t="shared" si="25"/>
        <v>1516.7775999999999</v>
      </c>
      <c r="P47" s="7">
        <f t="shared" si="26"/>
        <v>16.213684292948443</v>
      </c>
      <c r="Q47">
        <f>ROUNDUP(몬스터!$P$17/F47, 0)</f>
        <v>9</v>
      </c>
      <c r="R47" s="6">
        <f t="shared" si="27"/>
        <v>10.778443113772454</v>
      </c>
      <c r="S47" s="7">
        <f>B47/몬스터!C17*R47</f>
        <v>172.45508982035926</v>
      </c>
      <c r="U47">
        <f>ROUNDDOWN(R47*몬스터!H$17, 0)*몬스터!G$17*(1+몬스터!I$17)</f>
        <v>512.82000000000005</v>
      </c>
      <c r="V47" s="2">
        <f t="shared" si="12"/>
        <v>0.33809834744394968</v>
      </c>
    </row>
    <row r="48" spans="1:22" x14ac:dyDescent="0.4">
      <c r="A48">
        <v>44</v>
      </c>
      <c r="B48" s="4">
        <f t="shared" si="31"/>
        <v>7040</v>
      </c>
      <c r="C48">
        <f t="shared" si="8"/>
        <v>970</v>
      </c>
      <c r="D48">
        <f t="shared" si="9"/>
        <v>53</v>
      </c>
      <c r="E48" s="3">
        <f t="shared" si="10"/>
        <v>5.1599999999999993E-2</v>
      </c>
      <c r="F48">
        <f t="shared" si="11"/>
        <v>99</v>
      </c>
      <c r="G48">
        <f t="shared" si="21"/>
        <v>0.83899999999999997</v>
      </c>
      <c r="H48" s="3">
        <f t="shared" si="22"/>
        <v>0.1575</v>
      </c>
      <c r="I48" s="2">
        <v>2</v>
      </c>
      <c r="J48" s="2">
        <v>0</v>
      </c>
      <c r="K48" s="2">
        <v>1</v>
      </c>
      <c r="L48" s="16">
        <f>1</f>
        <v>1</v>
      </c>
      <c r="M48" s="5">
        <f t="shared" si="23"/>
        <v>630</v>
      </c>
      <c r="N48" s="6">
        <f t="shared" si="24"/>
        <v>96.143107499999985</v>
      </c>
      <c r="O48">
        <f t="shared" si="25"/>
        <v>1560.6795600000003</v>
      </c>
      <c r="P48" s="7">
        <f t="shared" si="26"/>
        <v>16.232880344542643</v>
      </c>
      <c r="Q48">
        <f>ROUNDUP(몬스터!$P$17/F48, 0)</f>
        <v>9</v>
      </c>
      <c r="R48" s="6">
        <f t="shared" si="27"/>
        <v>10.727056019070321</v>
      </c>
      <c r="S48" s="7">
        <f>B48/몬스터!C17*R48</f>
        <v>175.6243590098955</v>
      </c>
      <c r="U48">
        <f>ROUNDDOWN(R48*몬스터!H$17, 0)*몬스터!G$17*(1+몬스터!I$17)</f>
        <v>512.82000000000005</v>
      </c>
      <c r="V48" s="2">
        <f t="shared" si="12"/>
        <v>0.32858763140333558</v>
      </c>
    </row>
    <row r="49" spans="1:22" x14ac:dyDescent="0.4">
      <c r="A49">
        <v>45</v>
      </c>
      <c r="B49" s="4">
        <f t="shared" si="31"/>
        <v>7200</v>
      </c>
      <c r="C49">
        <f t="shared" si="8"/>
        <v>990</v>
      </c>
      <c r="D49">
        <f t="shared" si="9"/>
        <v>54</v>
      </c>
      <c r="E49" s="3">
        <f t="shared" si="10"/>
        <v>5.2799999999999993E-2</v>
      </c>
      <c r="F49">
        <f t="shared" si="11"/>
        <v>101</v>
      </c>
      <c r="G49">
        <f t="shared" si="21"/>
        <v>0.84299999999999997</v>
      </c>
      <c r="H49" s="3">
        <f t="shared" si="22"/>
        <v>0.16</v>
      </c>
      <c r="I49" s="2">
        <v>2</v>
      </c>
      <c r="J49" s="2">
        <v>0</v>
      </c>
      <c r="K49" s="2">
        <v>1</v>
      </c>
      <c r="L49" s="16">
        <f>1</f>
        <v>1</v>
      </c>
      <c r="M49" s="5">
        <f t="shared" si="23"/>
        <v>640</v>
      </c>
      <c r="N49" s="6">
        <f t="shared" si="24"/>
        <v>98.765879999999996</v>
      </c>
      <c r="O49">
        <f t="shared" si="25"/>
        <v>1605.09888</v>
      </c>
      <c r="P49" s="7">
        <f t="shared" si="26"/>
        <v>16.251552459209599</v>
      </c>
      <c r="Q49">
        <f>ROUNDUP(몬스터!$P$17/F49, 0)</f>
        <v>9</v>
      </c>
      <c r="R49" s="6">
        <f t="shared" si="27"/>
        <v>10.676156583629894</v>
      </c>
      <c r="S49" s="7">
        <f>B49/몬스터!C17*R49</f>
        <v>178.76355209798893</v>
      </c>
      <c r="T49" s="7">
        <f t="shared" ref="T49" si="32">SUM(S45:S49)</f>
        <v>862.12288863226206</v>
      </c>
      <c r="U49">
        <f>ROUNDDOWN(R49*몬스터!H$17, 0)*몬스터!G$17*(1+몬스터!I$17)</f>
        <v>512.82000000000005</v>
      </c>
      <c r="V49" s="2">
        <f t="shared" si="12"/>
        <v>0.3194943354517823</v>
      </c>
    </row>
    <row r="50" spans="1:22" x14ac:dyDescent="0.4">
      <c r="A50">
        <v>46</v>
      </c>
      <c r="B50" s="4">
        <f>170*A50-620</f>
        <v>7200</v>
      </c>
      <c r="C50">
        <f t="shared" si="8"/>
        <v>1010</v>
      </c>
      <c r="D50">
        <f t="shared" si="9"/>
        <v>55</v>
      </c>
      <c r="E50" s="3">
        <f t="shared" si="10"/>
        <v>5.3999999999999992E-2</v>
      </c>
      <c r="F50">
        <f t="shared" si="11"/>
        <v>103</v>
      </c>
      <c r="G50">
        <f t="shared" si="21"/>
        <v>0.84699999999999998</v>
      </c>
      <c r="H50" s="3">
        <f t="shared" si="22"/>
        <v>0.16250000000000001</v>
      </c>
      <c r="I50" s="2">
        <v>2</v>
      </c>
      <c r="J50" s="2">
        <v>0</v>
      </c>
      <c r="K50" s="2">
        <v>1</v>
      </c>
      <c r="L50" s="16">
        <f>1</f>
        <v>1</v>
      </c>
      <c r="M50" s="5">
        <f t="shared" si="23"/>
        <v>650</v>
      </c>
      <c r="N50" s="6">
        <f t="shared" si="24"/>
        <v>101.41766250000001</v>
      </c>
      <c r="O50">
        <f t="shared" si="25"/>
        <v>1650.037</v>
      </c>
      <c r="P50" s="7">
        <f t="shared" si="26"/>
        <v>16.269720276781175</v>
      </c>
      <c r="Q50">
        <f>ROUNDUP(몬스터!$P$18/F50, 0)</f>
        <v>10</v>
      </c>
      <c r="R50" s="6">
        <f t="shared" si="27"/>
        <v>11.80637544273908</v>
      </c>
      <c r="S50" s="7">
        <f>B50/몬스터!C18*R50</f>
        <v>177.09563164108621</v>
      </c>
      <c r="U50">
        <f>ROUNDDOWN(R50*몬스터!H$18, 0)*몬스터!G$18*(1+몬스터!I$18)</f>
        <v>652.62</v>
      </c>
      <c r="V50" s="2">
        <f t="shared" si="12"/>
        <v>0.39551840352670881</v>
      </c>
    </row>
    <row r="51" spans="1:22" x14ac:dyDescent="0.4">
      <c r="A51">
        <v>47</v>
      </c>
      <c r="B51" s="4">
        <f t="shared" ref="B51:B54" si="33">170*A51</f>
        <v>7990</v>
      </c>
      <c r="C51">
        <f t="shared" si="8"/>
        <v>1030</v>
      </c>
      <c r="D51">
        <f t="shared" si="9"/>
        <v>56</v>
      </c>
      <c r="E51" s="3">
        <f t="shared" si="10"/>
        <v>5.5199999999999992E-2</v>
      </c>
      <c r="F51">
        <f t="shared" si="11"/>
        <v>105</v>
      </c>
      <c r="G51">
        <f t="shared" si="21"/>
        <v>0.85099999999999998</v>
      </c>
      <c r="H51" s="3">
        <f t="shared" si="22"/>
        <v>0.16500000000000001</v>
      </c>
      <c r="I51" s="2">
        <v>2</v>
      </c>
      <c r="J51" s="2">
        <v>0</v>
      </c>
      <c r="K51" s="2">
        <v>1</v>
      </c>
      <c r="L51" s="16">
        <f>1</f>
        <v>1</v>
      </c>
      <c r="M51" s="5">
        <f t="shared" si="23"/>
        <v>660</v>
      </c>
      <c r="N51" s="6">
        <f t="shared" si="24"/>
        <v>104.09857500000001</v>
      </c>
      <c r="O51">
        <f t="shared" si="25"/>
        <v>1695.4953599999999</v>
      </c>
      <c r="P51" s="7">
        <f t="shared" si="26"/>
        <v>16.287402205073409</v>
      </c>
      <c r="Q51">
        <f>ROUNDUP(몬스터!$P$18/F51, 0)</f>
        <v>10</v>
      </c>
      <c r="R51" s="6">
        <f t="shared" si="27"/>
        <v>11.750881316098708</v>
      </c>
      <c r="S51" s="7">
        <f>B51/몬스터!C18*R51</f>
        <v>195.60321190755974</v>
      </c>
      <c r="U51">
        <f>ROUNDDOWN(R51*몬스터!H$18, 0)*몬스터!G$18*(1+몬스터!I$18)</f>
        <v>652.62</v>
      </c>
      <c r="V51" s="2">
        <f t="shared" si="12"/>
        <v>0.38491405839058151</v>
      </c>
    </row>
    <row r="52" spans="1:22" x14ac:dyDescent="0.4">
      <c r="A52">
        <v>48</v>
      </c>
      <c r="B52" s="4">
        <f t="shared" si="33"/>
        <v>8160</v>
      </c>
      <c r="C52">
        <f t="shared" si="8"/>
        <v>1050</v>
      </c>
      <c r="D52">
        <f t="shared" si="9"/>
        <v>57</v>
      </c>
      <c r="E52" s="3">
        <f t="shared" si="10"/>
        <v>5.6399999999999999E-2</v>
      </c>
      <c r="F52">
        <f t="shared" si="11"/>
        <v>107</v>
      </c>
      <c r="G52">
        <f t="shared" si="21"/>
        <v>0.85499999999999998</v>
      </c>
      <c r="H52" s="3">
        <f t="shared" si="22"/>
        <v>0.16749999999999998</v>
      </c>
      <c r="I52" s="2">
        <v>2</v>
      </c>
      <c r="J52" s="2">
        <v>0</v>
      </c>
      <c r="K52" s="2">
        <v>1</v>
      </c>
      <c r="L52" s="16">
        <f>1</f>
        <v>1</v>
      </c>
      <c r="M52" s="5">
        <f t="shared" si="23"/>
        <v>670</v>
      </c>
      <c r="N52" s="6">
        <f t="shared" si="24"/>
        <v>106.80873749999999</v>
      </c>
      <c r="O52">
        <f t="shared" si="25"/>
        <v>1741.4753999999998</v>
      </c>
      <c r="P52" s="7">
        <f t="shared" si="26"/>
        <v>16.304615528294207</v>
      </c>
      <c r="Q52">
        <f>ROUNDUP(몬스터!$P$18/F52, 0)</f>
        <v>9</v>
      </c>
      <c r="R52" s="6">
        <f t="shared" si="27"/>
        <v>10.526315789473685</v>
      </c>
      <c r="S52" s="7">
        <f>B52/몬스터!C18*R52</f>
        <v>178.94736842105266</v>
      </c>
      <c r="U52">
        <f>ROUNDDOWN(R52*몬스터!H$18, 0)*몬스터!G$18*(1+몬스터!I$18)</f>
        <v>571.04250000000002</v>
      </c>
      <c r="V52" s="2">
        <f t="shared" si="12"/>
        <v>0.32790730204974478</v>
      </c>
    </row>
    <row r="53" spans="1:22" x14ac:dyDescent="0.4">
      <c r="A53">
        <v>49</v>
      </c>
      <c r="B53" s="4">
        <f t="shared" si="33"/>
        <v>8330</v>
      </c>
      <c r="C53">
        <f t="shared" si="8"/>
        <v>1070</v>
      </c>
      <c r="D53">
        <f t="shared" si="9"/>
        <v>58</v>
      </c>
      <c r="E53" s="3">
        <f t="shared" si="10"/>
        <v>5.7599999999999998E-2</v>
      </c>
      <c r="F53">
        <f t="shared" si="11"/>
        <v>109</v>
      </c>
      <c r="G53">
        <f t="shared" si="21"/>
        <v>0.85899999999999999</v>
      </c>
      <c r="H53" s="3">
        <f t="shared" si="22"/>
        <v>0.16999999999999998</v>
      </c>
      <c r="I53" s="2">
        <v>2</v>
      </c>
      <c r="J53" s="2">
        <v>0</v>
      </c>
      <c r="K53" s="2">
        <v>1</v>
      </c>
      <c r="L53" s="16">
        <f>1</f>
        <v>1</v>
      </c>
      <c r="M53" s="5">
        <f t="shared" si="23"/>
        <v>680</v>
      </c>
      <c r="N53" s="6">
        <f t="shared" si="24"/>
        <v>109.54826999999999</v>
      </c>
      <c r="O53">
        <f t="shared" si="25"/>
        <v>1787.9785600000002</v>
      </c>
      <c r="P53" s="7">
        <f t="shared" si="26"/>
        <v>16.321376503709281</v>
      </c>
      <c r="Q53">
        <f>ROUNDUP(몬스터!$P$18/F53, 0)</f>
        <v>9</v>
      </c>
      <c r="R53" s="6">
        <f t="shared" si="27"/>
        <v>10.477299185098952</v>
      </c>
      <c r="S53" s="7">
        <f>B53/몬스터!C18*R53</f>
        <v>181.82479627473808</v>
      </c>
      <c r="U53">
        <f>ROUNDDOWN(R53*몬스터!H$18, 0)*몬스터!G$18*(1+몬스터!I$18)</f>
        <v>571.04250000000002</v>
      </c>
      <c r="V53" s="2">
        <f t="shared" si="12"/>
        <v>0.31937882968798009</v>
      </c>
    </row>
    <row r="54" spans="1:22" x14ac:dyDescent="0.4">
      <c r="A54">
        <v>50</v>
      </c>
      <c r="B54" s="4">
        <f t="shared" si="33"/>
        <v>8500</v>
      </c>
      <c r="C54">
        <f t="shared" si="8"/>
        <v>1090</v>
      </c>
      <c r="D54">
        <f t="shared" si="9"/>
        <v>59</v>
      </c>
      <c r="E54" s="3">
        <f t="shared" si="10"/>
        <v>5.8799999999999998E-2</v>
      </c>
      <c r="F54">
        <f t="shared" si="11"/>
        <v>111</v>
      </c>
      <c r="G54">
        <f t="shared" si="21"/>
        <v>0.86299999999999999</v>
      </c>
      <c r="H54" s="3">
        <f t="shared" si="22"/>
        <v>0.17249999999999999</v>
      </c>
      <c r="I54" s="2">
        <v>2</v>
      </c>
      <c r="J54" s="2">
        <v>0</v>
      </c>
      <c r="K54" s="2">
        <v>1</v>
      </c>
      <c r="L54" s="16">
        <f>1</f>
        <v>1</v>
      </c>
      <c r="M54" s="5">
        <f t="shared" si="23"/>
        <v>690</v>
      </c>
      <c r="N54" s="6">
        <f t="shared" si="24"/>
        <v>112.31729249999998</v>
      </c>
      <c r="O54">
        <f t="shared" si="25"/>
        <v>1835.0062799999998</v>
      </c>
      <c r="P54" s="7">
        <f t="shared" si="26"/>
        <v>16.337700448040984</v>
      </c>
      <c r="Q54">
        <f>ROUNDUP(몬스터!$P$18/F54, 0)</f>
        <v>9</v>
      </c>
      <c r="R54" s="6">
        <f t="shared" si="27"/>
        <v>10.428736964078794</v>
      </c>
      <c r="S54" s="7">
        <f>B54/몬스터!C18*R54</f>
        <v>184.67555040556198</v>
      </c>
      <c r="T54" s="7">
        <f t="shared" ref="T54" si="34">SUM(S50:S54)</f>
        <v>918.14655864999872</v>
      </c>
      <c r="U54">
        <f>ROUNDDOWN(R54*몬스터!H$18, 0)*몬스터!G$18*(1+몬스터!I$18)</f>
        <v>571.04250000000002</v>
      </c>
      <c r="V54" s="2">
        <f t="shared" si="12"/>
        <v>0.31119375787640358</v>
      </c>
    </row>
    <row r="55" spans="1:22" x14ac:dyDescent="0.4">
      <c r="A55">
        <v>51</v>
      </c>
      <c r="B55" s="4">
        <f>160*A55</f>
        <v>8160</v>
      </c>
      <c r="C55">
        <f t="shared" si="8"/>
        <v>1110</v>
      </c>
      <c r="D55">
        <f t="shared" si="9"/>
        <v>60</v>
      </c>
      <c r="E55" s="3">
        <f t="shared" si="10"/>
        <v>0.06</v>
      </c>
      <c r="F55">
        <f t="shared" si="11"/>
        <v>113</v>
      </c>
      <c r="G55">
        <f t="shared" si="21"/>
        <v>0.86699999999999999</v>
      </c>
      <c r="H55" s="3">
        <f t="shared" si="22"/>
        <v>0.17499999999999999</v>
      </c>
      <c r="I55" s="2">
        <v>2</v>
      </c>
      <c r="J55" s="2">
        <v>0</v>
      </c>
      <c r="K55" s="2">
        <v>1</v>
      </c>
      <c r="L55" s="16">
        <f>1</f>
        <v>1</v>
      </c>
      <c r="M55" s="5">
        <f t="shared" si="23"/>
        <v>700</v>
      </c>
      <c r="N55" s="6">
        <f t="shared" si="24"/>
        <v>115.115925</v>
      </c>
      <c r="O55">
        <f t="shared" si="25"/>
        <v>1882.5600000000002</v>
      </c>
      <c r="P55" s="7">
        <f t="shared" si="26"/>
        <v>16.353601814866188</v>
      </c>
      <c r="Q55">
        <f>ROUNDUP(몬스터!$P$19/F55, 0)</f>
        <v>10</v>
      </c>
      <c r="R55" s="6">
        <f t="shared" si="27"/>
        <v>11.534025374855824</v>
      </c>
      <c r="S55" s="7">
        <f>B55/몬스터!C19*R55</f>
        <v>177.58046614872364</v>
      </c>
      <c r="U55">
        <f>ROUNDDOWN(R55*몬스터!H$19, 0)*몬스터!G$19*(1+몬스터!I$19)</f>
        <v>729</v>
      </c>
      <c r="V55" s="2">
        <f t="shared" si="12"/>
        <v>0.38723865374808769</v>
      </c>
    </row>
    <row r="56" spans="1:22" x14ac:dyDescent="0.4">
      <c r="A56">
        <v>52</v>
      </c>
      <c r="B56" s="4">
        <f t="shared" ref="B56:B59" si="35">160*A56</f>
        <v>8320</v>
      </c>
      <c r="C56">
        <f t="shared" si="8"/>
        <v>1130</v>
      </c>
      <c r="D56">
        <f t="shared" si="9"/>
        <v>61</v>
      </c>
      <c r="E56" s="3">
        <f t="shared" si="10"/>
        <v>6.1199999999999997E-2</v>
      </c>
      <c r="F56">
        <f t="shared" si="11"/>
        <v>115</v>
      </c>
      <c r="G56">
        <f t="shared" si="21"/>
        <v>0.871</v>
      </c>
      <c r="H56" s="3">
        <f t="shared" si="22"/>
        <v>0.17749999999999999</v>
      </c>
      <c r="I56" s="2">
        <v>2</v>
      </c>
      <c r="J56" s="2">
        <v>0</v>
      </c>
      <c r="K56" s="2">
        <v>1</v>
      </c>
      <c r="L56" s="16">
        <f>1</f>
        <v>1</v>
      </c>
      <c r="M56" s="5">
        <f t="shared" si="23"/>
        <v>710</v>
      </c>
      <c r="N56" s="6">
        <f t="shared" si="24"/>
        <v>117.9442875</v>
      </c>
      <c r="O56">
        <f t="shared" si="25"/>
        <v>1930.6411599999999</v>
      </c>
      <c r="P56" s="7">
        <f t="shared" si="26"/>
        <v>16.369094264103293</v>
      </c>
      <c r="Q56">
        <f>ROUNDUP(몬스터!$P$19/F56, 0)</f>
        <v>10</v>
      </c>
      <c r="R56" s="6">
        <f t="shared" si="27"/>
        <v>11.481056257175661</v>
      </c>
      <c r="S56" s="7">
        <f>B56/몬스터!C19*R56</f>
        <v>180.23092086736131</v>
      </c>
      <c r="U56">
        <f>ROUNDDOWN(R56*몬스터!H$19, 0)*몬스터!G$19*(1+몬스터!I$19)</f>
        <v>729</v>
      </c>
      <c r="V56" s="2">
        <f t="shared" si="12"/>
        <v>0.37759476753308213</v>
      </c>
    </row>
    <row r="57" spans="1:22" x14ac:dyDescent="0.4">
      <c r="A57">
        <v>53</v>
      </c>
      <c r="B57" s="4">
        <f t="shared" si="35"/>
        <v>8480</v>
      </c>
      <c r="C57">
        <f t="shared" si="8"/>
        <v>1150</v>
      </c>
      <c r="D57">
        <f t="shared" si="9"/>
        <v>62</v>
      </c>
      <c r="E57" s="3">
        <f t="shared" si="10"/>
        <v>6.239999999999999E-2</v>
      </c>
      <c r="F57">
        <f t="shared" si="11"/>
        <v>117</v>
      </c>
      <c r="G57">
        <f t="shared" si="21"/>
        <v>0.875</v>
      </c>
      <c r="H57" s="3">
        <f t="shared" si="22"/>
        <v>0.18</v>
      </c>
      <c r="I57" s="2">
        <v>2</v>
      </c>
      <c r="J57" s="2">
        <v>0</v>
      </c>
      <c r="K57" s="2">
        <v>1</v>
      </c>
      <c r="L57" s="16">
        <f>1</f>
        <v>1</v>
      </c>
      <c r="M57" s="5">
        <f t="shared" si="23"/>
        <v>720</v>
      </c>
      <c r="N57" s="6">
        <f t="shared" si="24"/>
        <v>120.80249999999999</v>
      </c>
      <c r="O57">
        <f t="shared" si="25"/>
        <v>1979.2512000000002</v>
      </c>
      <c r="P57" s="7">
        <f t="shared" si="26"/>
        <v>16.384190724529709</v>
      </c>
      <c r="Q57">
        <f>ROUNDUP(몬스터!$P$19/F57, 0)</f>
        <v>10</v>
      </c>
      <c r="R57" s="6">
        <f t="shared" si="27"/>
        <v>11.428571428571429</v>
      </c>
      <c r="S57" s="7">
        <f>B57/몬스터!C19*R57</f>
        <v>182.85714285714286</v>
      </c>
      <c r="U57">
        <f>ROUNDDOWN(R57*몬스터!H$19, 0)*몬스터!G$19*(1+몬스터!I$19)</f>
        <v>729</v>
      </c>
      <c r="V57" s="2">
        <f t="shared" si="12"/>
        <v>0.36832111052907279</v>
      </c>
    </row>
    <row r="58" spans="1:22" x14ac:dyDescent="0.4">
      <c r="A58">
        <v>54</v>
      </c>
      <c r="B58" s="4">
        <f t="shared" si="35"/>
        <v>8640</v>
      </c>
      <c r="C58">
        <f t="shared" si="8"/>
        <v>1170</v>
      </c>
      <c r="D58">
        <f t="shared" si="9"/>
        <v>63</v>
      </c>
      <c r="E58" s="3">
        <f t="shared" si="10"/>
        <v>6.359999999999999E-2</v>
      </c>
      <c r="F58">
        <f t="shared" si="11"/>
        <v>119</v>
      </c>
      <c r="G58">
        <f t="shared" si="21"/>
        <v>0.879</v>
      </c>
      <c r="H58" s="3">
        <f t="shared" si="22"/>
        <v>0.1825</v>
      </c>
      <c r="I58" s="2">
        <v>2</v>
      </c>
      <c r="J58" s="2">
        <v>0</v>
      </c>
      <c r="K58" s="2">
        <v>1</v>
      </c>
      <c r="L58" s="16">
        <f>1</f>
        <v>1</v>
      </c>
      <c r="M58" s="5">
        <f t="shared" si="23"/>
        <v>730</v>
      </c>
      <c r="N58" s="6">
        <f t="shared" si="24"/>
        <v>123.69068250000001</v>
      </c>
      <c r="O58">
        <f t="shared" si="25"/>
        <v>2028.39156</v>
      </c>
      <c r="P58" s="7">
        <f t="shared" si="26"/>
        <v>16.398903450144676</v>
      </c>
      <c r="Q58">
        <f>ROUNDUP(몬스터!$P$19/F58, 0)</f>
        <v>10</v>
      </c>
      <c r="R58" s="6">
        <f t="shared" si="27"/>
        <v>11.376564277588168</v>
      </c>
      <c r="S58" s="7">
        <f>B58/몬스터!C19*R58</f>
        <v>185.45946294030523</v>
      </c>
      <c r="U58">
        <f>ROUNDDOWN(R58*몬스터!H$19, 0)*몬스터!G$19*(1+몬스터!I$19)</f>
        <v>729</v>
      </c>
      <c r="V58" s="2">
        <f t="shared" si="12"/>
        <v>0.35939806414891612</v>
      </c>
    </row>
    <row r="59" spans="1:22" x14ac:dyDescent="0.4">
      <c r="A59">
        <v>55</v>
      </c>
      <c r="B59" s="4">
        <f t="shared" si="35"/>
        <v>8800</v>
      </c>
      <c r="C59">
        <f t="shared" si="8"/>
        <v>1190</v>
      </c>
      <c r="D59">
        <f t="shared" si="9"/>
        <v>64</v>
      </c>
      <c r="E59" s="3">
        <f t="shared" si="10"/>
        <v>6.4799999999999983E-2</v>
      </c>
      <c r="F59">
        <f t="shared" si="11"/>
        <v>121</v>
      </c>
      <c r="G59">
        <f t="shared" si="21"/>
        <v>0.88300000000000001</v>
      </c>
      <c r="H59" s="3">
        <f t="shared" si="22"/>
        <v>0.185</v>
      </c>
      <c r="I59" s="2">
        <v>2</v>
      </c>
      <c r="J59" s="2">
        <v>0</v>
      </c>
      <c r="K59" s="2">
        <v>1</v>
      </c>
      <c r="L59" s="16">
        <f>1</f>
        <v>1</v>
      </c>
      <c r="M59" s="5">
        <f t="shared" si="23"/>
        <v>740</v>
      </c>
      <c r="N59" s="6">
        <f t="shared" si="24"/>
        <v>126.60895500000001</v>
      </c>
      <c r="O59">
        <f t="shared" si="25"/>
        <v>2078.0636800000002</v>
      </c>
      <c r="P59" s="7">
        <f t="shared" si="26"/>
        <v>16.413244071084861</v>
      </c>
      <c r="Q59">
        <f>ROUNDUP(몬스터!$P$19/F59, 0)</f>
        <v>9</v>
      </c>
      <c r="R59" s="6">
        <f t="shared" si="27"/>
        <v>10.192525481313703</v>
      </c>
      <c r="S59" s="7">
        <f>B59/몬스터!C19*R59</f>
        <v>169.23438535011431</v>
      </c>
      <c r="T59" s="7">
        <f t="shared" ref="T59" si="36">SUM(S55:S59)</f>
        <v>895.36237816364735</v>
      </c>
      <c r="U59">
        <f>ROUNDDOWN(R59*몬스터!H$19, 0)*몬스터!G$19*(1+몬스터!I$19)</f>
        <v>637.875</v>
      </c>
      <c r="V59" s="2">
        <f t="shared" si="12"/>
        <v>0.30695642589740074</v>
      </c>
    </row>
    <row r="60" spans="1:22" x14ac:dyDescent="0.4">
      <c r="A60">
        <v>56</v>
      </c>
      <c r="B60" s="4">
        <f>170*A60</f>
        <v>9520</v>
      </c>
      <c r="C60">
        <f t="shared" si="8"/>
        <v>1210</v>
      </c>
      <c r="D60">
        <f t="shared" si="9"/>
        <v>65</v>
      </c>
      <c r="E60" s="3">
        <f t="shared" si="10"/>
        <v>6.5999999999999989E-2</v>
      </c>
      <c r="F60">
        <f t="shared" si="11"/>
        <v>123</v>
      </c>
      <c r="G60">
        <f t="shared" si="21"/>
        <v>0.88700000000000001</v>
      </c>
      <c r="H60" s="3">
        <f t="shared" si="22"/>
        <v>0.1875</v>
      </c>
      <c r="I60" s="2">
        <v>2</v>
      </c>
      <c r="J60" s="2">
        <v>0</v>
      </c>
      <c r="K60" s="2">
        <v>1</v>
      </c>
      <c r="L60" s="16">
        <f>1</f>
        <v>1</v>
      </c>
      <c r="M60" s="5">
        <f t="shared" si="23"/>
        <v>750</v>
      </c>
      <c r="N60" s="6">
        <f t="shared" si="24"/>
        <v>129.55743749999999</v>
      </c>
      <c r="O60">
        <f t="shared" si="25"/>
        <v>2128.2690000000002</v>
      </c>
      <c r="P60" s="7">
        <f t="shared" si="26"/>
        <v>16.427223639708068</v>
      </c>
      <c r="Q60">
        <f>ROUNDUP(몬스터!$P$20/F60, 0)</f>
        <v>10</v>
      </c>
      <c r="R60" s="6">
        <f t="shared" si="27"/>
        <v>11.273957158962796</v>
      </c>
      <c r="S60" s="7">
        <f>B60/몬스터!C19*R60</f>
        <v>202.50579651570911</v>
      </c>
      <c r="U60">
        <f>ROUNDDOWN(R60*몬스터!H$20, 0)*몬스터!G$20*(1+몬스터!I$20)</f>
        <v>797.28000000000009</v>
      </c>
      <c r="V60" s="2">
        <f t="shared" si="12"/>
        <v>0.3746142992262726</v>
      </c>
    </row>
    <row r="61" spans="1:22" x14ac:dyDescent="0.4">
      <c r="A61">
        <v>57</v>
      </c>
      <c r="B61" s="4">
        <f t="shared" ref="B61:B64" si="37">170*A61</f>
        <v>9690</v>
      </c>
      <c r="C61">
        <f t="shared" si="8"/>
        <v>1230</v>
      </c>
      <c r="D61">
        <f t="shared" si="9"/>
        <v>66</v>
      </c>
      <c r="E61" s="3">
        <f t="shared" si="10"/>
        <v>6.7199999999999982E-2</v>
      </c>
      <c r="F61">
        <f t="shared" si="11"/>
        <v>125</v>
      </c>
      <c r="G61">
        <f t="shared" si="21"/>
        <v>0.89100000000000001</v>
      </c>
      <c r="H61" s="3">
        <f t="shared" si="22"/>
        <v>0.19</v>
      </c>
      <c r="I61" s="2">
        <v>2</v>
      </c>
      <c r="J61" s="2">
        <v>0</v>
      </c>
      <c r="K61" s="2">
        <v>1</v>
      </c>
      <c r="L61" s="16">
        <f>1</f>
        <v>1</v>
      </c>
      <c r="M61" s="5">
        <f t="shared" si="23"/>
        <v>760</v>
      </c>
      <c r="N61" s="6">
        <f t="shared" si="24"/>
        <v>132.53625</v>
      </c>
      <c r="O61">
        <f t="shared" si="25"/>
        <v>2179.0089600000001</v>
      </c>
      <c r="P61" s="7">
        <f t="shared" si="26"/>
        <v>16.440852672382086</v>
      </c>
      <c r="Q61">
        <f>ROUNDUP(몬스터!$P$20/F61, 0)</f>
        <v>10</v>
      </c>
      <c r="R61" s="6">
        <f t="shared" si="27"/>
        <v>11.22334455667789</v>
      </c>
      <c r="S61" s="7">
        <f>B61/몬스터!C19*R61</f>
        <v>205.19662029095994</v>
      </c>
      <c r="U61">
        <f>ROUNDDOWN(R61*몬스터!H$20, 0)*몬스터!G$20*(1+몬스터!I$20)</f>
        <v>797.28000000000009</v>
      </c>
      <c r="V61" s="2">
        <f t="shared" si="12"/>
        <v>0.36589110675341147</v>
      </c>
    </row>
    <row r="62" spans="1:22" x14ac:dyDescent="0.4">
      <c r="A62">
        <v>58</v>
      </c>
      <c r="B62" s="4">
        <f t="shared" si="37"/>
        <v>9860</v>
      </c>
      <c r="C62">
        <f t="shared" si="8"/>
        <v>1250</v>
      </c>
      <c r="D62">
        <f t="shared" si="9"/>
        <v>67</v>
      </c>
      <c r="E62" s="3">
        <f t="shared" si="10"/>
        <v>6.8399999999999989E-2</v>
      </c>
      <c r="F62">
        <f t="shared" si="11"/>
        <v>127</v>
      </c>
      <c r="G62">
        <f t="shared" si="21"/>
        <v>0.89500000000000002</v>
      </c>
      <c r="H62" s="3">
        <f t="shared" si="22"/>
        <v>0.1925</v>
      </c>
      <c r="I62" s="2">
        <v>2</v>
      </c>
      <c r="J62" s="2">
        <v>0</v>
      </c>
      <c r="K62" s="2">
        <v>1</v>
      </c>
      <c r="L62" s="16">
        <f>1</f>
        <v>1</v>
      </c>
      <c r="M62" s="5">
        <f t="shared" si="23"/>
        <v>770</v>
      </c>
      <c r="N62" s="6">
        <f t="shared" si="24"/>
        <v>135.5455125</v>
      </c>
      <c r="O62">
        <f t="shared" si="25"/>
        <v>2230.2849999999999</v>
      </c>
      <c r="P62" s="7">
        <f t="shared" si="26"/>
        <v>16.454141187448016</v>
      </c>
      <c r="Q62">
        <f>ROUNDUP(몬스터!$P$20/F62, 0)</f>
        <v>10</v>
      </c>
      <c r="R62" s="6">
        <f t="shared" si="27"/>
        <v>11.173184357541899</v>
      </c>
      <c r="S62" s="7">
        <f>B62/몬스터!C19*R62</f>
        <v>207.8633920101191</v>
      </c>
      <c r="U62">
        <f>ROUNDDOWN(R62*몬스터!H$20, 0)*몬스터!G$20*(1+몬스터!I$20)</f>
        <v>797.28000000000009</v>
      </c>
      <c r="V62" s="2">
        <f t="shared" si="12"/>
        <v>0.35747897690205516</v>
      </c>
    </row>
    <row r="63" spans="1:22" x14ac:dyDescent="0.4">
      <c r="A63">
        <v>59</v>
      </c>
      <c r="B63" s="4">
        <f t="shared" si="37"/>
        <v>10030</v>
      </c>
      <c r="C63">
        <f t="shared" si="8"/>
        <v>1270</v>
      </c>
      <c r="D63">
        <f t="shared" si="9"/>
        <v>68</v>
      </c>
      <c r="E63" s="3">
        <f t="shared" si="10"/>
        <v>6.9599999999999981E-2</v>
      </c>
      <c r="F63">
        <f t="shared" si="11"/>
        <v>129</v>
      </c>
      <c r="G63">
        <f t="shared" si="21"/>
        <v>0.89900000000000002</v>
      </c>
      <c r="H63" s="3">
        <f t="shared" si="22"/>
        <v>0.19500000000000001</v>
      </c>
      <c r="I63" s="2">
        <v>2</v>
      </c>
      <c r="J63" s="2">
        <v>0</v>
      </c>
      <c r="K63" s="2">
        <v>1</v>
      </c>
      <c r="L63" s="16">
        <f>1</f>
        <v>1</v>
      </c>
      <c r="M63" s="5">
        <f t="shared" si="23"/>
        <v>780</v>
      </c>
      <c r="N63" s="6">
        <f t="shared" si="24"/>
        <v>138.58534500000002</v>
      </c>
      <c r="O63">
        <f t="shared" si="25"/>
        <v>2282.0985600000004</v>
      </c>
      <c r="P63" s="7">
        <f t="shared" si="26"/>
        <v>16.467098739769344</v>
      </c>
      <c r="Q63">
        <f>ROUNDUP(몬스터!$P$20/F63, 0)</f>
        <v>10</v>
      </c>
      <c r="R63" s="6">
        <f t="shared" si="27"/>
        <v>11.123470522803114</v>
      </c>
      <c r="S63" s="7">
        <f>B63/몬스터!C19*R63</f>
        <v>210.506432723991</v>
      </c>
      <c r="U63">
        <f>ROUNDDOWN(R63*몬스터!H$20, 0)*몬스터!G$20*(1+몬스터!I$20)</f>
        <v>797.28000000000009</v>
      </c>
      <c r="V63" s="2">
        <f t="shared" si="12"/>
        <v>0.34936264978844733</v>
      </c>
    </row>
    <row r="64" spans="1:22" x14ac:dyDescent="0.4">
      <c r="A64">
        <v>60</v>
      </c>
      <c r="B64" s="4">
        <f t="shared" si="37"/>
        <v>10200</v>
      </c>
      <c r="C64">
        <f t="shared" si="8"/>
        <v>1290</v>
      </c>
      <c r="D64">
        <f t="shared" si="9"/>
        <v>69</v>
      </c>
      <c r="E64" s="3">
        <f t="shared" si="10"/>
        <v>7.0799999999999988E-2</v>
      </c>
      <c r="F64">
        <f t="shared" si="11"/>
        <v>131</v>
      </c>
      <c r="G64">
        <f t="shared" si="21"/>
        <v>0.90300000000000002</v>
      </c>
      <c r="H64" s="3">
        <f t="shared" si="22"/>
        <v>0.19750000000000001</v>
      </c>
      <c r="I64" s="2">
        <v>2</v>
      </c>
      <c r="J64" s="2">
        <v>0</v>
      </c>
      <c r="K64" s="2">
        <v>1</v>
      </c>
      <c r="L64" s="16">
        <f>1</f>
        <v>1</v>
      </c>
      <c r="M64" s="5">
        <f t="shared" si="23"/>
        <v>790</v>
      </c>
      <c r="N64" s="6">
        <f t="shared" si="24"/>
        <v>141.6558675</v>
      </c>
      <c r="O64">
        <f t="shared" si="25"/>
        <v>2334.4510799999998</v>
      </c>
      <c r="P64" s="7">
        <f t="shared" si="26"/>
        <v>16.479734452228037</v>
      </c>
      <c r="Q64">
        <f>ROUNDUP(몬스터!$P$20/F64, 0)</f>
        <v>10</v>
      </c>
      <c r="R64" s="6">
        <f t="shared" si="27"/>
        <v>11.074197120708748</v>
      </c>
      <c r="S64" s="7">
        <f>B64/몬스터!C19*R64</f>
        <v>213.12605779477209</v>
      </c>
      <c r="T64" s="7">
        <f t="shared" ref="T64" si="38">SUM(S60:S64)</f>
        <v>1039.1982993355512</v>
      </c>
      <c r="U64">
        <f>ROUNDDOWN(R64*몬스터!H$20, 0)*몬스터!G$20*(1+몬스터!I$20)</f>
        <v>797.28000000000009</v>
      </c>
      <c r="V64" s="2">
        <f t="shared" si="12"/>
        <v>0.34152782503371204</v>
      </c>
    </row>
    <row r="65" spans="1:22" x14ac:dyDescent="0.4">
      <c r="A65">
        <v>61</v>
      </c>
      <c r="B65" s="4">
        <f>160*A65-320</f>
        <v>9440</v>
      </c>
      <c r="C65">
        <f t="shared" si="8"/>
        <v>1310</v>
      </c>
      <c r="D65">
        <f t="shared" si="9"/>
        <v>70</v>
      </c>
      <c r="E65" s="3">
        <f t="shared" si="10"/>
        <v>7.1999999999999981E-2</v>
      </c>
      <c r="F65">
        <f t="shared" si="11"/>
        <v>133</v>
      </c>
      <c r="G65">
        <f t="shared" si="21"/>
        <v>0.90700000000000003</v>
      </c>
      <c r="H65" s="3">
        <f t="shared" si="22"/>
        <v>0.2</v>
      </c>
      <c r="I65" s="2">
        <v>2</v>
      </c>
      <c r="J65" s="2">
        <v>0</v>
      </c>
      <c r="K65" s="2">
        <v>1</v>
      </c>
      <c r="L65" s="16">
        <f>1</f>
        <v>1</v>
      </c>
      <c r="M65" s="5">
        <f t="shared" si="23"/>
        <v>800</v>
      </c>
      <c r="N65" s="6">
        <f t="shared" si="24"/>
        <v>144.75719999999998</v>
      </c>
      <c r="O65">
        <f t="shared" si="25"/>
        <v>2387.3440000000001</v>
      </c>
      <c r="P65" s="7">
        <f t="shared" si="26"/>
        <v>16.492057044485527</v>
      </c>
      <c r="Q65">
        <f>ROUNDUP(몬스터!$P$23/F65, 0)</f>
        <v>11</v>
      </c>
      <c r="R65" s="6">
        <f t="shared" si="27"/>
        <v>12.127894156560087</v>
      </c>
      <c r="S65" s="7">
        <f>B65/몬스터!C20*R65</f>
        <v>197.39193247918485</v>
      </c>
      <c r="U65">
        <f>ROUNDDOWN(R65*몬스터!H$23, 0)*몬스터!G$23*(1+몬스터!I$23)</f>
        <v>984.96000000000015</v>
      </c>
      <c r="V65" s="2">
        <f t="shared" si="12"/>
        <v>0.41257564892198195</v>
      </c>
    </row>
    <row r="66" spans="1:22" x14ac:dyDescent="0.4">
      <c r="A66">
        <v>62</v>
      </c>
      <c r="B66" s="4">
        <f t="shared" ref="B66:B69" si="39">160*A66</f>
        <v>9920</v>
      </c>
      <c r="C66">
        <f t="shared" si="8"/>
        <v>1330</v>
      </c>
      <c r="D66">
        <f t="shared" si="9"/>
        <v>71</v>
      </c>
      <c r="E66" s="3">
        <f t="shared" si="10"/>
        <v>7.3199999999999987E-2</v>
      </c>
      <c r="F66">
        <f t="shared" si="11"/>
        <v>135</v>
      </c>
      <c r="G66">
        <f t="shared" si="21"/>
        <v>0.91100000000000003</v>
      </c>
      <c r="H66" s="3">
        <f t="shared" si="22"/>
        <v>0.20250000000000001</v>
      </c>
      <c r="I66" s="2">
        <v>2</v>
      </c>
      <c r="J66" s="2">
        <v>0</v>
      </c>
      <c r="K66" s="2">
        <v>1</v>
      </c>
      <c r="L66" s="16">
        <f>1</f>
        <v>1</v>
      </c>
      <c r="M66" s="5">
        <f t="shared" si="23"/>
        <v>810</v>
      </c>
      <c r="N66" s="6">
        <f t="shared" si="24"/>
        <v>147.88946250000001</v>
      </c>
      <c r="O66">
        <f t="shared" si="25"/>
        <v>2440.7787599999997</v>
      </c>
      <c r="P66" s="7">
        <f t="shared" si="26"/>
        <v>16.504074859288906</v>
      </c>
      <c r="Q66">
        <f>ROUNDUP(몬스터!$P$23/F66, 0)</f>
        <v>10</v>
      </c>
      <c r="R66" s="6">
        <f t="shared" si="27"/>
        <v>10.97694840834248</v>
      </c>
      <c r="S66" s="7">
        <f>B66/몬스터!C20*R66</f>
        <v>187.74366932889205</v>
      </c>
      <c r="U66">
        <f>ROUNDDOWN(R66*몬스터!H$23, 0)*몬스터!G$23*(1+몬스터!I$23)</f>
        <v>875.5200000000001</v>
      </c>
      <c r="V66" s="2">
        <f t="shared" si="12"/>
        <v>0.35870518637256588</v>
      </c>
    </row>
    <row r="67" spans="1:22" x14ac:dyDescent="0.4">
      <c r="A67">
        <v>63</v>
      </c>
      <c r="B67" s="4">
        <f t="shared" si="39"/>
        <v>10080</v>
      </c>
      <c r="C67">
        <f t="shared" si="8"/>
        <v>1350</v>
      </c>
      <c r="D67">
        <f t="shared" si="9"/>
        <v>72</v>
      </c>
      <c r="E67" s="3">
        <f t="shared" si="10"/>
        <v>7.439999999999998E-2</v>
      </c>
      <c r="F67">
        <f t="shared" si="11"/>
        <v>137</v>
      </c>
      <c r="G67">
        <f t="shared" si="21"/>
        <v>0.91500000000000004</v>
      </c>
      <c r="H67" s="3">
        <f t="shared" si="22"/>
        <v>0.20500000000000002</v>
      </c>
      <c r="I67" s="2">
        <v>2</v>
      </c>
      <c r="J67" s="2">
        <v>0</v>
      </c>
      <c r="K67" s="2">
        <v>1</v>
      </c>
      <c r="L67" s="16">
        <f>1</f>
        <v>1</v>
      </c>
      <c r="M67" s="5">
        <f t="shared" si="23"/>
        <v>820</v>
      </c>
      <c r="N67" s="6">
        <f t="shared" si="24"/>
        <v>151.05277500000003</v>
      </c>
      <c r="O67">
        <f t="shared" si="25"/>
        <v>2494.7568000000001</v>
      </c>
      <c r="P67" s="7">
        <f t="shared" si="26"/>
        <v>16.515795886570107</v>
      </c>
      <c r="Q67">
        <f>ROUNDUP(몬스터!$P$23/F67, 0)</f>
        <v>10</v>
      </c>
      <c r="R67" s="6">
        <f t="shared" si="27"/>
        <v>10.928961748633879</v>
      </c>
      <c r="S67" s="7">
        <f>B67/몬스터!C20*R67</f>
        <v>189.93781797625778</v>
      </c>
      <c r="U67">
        <f>ROUNDDOWN(R67*몬스터!H$23, 0)*몬스터!G$23*(1+몬스터!I$23)</f>
        <v>875.5200000000001</v>
      </c>
      <c r="V67" s="2">
        <f t="shared" si="12"/>
        <v>0.35094402789081486</v>
      </c>
    </row>
    <row r="68" spans="1:22" x14ac:dyDescent="0.4">
      <c r="A68">
        <v>64</v>
      </c>
      <c r="B68" s="4">
        <f t="shared" si="39"/>
        <v>10240</v>
      </c>
      <c r="C68">
        <f t="shared" si="8"/>
        <v>1370</v>
      </c>
      <c r="D68">
        <f t="shared" si="9"/>
        <v>73</v>
      </c>
      <c r="E68" s="3">
        <f t="shared" si="10"/>
        <v>7.5599999999999987E-2</v>
      </c>
      <c r="F68">
        <f t="shared" si="11"/>
        <v>139</v>
      </c>
      <c r="G68">
        <f t="shared" si="21"/>
        <v>0.91900000000000004</v>
      </c>
      <c r="H68" s="3">
        <f t="shared" si="22"/>
        <v>0.20750000000000002</v>
      </c>
      <c r="I68" s="2">
        <v>2</v>
      </c>
      <c r="J68" s="2">
        <v>0</v>
      </c>
      <c r="K68" s="2">
        <v>1</v>
      </c>
      <c r="L68" s="16">
        <f>1</f>
        <v>1</v>
      </c>
      <c r="M68" s="5">
        <f t="shared" si="23"/>
        <v>830</v>
      </c>
      <c r="N68" s="6">
        <f t="shared" si="24"/>
        <v>154.24725749999999</v>
      </c>
      <c r="O68">
        <f t="shared" si="25"/>
        <v>2549.2795599999995</v>
      </c>
      <c r="P68" s="7">
        <f t="shared" si="26"/>
        <v>16.527227785557223</v>
      </c>
      <c r="Q68">
        <f>ROUNDUP(몬스터!$P$23/F68, 0)</f>
        <v>10</v>
      </c>
      <c r="R68" s="6">
        <f t="shared" si="27"/>
        <v>10.881392818280739</v>
      </c>
      <c r="S68" s="7">
        <f>B68/몬스터!C20*R68</f>
        <v>192.11286630895648</v>
      </c>
      <c r="U68">
        <f>ROUNDDOWN(R68*몬스터!H$23, 0)*몬스터!G$23*(1+몬스터!I$23)</f>
        <v>875.5200000000001</v>
      </c>
      <c r="V68" s="2">
        <f t="shared" si="12"/>
        <v>0.34343820651823698</v>
      </c>
    </row>
    <row r="69" spans="1:22" x14ac:dyDescent="0.4">
      <c r="A69">
        <v>65</v>
      </c>
      <c r="B69" s="4">
        <f t="shared" si="39"/>
        <v>10400</v>
      </c>
      <c r="C69">
        <f t="shared" si="8"/>
        <v>1390</v>
      </c>
      <c r="D69">
        <f t="shared" si="9"/>
        <v>74</v>
      </c>
      <c r="E69" s="3">
        <f t="shared" si="10"/>
        <v>7.6799999999999993E-2</v>
      </c>
      <c r="F69">
        <f t="shared" si="11"/>
        <v>141</v>
      </c>
      <c r="G69">
        <f t="shared" ref="G69:G104" si="40">0.663+0.004*A69</f>
        <v>0.92300000000000004</v>
      </c>
      <c r="H69" s="3">
        <f t="shared" ref="H69:H104" si="41">0.0475+0.0025*A69</f>
        <v>0.21000000000000002</v>
      </c>
      <c r="I69" s="2">
        <v>2</v>
      </c>
      <c r="J69" s="2">
        <v>0</v>
      </c>
      <c r="K69" s="2">
        <v>1</v>
      </c>
      <c r="L69" s="16">
        <f>1</f>
        <v>1</v>
      </c>
      <c r="M69" s="5">
        <f t="shared" ref="M69:M104" si="42">190+10*A69</f>
        <v>840</v>
      </c>
      <c r="N69" s="6">
        <f t="shared" ref="N69:N104" si="43">F69*G69*(1+H69)</f>
        <v>157.47302999999999</v>
      </c>
      <c r="O69">
        <f t="shared" ref="O69:O104" si="44">C69*(1+D69/100)*(1+E69)</f>
        <v>2604.3484799999997</v>
      </c>
      <c r="P69" s="7">
        <f t="shared" ref="P69:P100" si="45">O69/N69</f>
        <v>16.538377905092698</v>
      </c>
      <c r="Q69">
        <f>ROUNDUP(몬스터!$P$23/F69, 0)</f>
        <v>10</v>
      </c>
      <c r="R69" s="6">
        <f t="shared" ref="R69:R100" si="46">Q69/G69</f>
        <v>10.834236186348862</v>
      </c>
      <c r="S69" s="7">
        <f>B69/몬스터!C20*R69</f>
        <v>194.26906265177269</v>
      </c>
      <c r="T69" s="7">
        <f t="shared" ref="T69" si="47">SUM(S65:S69)</f>
        <v>961.4553487450637</v>
      </c>
      <c r="U69">
        <f>ROUNDDOWN(R69*몬스터!H$23, 0)*몬스터!G$23*(1+몬스터!I$23)</f>
        <v>875.5200000000001</v>
      </c>
      <c r="V69" s="2">
        <f t="shared" si="12"/>
        <v>0.33617620941418724</v>
      </c>
    </row>
    <row r="70" spans="1:22" x14ac:dyDescent="0.4">
      <c r="A70">
        <v>66</v>
      </c>
      <c r="B70" s="4">
        <f>170*A70-680</f>
        <v>10540</v>
      </c>
      <c r="C70">
        <f t="shared" ref="C70:C104" si="48">90+A70*20</f>
        <v>1410</v>
      </c>
      <c r="D70">
        <f t="shared" ref="D70:D104" si="49">9+A70</f>
        <v>75</v>
      </c>
      <c r="E70" s="3">
        <f t="shared" ref="E70:E104" si="50">0.0012*A70-0.12%</f>
        <v>7.7999999999999986E-2</v>
      </c>
      <c r="F70">
        <f t="shared" ref="F70:F104" si="51">ROUND((17+A70*3)*2/3, 0)</f>
        <v>143</v>
      </c>
      <c r="G70">
        <f t="shared" si="40"/>
        <v>0.92700000000000005</v>
      </c>
      <c r="H70" s="3">
        <f t="shared" si="41"/>
        <v>0.21250000000000002</v>
      </c>
      <c r="I70" s="2">
        <v>2</v>
      </c>
      <c r="J70" s="2">
        <v>0</v>
      </c>
      <c r="K70" s="2">
        <v>1</v>
      </c>
      <c r="L70" s="16">
        <f>1</f>
        <v>1</v>
      </c>
      <c r="M70" s="5">
        <f t="shared" si="42"/>
        <v>850</v>
      </c>
      <c r="N70" s="6">
        <f t="shared" si="43"/>
        <v>160.73021249999999</v>
      </c>
      <c r="O70">
        <f t="shared" si="44"/>
        <v>2659.9650000000001</v>
      </c>
      <c r="P70" s="7">
        <f t="shared" si="45"/>
        <v>16.549253302331074</v>
      </c>
      <c r="Q70">
        <f>ROUNDUP(몬스터!$P$24/F70, 0)</f>
        <v>11</v>
      </c>
      <c r="R70" s="6">
        <f t="shared" si="46"/>
        <v>11.866235167206041</v>
      </c>
      <c r="S70" s="7">
        <f>B70/몬스터!C23*R70</f>
        <v>198.52399787674869</v>
      </c>
      <c r="U70">
        <f>ROUNDDOWN(R70*몬스터!H$24, 0)*몬스터!G$24*(1+몬스터!I$24)</f>
        <v>1063.7325000000001</v>
      </c>
      <c r="V70" s="2">
        <f t="shared" ref="V70:V104" si="52">U70/O70</f>
        <v>0.39990469799414652</v>
      </c>
    </row>
    <row r="71" spans="1:22" x14ac:dyDescent="0.4">
      <c r="A71">
        <v>67</v>
      </c>
      <c r="B71" s="4">
        <f t="shared" ref="B71:B74" si="53">170*A71</f>
        <v>11390</v>
      </c>
      <c r="C71">
        <f t="shared" si="48"/>
        <v>1430</v>
      </c>
      <c r="D71">
        <f t="shared" si="49"/>
        <v>76</v>
      </c>
      <c r="E71" s="3">
        <f t="shared" si="50"/>
        <v>7.9199999999999993E-2</v>
      </c>
      <c r="F71">
        <f t="shared" si="51"/>
        <v>145</v>
      </c>
      <c r="G71">
        <f t="shared" si="40"/>
        <v>0.93100000000000005</v>
      </c>
      <c r="H71" s="3">
        <f t="shared" si="41"/>
        <v>0.21500000000000002</v>
      </c>
      <c r="I71" s="2">
        <v>2</v>
      </c>
      <c r="J71" s="2">
        <v>0</v>
      </c>
      <c r="K71" s="2">
        <v>1</v>
      </c>
      <c r="L71" s="16">
        <f>1</f>
        <v>1</v>
      </c>
      <c r="M71" s="5">
        <f t="shared" si="42"/>
        <v>860</v>
      </c>
      <c r="N71" s="6">
        <f t="shared" si="43"/>
        <v>164.01892500000002</v>
      </c>
      <c r="O71">
        <f t="shared" si="44"/>
        <v>2716.1305600000001</v>
      </c>
      <c r="P71" s="7">
        <f t="shared" si="45"/>
        <v>16.559860759970228</v>
      </c>
      <c r="Q71">
        <f>ROUNDUP(몬스터!$P$24/F71, 0)</f>
        <v>11</v>
      </c>
      <c r="R71" s="6">
        <f t="shared" si="46"/>
        <v>11.815252416756175</v>
      </c>
      <c r="S71" s="7">
        <f>B71/몬스터!C23*R71</f>
        <v>213.61226194738546</v>
      </c>
      <c r="U71">
        <f>ROUNDDOWN(R71*몬스터!H$24, 0)*몬스터!G$24*(1+몬스터!I$24)</f>
        <v>1063.7325000000001</v>
      </c>
      <c r="V71" s="2">
        <f t="shared" si="52"/>
        <v>0.39163526071441868</v>
      </c>
    </row>
    <row r="72" spans="1:22" x14ac:dyDescent="0.4">
      <c r="A72">
        <v>68</v>
      </c>
      <c r="B72" s="4">
        <f t="shared" si="53"/>
        <v>11560</v>
      </c>
      <c r="C72">
        <f t="shared" si="48"/>
        <v>1450</v>
      </c>
      <c r="D72">
        <f t="shared" si="49"/>
        <v>77</v>
      </c>
      <c r="E72" s="3">
        <f t="shared" si="50"/>
        <v>8.0399999999999985E-2</v>
      </c>
      <c r="F72">
        <f t="shared" si="51"/>
        <v>147</v>
      </c>
      <c r="G72">
        <f t="shared" si="40"/>
        <v>0.93500000000000005</v>
      </c>
      <c r="H72" s="3">
        <f t="shared" si="41"/>
        <v>0.21750000000000003</v>
      </c>
      <c r="I72" s="2">
        <v>2</v>
      </c>
      <c r="J72" s="2">
        <v>0</v>
      </c>
      <c r="K72" s="2">
        <v>1</v>
      </c>
      <c r="L72" s="16">
        <f>1</f>
        <v>1</v>
      </c>
      <c r="M72" s="5">
        <f t="shared" si="42"/>
        <v>870</v>
      </c>
      <c r="N72" s="6">
        <f t="shared" si="43"/>
        <v>167.33928750000004</v>
      </c>
      <c r="O72">
        <f t="shared" si="44"/>
        <v>2772.8465999999999</v>
      </c>
      <c r="P72" s="7">
        <f t="shared" si="45"/>
        <v>16.570206802153375</v>
      </c>
      <c r="Q72">
        <f>ROUNDUP(몬스터!$P$24/F72, 0)</f>
        <v>11</v>
      </c>
      <c r="R72" s="6">
        <f t="shared" si="46"/>
        <v>11.76470588235294</v>
      </c>
      <c r="S72" s="7">
        <f>B72/몬스터!C23*R72</f>
        <v>215.87301587301585</v>
      </c>
      <c r="U72">
        <f>ROUNDDOWN(R72*몬스터!H$24, 0)*몬스터!G$24*(1+몬스터!I$24)</f>
        <v>1063.7325000000001</v>
      </c>
      <c r="V72" s="2">
        <f t="shared" si="52"/>
        <v>0.38362471980959933</v>
      </c>
    </row>
    <row r="73" spans="1:22" x14ac:dyDescent="0.4">
      <c r="A73">
        <v>69</v>
      </c>
      <c r="B73" s="4">
        <f t="shared" si="53"/>
        <v>11730</v>
      </c>
      <c r="C73">
        <f t="shared" si="48"/>
        <v>1470</v>
      </c>
      <c r="D73">
        <f t="shared" si="49"/>
        <v>78</v>
      </c>
      <c r="E73" s="3">
        <f t="shared" si="50"/>
        <v>8.1599999999999992E-2</v>
      </c>
      <c r="F73">
        <f t="shared" si="51"/>
        <v>149</v>
      </c>
      <c r="G73">
        <f t="shared" si="40"/>
        <v>0.93900000000000006</v>
      </c>
      <c r="H73" s="3">
        <f t="shared" si="41"/>
        <v>0.22000000000000003</v>
      </c>
      <c r="I73" s="2">
        <v>2</v>
      </c>
      <c r="J73" s="2">
        <v>0</v>
      </c>
      <c r="K73" s="2">
        <v>1</v>
      </c>
      <c r="L73" s="16">
        <f>1</f>
        <v>1</v>
      </c>
      <c r="M73" s="5">
        <f t="shared" si="42"/>
        <v>880</v>
      </c>
      <c r="N73" s="6">
        <f t="shared" si="43"/>
        <v>170.69141999999999</v>
      </c>
      <c r="O73">
        <f t="shared" si="44"/>
        <v>2830.1145599999995</v>
      </c>
      <c r="P73" s="7">
        <f t="shared" si="45"/>
        <v>16.580297709164288</v>
      </c>
      <c r="Q73">
        <f>ROUNDUP(몬스터!$P$24/F73, 0)</f>
        <v>11</v>
      </c>
      <c r="R73" s="6">
        <f t="shared" si="46"/>
        <v>11.714589989350372</v>
      </c>
      <c r="S73" s="7">
        <f>B73/몬스터!C23*R73</f>
        <v>218.11450884933313</v>
      </c>
      <c r="U73">
        <f>ROUNDDOWN(R73*몬스터!H$24, 0)*몬스터!G$24*(1+몬스터!I$24)</f>
        <v>1063.7325000000001</v>
      </c>
      <c r="V73" s="2">
        <f t="shared" si="52"/>
        <v>0.37586199337457216</v>
      </c>
    </row>
    <row r="74" spans="1:22" x14ac:dyDescent="0.4">
      <c r="A74">
        <v>70</v>
      </c>
      <c r="B74" s="4">
        <f t="shared" si="53"/>
        <v>11900</v>
      </c>
      <c r="C74">
        <f t="shared" si="48"/>
        <v>1490</v>
      </c>
      <c r="D74">
        <f t="shared" si="49"/>
        <v>79</v>
      </c>
      <c r="E74" s="3">
        <f t="shared" si="50"/>
        <v>8.2799999999999985E-2</v>
      </c>
      <c r="F74">
        <f t="shared" si="51"/>
        <v>151</v>
      </c>
      <c r="G74">
        <f t="shared" si="40"/>
        <v>0.94300000000000006</v>
      </c>
      <c r="H74" s="3">
        <f t="shared" si="41"/>
        <v>0.22250000000000003</v>
      </c>
      <c r="I74" s="2">
        <v>2</v>
      </c>
      <c r="J74" s="2">
        <v>0</v>
      </c>
      <c r="K74" s="2">
        <v>1</v>
      </c>
      <c r="L74" s="16">
        <f>1</f>
        <v>1</v>
      </c>
      <c r="M74" s="5">
        <f t="shared" si="42"/>
        <v>890</v>
      </c>
      <c r="N74" s="6">
        <f t="shared" si="43"/>
        <v>174.07544250000001</v>
      </c>
      <c r="O74">
        <f t="shared" si="44"/>
        <v>2887.93588</v>
      </c>
      <c r="P74" s="7">
        <f t="shared" si="45"/>
        <v>16.590139531025464</v>
      </c>
      <c r="Q74">
        <f>ROUNDUP(몬스터!$P$24/F74, 0)</f>
        <v>10</v>
      </c>
      <c r="R74" s="6">
        <f t="shared" si="46"/>
        <v>10.604453870625662</v>
      </c>
      <c r="S74" s="7">
        <f>B74/몬스터!C23*R74</f>
        <v>200.30635088959585</v>
      </c>
      <c r="T74" s="7">
        <f t="shared" ref="T74" si="54">SUM(S70:S74)</f>
        <v>1046.4301354360791</v>
      </c>
      <c r="U74">
        <f>ROUNDDOWN(R74*몬스터!H$24, 0)*몬스터!G$24*(1+몬스터!I$24)</f>
        <v>945.54</v>
      </c>
      <c r="V74" s="2">
        <f t="shared" si="52"/>
        <v>0.32741031632599821</v>
      </c>
    </row>
    <row r="75" spans="1:22" x14ac:dyDescent="0.4">
      <c r="A75">
        <v>71</v>
      </c>
      <c r="B75" s="4">
        <f>160*A75</f>
        <v>11360</v>
      </c>
      <c r="C75">
        <f t="shared" si="48"/>
        <v>1510</v>
      </c>
      <c r="D75">
        <f t="shared" si="49"/>
        <v>80</v>
      </c>
      <c r="E75" s="3">
        <f t="shared" si="50"/>
        <v>8.3999999999999991E-2</v>
      </c>
      <c r="F75">
        <f t="shared" si="51"/>
        <v>153</v>
      </c>
      <c r="G75">
        <f t="shared" si="40"/>
        <v>0.94700000000000006</v>
      </c>
      <c r="H75" s="3">
        <f t="shared" si="41"/>
        <v>0.22499999999999998</v>
      </c>
      <c r="I75" s="2">
        <v>2</v>
      </c>
      <c r="J75" s="2">
        <v>0</v>
      </c>
      <c r="K75" s="2">
        <v>1</v>
      </c>
      <c r="L75" s="16">
        <f>1</f>
        <v>1</v>
      </c>
      <c r="M75" s="5">
        <f t="shared" si="42"/>
        <v>900</v>
      </c>
      <c r="N75" s="6">
        <f t="shared" si="43"/>
        <v>177.49147500000004</v>
      </c>
      <c r="O75">
        <f t="shared" si="44"/>
        <v>2946.3120000000004</v>
      </c>
      <c r="P75" s="7">
        <f t="shared" si="45"/>
        <v>16.599738100097483</v>
      </c>
      <c r="Q75">
        <f>ROUNDUP(몬스터!$P$25/F75, 0)</f>
        <v>11</v>
      </c>
      <c r="R75" s="6">
        <f t="shared" si="46"/>
        <v>11.615628299894402</v>
      </c>
      <c r="S75" s="7">
        <f>B75/몬스터!C24*R75</f>
        <v>194.04931983353001</v>
      </c>
      <c r="U75">
        <f>ROUNDDOWN(R75*몬스터!H$25, 0)*몬스터!G$25*(1+몬스터!I$25)</f>
        <v>1153.845</v>
      </c>
      <c r="V75" s="2">
        <f t="shared" si="52"/>
        <v>0.39162349404950997</v>
      </c>
    </row>
    <row r="76" spans="1:22" x14ac:dyDescent="0.4">
      <c r="A76">
        <v>72</v>
      </c>
      <c r="B76" s="4">
        <f t="shared" ref="B76:B79" si="55">160*A76</f>
        <v>11520</v>
      </c>
      <c r="C76">
        <f t="shared" si="48"/>
        <v>1530</v>
      </c>
      <c r="D76">
        <f t="shared" si="49"/>
        <v>81</v>
      </c>
      <c r="E76" s="3">
        <f t="shared" si="50"/>
        <v>8.5199999999999984E-2</v>
      </c>
      <c r="F76">
        <f t="shared" si="51"/>
        <v>155</v>
      </c>
      <c r="G76">
        <f t="shared" si="40"/>
        <v>0.95100000000000007</v>
      </c>
      <c r="H76" s="3">
        <f t="shared" si="41"/>
        <v>0.22749999999999998</v>
      </c>
      <c r="I76" s="2">
        <v>2</v>
      </c>
      <c r="J76" s="2">
        <v>0</v>
      </c>
      <c r="K76" s="2">
        <v>1</v>
      </c>
      <c r="L76" s="16">
        <f>1</f>
        <v>1</v>
      </c>
      <c r="M76" s="5">
        <f t="shared" si="42"/>
        <v>910</v>
      </c>
      <c r="N76" s="6">
        <f t="shared" si="43"/>
        <v>180.9396375</v>
      </c>
      <c r="O76">
        <f t="shared" si="44"/>
        <v>3005.2443600000001</v>
      </c>
      <c r="P76" s="7">
        <f t="shared" si="45"/>
        <v>16.609099042767784</v>
      </c>
      <c r="Q76">
        <f>ROUNDUP(몬스터!$P$25/F76, 0)</f>
        <v>11</v>
      </c>
      <c r="R76" s="6">
        <f t="shared" si="46"/>
        <v>11.566771819137749</v>
      </c>
      <c r="S76" s="7">
        <f>B76/몬스터!C24*R76</f>
        <v>195.95472258303951</v>
      </c>
      <c r="U76">
        <f>ROUNDDOWN(R76*몬스터!H$25, 0)*몬스터!G$25*(1+몬스터!I$25)</f>
        <v>1153.845</v>
      </c>
      <c r="V76" s="2">
        <f t="shared" si="52"/>
        <v>0.38394382012915579</v>
      </c>
    </row>
    <row r="77" spans="1:22" x14ac:dyDescent="0.4">
      <c r="A77">
        <v>73</v>
      </c>
      <c r="B77" s="4">
        <f t="shared" si="55"/>
        <v>11680</v>
      </c>
      <c r="C77">
        <f t="shared" si="48"/>
        <v>1550</v>
      </c>
      <c r="D77">
        <f t="shared" si="49"/>
        <v>82</v>
      </c>
      <c r="E77" s="3">
        <f t="shared" si="50"/>
        <v>8.6399999999999991E-2</v>
      </c>
      <c r="F77">
        <f t="shared" si="51"/>
        <v>157</v>
      </c>
      <c r="G77">
        <f t="shared" si="40"/>
        <v>0.95500000000000007</v>
      </c>
      <c r="H77" s="3">
        <f t="shared" si="41"/>
        <v>0.22999999999999998</v>
      </c>
      <c r="I77" s="2">
        <v>2</v>
      </c>
      <c r="J77" s="2">
        <v>0</v>
      </c>
      <c r="K77" s="2">
        <v>1</v>
      </c>
      <c r="L77" s="16">
        <f>1</f>
        <v>1</v>
      </c>
      <c r="M77" s="5">
        <f t="shared" si="42"/>
        <v>920</v>
      </c>
      <c r="N77" s="6">
        <f t="shared" si="43"/>
        <v>184.42005</v>
      </c>
      <c r="O77">
        <f t="shared" si="44"/>
        <v>3064.7343999999998</v>
      </c>
      <c r="P77" s="7">
        <f t="shared" si="45"/>
        <v>16.618227790308048</v>
      </c>
      <c r="Q77">
        <f>ROUNDUP(몬스터!$P$25/F77, 0)</f>
        <v>11</v>
      </c>
      <c r="R77" s="6">
        <f t="shared" si="46"/>
        <v>11.518324607329841</v>
      </c>
      <c r="S77" s="7">
        <f>B77/몬스터!C24*R77</f>
        <v>197.84416384354785</v>
      </c>
      <c r="U77">
        <f>ROUNDDOWN(R77*몬스터!H$25, 0)*몬스터!G$25*(1+몬스터!I$25)</f>
        <v>1153.845</v>
      </c>
      <c r="V77" s="2">
        <f t="shared" si="52"/>
        <v>0.37649102643282895</v>
      </c>
    </row>
    <row r="78" spans="1:22" x14ac:dyDescent="0.4">
      <c r="A78">
        <v>74</v>
      </c>
      <c r="B78" s="4">
        <f t="shared" si="55"/>
        <v>11840</v>
      </c>
      <c r="C78">
        <f t="shared" si="48"/>
        <v>1570</v>
      </c>
      <c r="D78">
        <f t="shared" si="49"/>
        <v>83</v>
      </c>
      <c r="E78" s="3">
        <f t="shared" si="50"/>
        <v>8.7599999999999983E-2</v>
      </c>
      <c r="F78">
        <f t="shared" si="51"/>
        <v>159</v>
      </c>
      <c r="G78">
        <f t="shared" si="40"/>
        <v>0.95900000000000007</v>
      </c>
      <c r="H78" s="3">
        <f t="shared" si="41"/>
        <v>0.23249999999999998</v>
      </c>
      <c r="I78" s="2">
        <v>2</v>
      </c>
      <c r="J78" s="2">
        <v>0</v>
      </c>
      <c r="K78" s="2">
        <v>1</v>
      </c>
      <c r="L78" s="16">
        <f>1</f>
        <v>1</v>
      </c>
      <c r="M78" s="5">
        <f t="shared" si="42"/>
        <v>930</v>
      </c>
      <c r="N78" s="6">
        <f t="shared" si="43"/>
        <v>187.93283250000002</v>
      </c>
      <c r="O78">
        <f t="shared" si="44"/>
        <v>3124.7835599999994</v>
      </c>
      <c r="P78" s="7">
        <f t="shared" si="45"/>
        <v>16.627129588971631</v>
      </c>
      <c r="Q78">
        <f>ROUNDUP(몬스터!$P$25/F78, 0)</f>
        <v>11</v>
      </c>
      <c r="R78" s="6">
        <f t="shared" si="46"/>
        <v>11.470281543274243</v>
      </c>
      <c r="S78" s="7">
        <f>B78/몬스터!C24*R78</f>
        <v>199.71784334171622</v>
      </c>
      <c r="U78">
        <f>ROUNDDOWN(R78*몬스터!H$25, 0)*몬스터!G$25*(1+몬스터!I$25)</f>
        <v>1153.845</v>
      </c>
      <c r="V78" s="2">
        <f t="shared" si="52"/>
        <v>0.3692559749642309</v>
      </c>
    </row>
    <row r="79" spans="1:22" x14ac:dyDescent="0.4">
      <c r="A79">
        <v>75</v>
      </c>
      <c r="B79" s="4">
        <f t="shared" si="55"/>
        <v>12000</v>
      </c>
      <c r="C79">
        <f t="shared" si="48"/>
        <v>1590</v>
      </c>
      <c r="D79">
        <f t="shared" si="49"/>
        <v>84</v>
      </c>
      <c r="E79" s="3">
        <f t="shared" si="50"/>
        <v>8.879999999999999E-2</v>
      </c>
      <c r="F79">
        <f t="shared" si="51"/>
        <v>161</v>
      </c>
      <c r="G79">
        <f t="shared" si="40"/>
        <v>0.96300000000000008</v>
      </c>
      <c r="H79" s="3">
        <f t="shared" si="41"/>
        <v>0.23499999999999999</v>
      </c>
      <c r="I79" s="2">
        <v>2</v>
      </c>
      <c r="J79" s="2">
        <v>0</v>
      </c>
      <c r="K79" s="2">
        <v>1</v>
      </c>
      <c r="L79" s="16">
        <f>1</f>
        <v>1</v>
      </c>
      <c r="M79" s="5">
        <f t="shared" si="42"/>
        <v>940</v>
      </c>
      <c r="N79" s="6">
        <f>F79*G79*(1+H79)</f>
        <v>191.478105</v>
      </c>
      <c r="O79">
        <f t="shared" si="44"/>
        <v>3185.3932799999998</v>
      </c>
      <c r="P79" s="7">
        <f t="shared" si="45"/>
        <v>16.635809509395344</v>
      </c>
      <c r="Q79">
        <f>ROUNDUP(몬스터!$P$25/F79, 0)</f>
        <v>11</v>
      </c>
      <c r="R79" s="6">
        <f t="shared" si="46"/>
        <v>11.422637590861889</v>
      </c>
      <c r="S79" s="7">
        <f>B79/몬스터!C24*R79</f>
        <v>201.57595748579806</v>
      </c>
      <c r="T79" s="7">
        <f t="shared" ref="T79" si="56">SUM(S75:S79)</f>
        <v>989.14200708763167</v>
      </c>
      <c r="U79">
        <f>ROUNDDOWN(R79*몬스터!H$25, 0)*몬스터!G$25*(1+몬스터!I$25)</f>
        <v>1153.845</v>
      </c>
      <c r="V79" s="2">
        <f t="shared" si="52"/>
        <v>0.36222999754680218</v>
      </c>
    </row>
    <row r="80" spans="1:22" x14ac:dyDescent="0.4">
      <c r="A80">
        <v>76</v>
      </c>
      <c r="B80" s="4">
        <f>170*A80</f>
        <v>12920</v>
      </c>
      <c r="C80">
        <f t="shared" si="48"/>
        <v>1610</v>
      </c>
      <c r="D80">
        <f t="shared" si="49"/>
        <v>85</v>
      </c>
      <c r="E80" s="3">
        <f t="shared" si="50"/>
        <v>8.9999999999999983E-2</v>
      </c>
      <c r="F80">
        <f t="shared" si="51"/>
        <v>163</v>
      </c>
      <c r="G80">
        <f t="shared" si="40"/>
        <v>0.96700000000000008</v>
      </c>
      <c r="H80" s="3">
        <f t="shared" si="41"/>
        <v>0.23749999999999999</v>
      </c>
      <c r="I80" s="2">
        <v>2</v>
      </c>
      <c r="J80" s="2">
        <v>0</v>
      </c>
      <c r="K80" s="2">
        <v>1</v>
      </c>
      <c r="L80" s="16">
        <f>1</f>
        <v>1</v>
      </c>
      <c r="M80" s="5">
        <f t="shared" si="42"/>
        <v>950</v>
      </c>
      <c r="N80" s="6">
        <f t="shared" si="43"/>
        <v>195.05598750000001</v>
      </c>
      <c r="O80">
        <f t="shared" si="44"/>
        <v>3246.5650000000001</v>
      </c>
      <c r="P80" s="7">
        <f t="shared" si="45"/>
        <v>16.644272455363616</v>
      </c>
      <c r="Q80">
        <f>ROUNDUP(몬스터!$P$26/F80, 0)</f>
        <v>12</v>
      </c>
      <c r="R80" s="6">
        <f t="shared" si="46"/>
        <v>12.409513960703205</v>
      </c>
      <c r="S80" s="7">
        <f>B80/몬스터!C25*R80</f>
        <v>219.63139777025398</v>
      </c>
      <c r="U80">
        <f>ROUNDDOWN(R80*몬스터!H$26, 0)*몬스터!G$26*(1+몬스터!I$26)</f>
        <v>1371.75</v>
      </c>
      <c r="V80" s="2">
        <f t="shared" si="52"/>
        <v>0.42252349791240895</v>
      </c>
    </row>
    <row r="81" spans="1:22" x14ac:dyDescent="0.4">
      <c r="A81">
        <v>77</v>
      </c>
      <c r="B81" s="4">
        <f t="shared" ref="B81:B84" si="57">170*A81</f>
        <v>13090</v>
      </c>
      <c r="C81">
        <f t="shared" si="48"/>
        <v>1630</v>
      </c>
      <c r="D81">
        <f t="shared" si="49"/>
        <v>86</v>
      </c>
      <c r="E81" s="3">
        <f t="shared" si="50"/>
        <v>9.1199999999999989E-2</v>
      </c>
      <c r="F81">
        <f t="shared" si="51"/>
        <v>165</v>
      </c>
      <c r="G81">
        <f t="shared" si="40"/>
        <v>0.97100000000000009</v>
      </c>
      <c r="H81" s="3">
        <f t="shared" si="41"/>
        <v>0.24</v>
      </c>
      <c r="I81" s="2">
        <v>2</v>
      </c>
      <c r="J81" s="2">
        <v>0</v>
      </c>
      <c r="K81" s="2">
        <v>1</v>
      </c>
      <c r="L81" s="16">
        <f>1</f>
        <v>1</v>
      </c>
      <c r="M81" s="5">
        <f t="shared" si="42"/>
        <v>960</v>
      </c>
      <c r="N81" s="6">
        <f t="shared" si="43"/>
        <v>198.66660000000002</v>
      </c>
      <c r="O81">
        <f t="shared" si="44"/>
        <v>3308.3001599999993</v>
      </c>
      <c r="P81" s="7">
        <f t="shared" si="45"/>
        <v>16.652523171987635</v>
      </c>
      <c r="Q81">
        <f>ROUNDUP(몬스터!$P$26/F81, 0)</f>
        <v>11</v>
      </c>
      <c r="R81" s="6">
        <f t="shared" si="46"/>
        <v>11.32852729145211</v>
      </c>
      <c r="S81" s="7">
        <f>B81/몬스터!C25*R81</f>
        <v>203.13756471932618</v>
      </c>
      <c r="U81">
        <f>ROUNDDOWN(R81*몬스터!H$26, 0)*몬스터!G$26*(1+몬스터!I$26)</f>
        <v>1234.575</v>
      </c>
      <c r="V81" s="2">
        <f t="shared" si="52"/>
        <v>0.37317502653689089</v>
      </c>
    </row>
    <row r="82" spans="1:22" x14ac:dyDescent="0.4">
      <c r="A82">
        <v>78</v>
      </c>
      <c r="B82" s="4">
        <f t="shared" si="57"/>
        <v>13260</v>
      </c>
      <c r="C82">
        <f t="shared" si="48"/>
        <v>1650</v>
      </c>
      <c r="D82">
        <f t="shared" si="49"/>
        <v>87</v>
      </c>
      <c r="E82" s="3">
        <f t="shared" si="50"/>
        <v>9.2399999999999982E-2</v>
      </c>
      <c r="F82">
        <f t="shared" si="51"/>
        <v>167</v>
      </c>
      <c r="G82">
        <f t="shared" si="40"/>
        <v>0.97500000000000009</v>
      </c>
      <c r="H82" s="3">
        <f t="shared" si="41"/>
        <v>0.24249999999999999</v>
      </c>
      <c r="I82" s="2">
        <v>2</v>
      </c>
      <c r="J82" s="2">
        <v>0</v>
      </c>
      <c r="K82" s="2">
        <v>1</v>
      </c>
      <c r="L82" s="16">
        <f>1</f>
        <v>1</v>
      </c>
      <c r="M82" s="5">
        <f t="shared" si="42"/>
        <v>970</v>
      </c>
      <c r="N82" s="6">
        <f t="shared" si="43"/>
        <v>202.31006250000002</v>
      </c>
      <c r="O82">
        <f t="shared" si="44"/>
        <v>3370.6002000000003</v>
      </c>
      <c r="P82" s="7">
        <f t="shared" si="45"/>
        <v>16.660566253346889</v>
      </c>
      <c r="Q82">
        <f>ROUNDUP(몬스터!$P$26/F82, 0)</f>
        <v>11</v>
      </c>
      <c r="R82" s="6">
        <f t="shared" si="46"/>
        <v>11.282051282051281</v>
      </c>
      <c r="S82" s="7">
        <f>B82/몬스터!C25*R82</f>
        <v>204.93150684931504</v>
      </c>
      <c r="U82">
        <f>ROUNDDOWN(R82*몬스터!H$26, 0)*몬스터!G$26*(1+몬스터!I$26)</f>
        <v>1234.575</v>
      </c>
      <c r="V82" s="2">
        <f t="shared" si="52"/>
        <v>0.366277495622293</v>
      </c>
    </row>
    <row r="83" spans="1:22" x14ac:dyDescent="0.4">
      <c r="A83">
        <v>79</v>
      </c>
      <c r="B83" s="4">
        <f t="shared" si="57"/>
        <v>13430</v>
      </c>
      <c r="C83">
        <f t="shared" si="48"/>
        <v>1670</v>
      </c>
      <c r="D83">
        <f t="shared" si="49"/>
        <v>88</v>
      </c>
      <c r="E83" s="3">
        <f t="shared" si="50"/>
        <v>9.3599999999999989E-2</v>
      </c>
      <c r="F83">
        <f t="shared" si="51"/>
        <v>169</v>
      </c>
      <c r="G83">
        <f t="shared" si="40"/>
        <v>0.97900000000000009</v>
      </c>
      <c r="H83" s="3">
        <f t="shared" si="41"/>
        <v>0.245</v>
      </c>
      <c r="I83" s="2">
        <v>2</v>
      </c>
      <c r="J83" s="2">
        <v>0</v>
      </c>
      <c r="K83" s="2">
        <v>1</v>
      </c>
      <c r="L83" s="16">
        <f>1</f>
        <v>1</v>
      </c>
      <c r="M83" s="5">
        <f t="shared" si="42"/>
        <v>980</v>
      </c>
      <c r="N83" s="6">
        <f t="shared" si="43"/>
        <v>205.98649500000005</v>
      </c>
      <c r="O83">
        <f t="shared" si="44"/>
        <v>3433.4665599999994</v>
      </c>
      <c r="P83" s="7">
        <f t="shared" si="45"/>
        <v>16.668406149636162</v>
      </c>
      <c r="Q83">
        <f>ROUNDUP(몬스터!$P$26/F83, 0)</f>
        <v>11</v>
      </c>
      <c r="R83" s="6">
        <f t="shared" si="46"/>
        <v>11.235955056179774</v>
      </c>
      <c r="S83" s="7">
        <f>B83/몬스터!C25*R83</f>
        <v>206.71078959519775</v>
      </c>
      <c r="U83">
        <f>ROUNDDOWN(R83*몬스터!H$26, 0)*몬스터!G$26*(1+몬스터!I$26)</f>
        <v>1234.575</v>
      </c>
      <c r="V83" s="2">
        <f t="shared" si="52"/>
        <v>0.35957099870516879</v>
      </c>
    </row>
    <row r="84" spans="1:22" x14ac:dyDescent="0.4">
      <c r="A84">
        <v>80</v>
      </c>
      <c r="B84" s="4">
        <f t="shared" si="57"/>
        <v>13600</v>
      </c>
      <c r="C84">
        <f t="shared" si="48"/>
        <v>1690</v>
      </c>
      <c r="D84">
        <f t="shared" si="49"/>
        <v>89</v>
      </c>
      <c r="E84" s="3">
        <f t="shared" si="50"/>
        <v>9.4799999999999982E-2</v>
      </c>
      <c r="F84">
        <f t="shared" si="51"/>
        <v>171</v>
      </c>
      <c r="G84">
        <f t="shared" si="40"/>
        <v>0.9830000000000001</v>
      </c>
      <c r="H84" s="3">
        <f t="shared" si="41"/>
        <v>0.2475</v>
      </c>
      <c r="I84" s="2">
        <v>2</v>
      </c>
      <c r="J84" s="2">
        <v>0</v>
      </c>
      <c r="K84" s="2">
        <v>1</v>
      </c>
      <c r="L84" s="16">
        <f>1</f>
        <v>1</v>
      </c>
      <c r="M84" s="5">
        <f t="shared" si="42"/>
        <v>990</v>
      </c>
      <c r="N84" s="6">
        <f t="shared" si="43"/>
        <v>209.69601750000004</v>
      </c>
      <c r="O84">
        <f t="shared" si="44"/>
        <v>3496.9006800000002</v>
      </c>
      <c r="P84" s="7">
        <f t="shared" si="45"/>
        <v>16.67604717385727</v>
      </c>
      <c r="Q84">
        <f>ROUNDUP(몬스터!$P$26/F84, 0)</f>
        <v>11</v>
      </c>
      <c r="R84" s="6">
        <f t="shared" si="46"/>
        <v>11.190233977619531</v>
      </c>
      <c r="S84" s="7">
        <f>B84/몬스터!C25*R84</f>
        <v>208.47559191181591</v>
      </c>
      <c r="T84" s="7">
        <f t="shared" ref="T84" si="58">SUM(S80:S84)</f>
        <v>1042.8868508459088</v>
      </c>
      <c r="U84">
        <f>ROUNDDOWN(R84*몬스터!H$26, 0)*몬스터!G$26*(1+몬스터!I$26)</f>
        <v>1234.575</v>
      </c>
      <c r="V84" s="2">
        <f t="shared" si="52"/>
        <v>0.35304834565676024</v>
      </c>
    </row>
    <row r="85" spans="1:22" x14ac:dyDescent="0.4">
      <c r="A85">
        <v>81</v>
      </c>
      <c r="B85" s="4">
        <f>160*A85</f>
        <v>12960</v>
      </c>
      <c r="C85">
        <f t="shared" si="48"/>
        <v>1710</v>
      </c>
      <c r="D85">
        <f t="shared" si="49"/>
        <v>90</v>
      </c>
      <c r="E85" s="3">
        <f t="shared" si="50"/>
        <v>9.5999999999999988E-2</v>
      </c>
      <c r="F85">
        <f t="shared" si="51"/>
        <v>173</v>
      </c>
      <c r="G85">
        <f t="shared" si="40"/>
        <v>0.9870000000000001</v>
      </c>
      <c r="H85" s="3">
        <f t="shared" si="41"/>
        <v>0.25</v>
      </c>
      <c r="I85" s="2">
        <v>2</v>
      </c>
      <c r="J85" s="2">
        <v>0</v>
      </c>
      <c r="K85" s="2">
        <v>1</v>
      </c>
      <c r="L85" s="16">
        <f>1</f>
        <v>1</v>
      </c>
      <c r="M85" s="5">
        <f t="shared" si="42"/>
        <v>1000</v>
      </c>
      <c r="N85" s="6">
        <f t="shared" si="43"/>
        <v>213.43875</v>
      </c>
      <c r="O85">
        <f t="shared" si="44"/>
        <v>3560.9040000000005</v>
      </c>
      <c r="P85" s="7">
        <f t="shared" si="45"/>
        <v>16.683493508090731</v>
      </c>
      <c r="Q85">
        <f>ROUNDUP(몬스터!$P$29/F85, 0)</f>
        <v>12</v>
      </c>
      <c r="R85" s="6">
        <f t="shared" si="46"/>
        <v>12.1580547112462</v>
      </c>
      <c r="S85" s="7">
        <f>B85/몬스터!C26*R85</f>
        <v>202.01075520224455</v>
      </c>
      <c r="U85">
        <f>ROUNDDOWN(R85*몬스터!H$29, 0)*몬스터!G$29*(1+몬스터!I$29)</f>
        <v>1474.1999999999998</v>
      </c>
      <c r="V85" s="2">
        <f t="shared" si="52"/>
        <v>0.41399599652223135</v>
      </c>
    </row>
    <row r="86" spans="1:22" x14ac:dyDescent="0.4">
      <c r="A86">
        <v>82</v>
      </c>
      <c r="B86" s="4">
        <f t="shared" ref="B86:B89" si="59">160*A86</f>
        <v>13120</v>
      </c>
      <c r="C86">
        <f t="shared" si="48"/>
        <v>1730</v>
      </c>
      <c r="D86">
        <f t="shared" si="49"/>
        <v>91</v>
      </c>
      <c r="E86" s="3">
        <f t="shared" si="50"/>
        <v>9.7199999999999981E-2</v>
      </c>
      <c r="F86">
        <f t="shared" si="51"/>
        <v>175</v>
      </c>
      <c r="G86">
        <f t="shared" si="40"/>
        <v>0.9910000000000001</v>
      </c>
      <c r="H86" s="3">
        <f t="shared" si="41"/>
        <v>0.2525</v>
      </c>
      <c r="I86" s="2">
        <v>2</v>
      </c>
      <c r="J86" s="2">
        <v>0</v>
      </c>
      <c r="K86" s="2">
        <v>1</v>
      </c>
      <c r="L86" s="16">
        <f>1</f>
        <v>1</v>
      </c>
      <c r="M86" s="5">
        <f t="shared" si="42"/>
        <v>1010</v>
      </c>
      <c r="N86" s="6">
        <f t="shared" si="43"/>
        <v>217.21481249999999</v>
      </c>
      <c r="O86">
        <f t="shared" si="44"/>
        <v>3625.4779600000002</v>
      </c>
      <c r="P86" s="7">
        <f t="shared" si="45"/>
        <v>16.690749209380002</v>
      </c>
      <c r="Q86">
        <f>ROUNDUP(몬스터!$P$29/F86, 0)</f>
        <v>12</v>
      </c>
      <c r="R86" s="6">
        <f t="shared" si="46"/>
        <v>12.108980827447022</v>
      </c>
      <c r="S86" s="7">
        <f>B86/몬스터!C26*R86</f>
        <v>203.67926725141658</v>
      </c>
      <c r="U86">
        <f>ROUNDDOWN(R86*몬스터!H$29, 0)*몬스터!G$29*(1+몬스터!I$29)</f>
        <v>1474.1999999999998</v>
      </c>
      <c r="V86" s="2">
        <f t="shared" si="52"/>
        <v>0.4066222485048564</v>
      </c>
    </row>
    <row r="87" spans="1:22" x14ac:dyDescent="0.4">
      <c r="A87">
        <v>83</v>
      </c>
      <c r="B87" s="4">
        <f t="shared" si="59"/>
        <v>13280</v>
      </c>
      <c r="C87">
        <f t="shared" si="48"/>
        <v>1750</v>
      </c>
      <c r="D87">
        <f t="shared" si="49"/>
        <v>92</v>
      </c>
      <c r="E87" s="3">
        <f t="shared" si="50"/>
        <v>9.8399999999999987E-2</v>
      </c>
      <c r="F87">
        <f t="shared" si="51"/>
        <v>177</v>
      </c>
      <c r="G87">
        <f t="shared" si="40"/>
        <v>0.99500000000000011</v>
      </c>
      <c r="H87" s="3">
        <f t="shared" si="41"/>
        <v>0.255</v>
      </c>
      <c r="I87" s="2">
        <v>2</v>
      </c>
      <c r="J87" s="2">
        <v>0</v>
      </c>
      <c r="K87" s="2">
        <v>1</v>
      </c>
      <c r="L87" s="16">
        <f>1</f>
        <v>1</v>
      </c>
      <c r="M87" s="5">
        <f t="shared" si="42"/>
        <v>1020</v>
      </c>
      <c r="N87" s="6">
        <f t="shared" si="43"/>
        <v>221.024325</v>
      </c>
      <c r="O87">
        <f t="shared" si="44"/>
        <v>3690.6240000000003</v>
      </c>
      <c r="P87" s="7">
        <f t="shared" si="45"/>
        <v>16.697818215257531</v>
      </c>
      <c r="Q87">
        <f>ROUNDUP(몬스터!$P$29/F87, 0)</f>
        <v>12</v>
      </c>
      <c r="R87" s="6">
        <f t="shared" si="46"/>
        <v>12.060301507537687</v>
      </c>
      <c r="S87" s="7">
        <f>B87/몬스터!C26*R87</f>
        <v>205.33436412833396</v>
      </c>
      <c r="U87">
        <f>ROUNDDOWN(R87*몬스터!H$29, 0)*몬스터!G$29*(1+몬스터!I$29)</f>
        <v>1474.1999999999998</v>
      </c>
      <c r="V87" s="2">
        <f t="shared" si="52"/>
        <v>0.399444646758922</v>
      </c>
    </row>
    <row r="88" spans="1:22" x14ac:dyDescent="0.4">
      <c r="A88">
        <v>84</v>
      </c>
      <c r="B88" s="4">
        <f t="shared" si="59"/>
        <v>13440</v>
      </c>
      <c r="C88">
        <f t="shared" si="48"/>
        <v>1770</v>
      </c>
      <c r="D88">
        <f t="shared" si="49"/>
        <v>93</v>
      </c>
      <c r="E88" s="3">
        <f t="shared" si="50"/>
        <v>9.959999999999998E-2</v>
      </c>
      <c r="F88">
        <f t="shared" si="51"/>
        <v>179</v>
      </c>
      <c r="G88">
        <f t="shared" si="40"/>
        <v>0.99900000000000011</v>
      </c>
      <c r="H88" s="3">
        <f t="shared" si="41"/>
        <v>0.25750000000000001</v>
      </c>
      <c r="I88" s="2">
        <v>2</v>
      </c>
      <c r="J88" s="2">
        <v>0</v>
      </c>
      <c r="K88" s="2">
        <v>1</v>
      </c>
      <c r="L88" s="16">
        <f>1</f>
        <v>1</v>
      </c>
      <c r="M88" s="5">
        <f t="shared" si="42"/>
        <v>1030</v>
      </c>
      <c r="N88" s="6">
        <f t="shared" si="43"/>
        <v>224.86740750000004</v>
      </c>
      <c r="O88">
        <f t="shared" si="44"/>
        <v>3756.3435600000003</v>
      </c>
      <c r="P88" s="7">
        <f t="shared" si="45"/>
        <v>16.704704348939494</v>
      </c>
      <c r="Q88">
        <f>ROUNDUP(몬스터!$P$29/F88, 0)</f>
        <v>11</v>
      </c>
      <c r="R88" s="6">
        <f t="shared" si="46"/>
        <v>11.011011011011011</v>
      </c>
      <c r="S88" s="7">
        <f>B88/몬스터!C26*R88</f>
        <v>189.7281897281897</v>
      </c>
      <c r="U88">
        <f>ROUNDDOWN(R88*몬스터!H$29, 0)*몬스터!G$29*(1+몬스터!I$29)</f>
        <v>1326.78</v>
      </c>
      <c r="V88" s="2">
        <f t="shared" si="52"/>
        <v>0.35321050346097732</v>
      </c>
    </row>
    <row r="89" spans="1:22" x14ac:dyDescent="0.4">
      <c r="A89">
        <v>85</v>
      </c>
      <c r="B89" s="4">
        <f t="shared" si="59"/>
        <v>13600</v>
      </c>
      <c r="C89">
        <f t="shared" si="48"/>
        <v>1790</v>
      </c>
      <c r="D89">
        <f t="shared" si="49"/>
        <v>94</v>
      </c>
      <c r="E89" s="3">
        <f t="shared" si="50"/>
        <v>0.10079999999999999</v>
      </c>
      <c r="F89">
        <f t="shared" si="51"/>
        <v>181</v>
      </c>
      <c r="G89">
        <f t="shared" si="40"/>
        <v>1.0030000000000001</v>
      </c>
      <c r="H89" s="3">
        <f t="shared" si="41"/>
        <v>0.26</v>
      </c>
      <c r="I89" s="2">
        <v>2</v>
      </c>
      <c r="J89" s="2">
        <v>0</v>
      </c>
      <c r="K89" s="2">
        <v>1</v>
      </c>
      <c r="L89" s="16">
        <f>1</f>
        <v>1</v>
      </c>
      <c r="M89" s="5">
        <f t="shared" si="42"/>
        <v>1040</v>
      </c>
      <c r="N89" s="6">
        <f t="shared" si="43"/>
        <v>228.74418</v>
      </c>
      <c r="O89">
        <f t="shared" si="44"/>
        <v>3822.6380799999997</v>
      </c>
      <c r="P89" s="7">
        <f t="shared" si="45"/>
        <v>16.711411324213799</v>
      </c>
      <c r="Q89">
        <f>ROUNDUP(몬스터!$P$29/F89, 0)</f>
        <v>11</v>
      </c>
      <c r="R89" s="6">
        <f t="shared" si="46"/>
        <v>10.967098703888334</v>
      </c>
      <c r="S89" s="7">
        <f>B89/몬스터!C26*R89</f>
        <v>191.22120817036068</v>
      </c>
      <c r="T89" s="7">
        <f t="shared" ref="T89" si="60">SUM(S85:S89)</f>
        <v>991.97378448054542</v>
      </c>
      <c r="U89">
        <f>ROUNDDOWN(R89*몬스터!H$29, 0)*몬스터!G$29*(1+몬스터!I$29)</f>
        <v>1326.78</v>
      </c>
      <c r="V89" s="2">
        <f t="shared" si="52"/>
        <v>0.34708491158022475</v>
      </c>
    </row>
    <row r="90" spans="1:22" x14ac:dyDescent="0.4">
      <c r="A90">
        <v>86</v>
      </c>
      <c r="B90" s="4">
        <f>170*A90</f>
        <v>14620</v>
      </c>
      <c r="C90">
        <f t="shared" si="48"/>
        <v>1810</v>
      </c>
      <c r="D90">
        <f t="shared" si="49"/>
        <v>95</v>
      </c>
      <c r="E90" s="3">
        <f t="shared" si="50"/>
        <v>0.10199999999999998</v>
      </c>
      <c r="F90">
        <f t="shared" si="51"/>
        <v>183</v>
      </c>
      <c r="G90">
        <f t="shared" si="40"/>
        <v>1.0070000000000001</v>
      </c>
      <c r="H90" s="3">
        <f t="shared" si="41"/>
        <v>0.26250000000000001</v>
      </c>
      <c r="I90" s="2">
        <v>2</v>
      </c>
      <c r="J90" s="2">
        <v>0</v>
      </c>
      <c r="K90" s="2">
        <v>1</v>
      </c>
      <c r="L90" s="16">
        <f>1</f>
        <v>1</v>
      </c>
      <c r="M90" s="5">
        <f t="shared" si="42"/>
        <v>1050</v>
      </c>
      <c r="N90" s="6">
        <f t="shared" si="43"/>
        <v>232.65476250000003</v>
      </c>
      <c r="O90">
        <f t="shared" si="44"/>
        <v>3889.5089999999996</v>
      </c>
      <c r="P90" s="7">
        <f t="shared" si="45"/>
        <v>16.717942750043637</v>
      </c>
      <c r="Q90">
        <f>ROUNDUP(몬스터!$P$30/F90, 0)</f>
        <v>12</v>
      </c>
      <c r="R90" s="6">
        <f t="shared" si="46"/>
        <v>11.916583912611717</v>
      </c>
      <c r="S90" s="7">
        <f>B90/몬스터!C29*R90</f>
        <v>209.90416482214854</v>
      </c>
      <c r="U90">
        <f>ROUNDDOWN(R90*몬스터!H$30, 0)*몬스터!G$30*(1+몬스터!I$30)</f>
        <v>1566.075</v>
      </c>
      <c r="V90" s="2">
        <f t="shared" si="52"/>
        <v>0.40264079604906433</v>
      </c>
    </row>
    <row r="91" spans="1:22" x14ac:dyDescent="0.4">
      <c r="A91">
        <v>87</v>
      </c>
      <c r="B91" s="4">
        <f t="shared" ref="B91:B94" si="61">170*A91</f>
        <v>14790</v>
      </c>
      <c r="C91">
        <f t="shared" si="48"/>
        <v>1830</v>
      </c>
      <c r="D91">
        <f t="shared" si="49"/>
        <v>96</v>
      </c>
      <c r="E91" s="3">
        <f t="shared" si="50"/>
        <v>0.10319999999999999</v>
      </c>
      <c r="F91">
        <f t="shared" si="51"/>
        <v>185</v>
      </c>
      <c r="G91">
        <f t="shared" si="40"/>
        <v>1.0110000000000001</v>
      </c>
      <c r="H91" s="3">
        <f t="shared" si="41"/>
        <v>0.26500000000000001</v>
      </c>
      <c r="I91" s="2">
        <v>2</v>
      </c>
      <c r="J91" s="2">
        <v>0</v>
      </c>
      <c r="K91" s="2">
        <v>1</v>
      </c>
      <c r="L91" s="16">
        <f>1</f>
        <v>1</v>
      </c>
      <c r="M91" s="5">
        <f t="shared" si="42"/>
        <v>1060</v>
      </c>
      <c r="N91" s="6">
        <f t="shared" si="43"/>
        <v>236.59927500000006</v>
      </c>
      <c r="O91">
        <f t="shared" si="44"/>
        <v>3956.9577599999993</v>
      </c>
      <c r="P91" s="7">
        <f t="shared" si="45"/>
        <v>16.724302134907212</v>
      </c>
      <c r="Q91">
        <f>ROUNDUP(몬스터!$P$30/F91, 0)</f>
        <v>12</v>
      </c>
      <c r="R91" s="6">
        <f t="shared" si="46"/>
        <v>11.869436201780413</v>
      </c>
      <c r="S91" s="7">
        <f>B91/몬스터!C29*R91</f>
        <v>211.50477280040036</v>
      </c>
      <c r="U91">
        <f>ROUNDDOWN(R91*몬스터!H$30, 0)*몬스터!G$30*(1+몬스터!I$30)</f>
        <v>1566.075</v>
      </c>
      <c r="V91" s="2">
        <f t="shared" si="52"/>
        <v>0.39577753794369547</v>
      </c>
    </row>
    <row r="92" spans="1:22" x14ac:dyDescent="0.4">
      <c r="A92">
        <v>88</v>
      </c>
      <c r="B92" s="4">
        <f t="shared" si="61"/>
        <v>14960</v>
      </c>
      <c r="C92">
        <f t="shared" si="48"/>
        <v>1850</v>
      </c>
      <c r="D92">
        <f t="shared" si="49"/>
        <v>97</v>
      </c>
      <c r="E92" s="3">
        <f t="shared" si="50"/>
        <v>0.10439999999999998</v>
      </c>
      <c r="F92">
        <f t="shared" si="51"/>
        <v>187</v>
      </c>
      <c r="G92">
        <f t="shared" si="40"/>
        <v>1.0150000000000001</v>
      </c>
      <c r="H92" s="3">
        <f t="shared" si="41"/>
        <v>0.26750000000000002</v>
      </c>
      <c r="I92" s="2">
        <v>2</v>
      </c>
      <c r="J92" s="2">
        <v>0</v>
      </c>
      <c r="K92" s="2">
        <v>1</v>
      </c>
      <c r="L92" s="16">
        <f>1</f>
        <v>1</v>
      </c>
      <c r="M92" s="5">
        <f t="shared" si="42"/>
        <v>1070</v>
      </c>
      <c r="N92" s="6">
        <f t="shared" si="43"/>
        <v>240.57783750000007</v>
      </c>
      <c r="O92">
        <f t="shared" si="44"/>
        <v>4024.9858000000004</v>
      </c>
      <c r="P92" s="7">
        <f t="shared" si="45"/>
        <v>16.730492890892325</v>
      </c>
      <c r="Q92">
        <f>ROUNDUP(몬스터!$P$30/F92, 0)</f>
        <v>12</v>
      </c>
      <c r="R92" s="6">
        <f t="shared" si="46"/>
        <v>11.822660098522165</v>
      </c>
      <c r="S92" s="7">
        <f>B92/몬스터!C29*R92</f>
        <v>213.092765149267</v>
      </c>
      <c r="U92">
        <f>ROUNDDOWN(R92*몬스터!H$30, 0)*몬스터!G$30*(1+몬스터!I$30)</f>
        <v>1566.075</v>
      </c>
      <c r="V92" s="2">
        <f t="shared" si="52"/>
        <v>0.38908832920603098</v>
      </c>
    </row>
    <row r="93" spans="1:22" x14ac:dyDescent="0.4">
      <c r="A93">
        <v>89</v>
      </c>
      <c r="B93" s="4">
        <f t="shared" si="61"/>
        <v>15130</v>
      </c>
      <c r="C93">
        <f t="shared" si="48"/>
        <v>1870</v>
      </c>
      <c r="D93">
        <f t="shared" si="49"/>
        <v>98</v>
      </c>
      <c r="E93" s="3">
        <f t="shared" si="50"/>
        <v>0.10559999999999999</v>
      </c>
      <c r="F93">
        <f t="shared" si="51"/>
        <v>189</v>
      </c>
      <c r="G93">
        <f t="shared" si="40"/>
        <v>1.0190000000000001</v>
      </c>
      <c r="H93" s="3">
        <f t="shared" si="41"/>
        <v>0.27</v>
      </c>
      <c r="I93" s="2">
        <v>2</v>
      </c>
      <c r="J93" s="2">
        <v>0</v>
      </c>
      <c r="K93" s="2">
        <v>1</v>
      </c>
      <c r="L93" s="16">
        <f>1</f>
        <v>1</v>
      </c>
      <c r="M93" s="5">
        <f t="shared" si="42"/>
        <v>1080</v>
      </c>
      <c r="N93" s="6">
        <f t="shared" si="43"/>
        <v>244.59057000000004</v>
      </c>
      <c r="O93">
        <f t="shared" si="44"/>
        <v>4093.5945599999995</v>
      </c>
      <c r="P93" s="7">
        <f t="shared" si="45"/>
        <v>16.736518337563052</v>
      </c>
      <c r="Q93">
        <f>ROUNDUP(몬스터!$P$30/F93, 0)</f>
        <v>12</v>
      </c>
      <c r="R93" s="6">
        <f t="shared" si="46"/>
        <v>11.776251226692835</v>
      </c>
      <c r="S93" s="7">
        <f>B93/몬스터!C29*R93</f>
        <v>214.66829043356941</v>
      </c>
      <c r="U93">
        <f>ROUNDDOWN(R93*몬스터!H$30, 0)*몬스터!G$30*(1+몬스터!I$30)</f>
        <v>1566.075</v>
      </c>
      <c r="V93" s="2">
        <f t="shared" si="52"/>
        <v>0.38256719786143162</v>
      </c>
    </row>
    <row r="94" spans="1:22" x14ac:dyDescent="0.4">
      <c r="A94">
        <v>90</v>
      </c>
      <c r="B94" s="4">
        <f t="shared" si="61"/>
        <v>15300</v>
      </c>
      <c r="C94">
        <f t="shared" si="48"/>
        <v>1890</v>
      </c>
      <c r="D94">
        <f t="shared" si="49"/>
        <v>99</v>
      </c>
      <c r="E94" s="3">
        <f t="shared" si="50"/>
        <v>0.10679999999999998</v>
      </c>
      <c r="F94">
        <f t="shared" si="51"/>
        <v>191</v>
      </c>
      <c r="G94">
        <f t="shared" si="40"/>
        <v>1.0230000000000001</v>
      </c>
      <c r="H94" s="3">
        <f t="shared" si="41"/>
        <v>0.27250000000000002</v>
      </c>
      <c r="I94" s="2">
        <v>2</v>
      </c>
      <c r="J94" s="2">
        <v>0</v>
      </c>
      <c r="K94" s="2">
        <v>1</v>
      </c>
      <c r="L94" s="16">
        <f>1</f>
        <v>1</v>
      </c>
      <c r="M94" s="5">
        <f t="shared" si="42"/>
        <v>1090</v>
      </c>
      <c r="N94" s="6">
        <f t="shared" si="43"/>
        <v>248.63759250000004</v>
      </c>
      <c r="O94">
        <f t="shared" si="44"/>
        <v>4162.7854799999996</v>
      </c>
      <c r="P94" s="7">
        <f t="shared" si="45"/>
        <v>16.742381705614363</v>
      </c>
      <c r="Q94">
        <f>ROUNDUP(몬스터!$P$30/F94, 0)</f>
        <v>12</v>
      </c>
      <c r="R94" s="6">
        <f t="shared" si="46"/>
        <v>11.730205278592374</v>
      </c>
      <c r="S94" s="7">
        <f>B94/몬스터!C29*R94</f>
        <v>216.23149489453411</v>
      </c>
      <c r="T94" s="7">
        <f t="shared" ref="T94" si="62">SUM(S90:S94)</f>
        <v>1065.4014880999193</v>
      </c>
      <c r="U94">
        <f>ROUNDDOWN(R94*몬스터!H$30, 0)*몬스터!G$30*(1+몬스터!I$30)</f>
        <v>1566.075</v>
      </c>
      <c r="V94" s="2">
        <f t="shared" si="52"/>
        <v>0.37620843243644642</v>
      </c>
    </row>
    <row r="95" spans="1:22" x14ac:dyDescent="0.4">
      <c r="A95">
        <v>91</v>
      </c>
      <c r="B95" s="4">
        <f>160*A95</f>
        <v>14560</v>
      </c>
      <c r="C95">
        <f t="shared" si="48"/>
        <v>1910</v>
      </c>
      <c r="D95">
        <f t="shared" si="49"/>
        <v>100</v>
      </c>
      <c r="E95" s="3">
        <f t="shared" si="50"/>
        <v>0.10799999999999998</v>
      </c>
      <c r="F95">
        <f t="shared" si="51"/>
        <v>193</v>
      </c>
      <c r="G95">
        <f t="shared" si="40"/>
        <v>1.0270000000000001</v>
      </c>
      <c r="H95" s="3">
        <f t="shared" si="41"/>
        <v>0.27500000000000002</v>
      </c>
      <c r="I95" s="2">
        <v>2</v>
      </c>
      <c r="J95" s="2">
        <v>0</v>
      </c>
      <c r="K95" s="2">
        <v>1</v>
      </c>
      <c r="L95" s="16">
        <f>1</f>
        <v>1</v>
      </c>
      <c r="M95" s="5">
        <f t="shared" si="42"/>
        <v>1100</v>
      </c>
      <c r="N95" s="6">
        <f t="shared" si="43"/>
        <v>252.71902499999999</v>
      </c>
      <c r="O95">
        <f t="shared" si="44"/>
        <v>4232.5600000000004</v>
      </c>
      <c r="P95" s="7">
        <f t="shared" si="45"/>
        <v>16.748086140329168</v>
      </c>
      <c r="Q95">
        <f>ROUNDUP(몬스터!$P$31/F95, 0)</f>
        <v>13</v>
      </c>
      <c r="R95" s="6">
        <f t="shared" si="46"/>
        <v>12.658227848101264</v>
      </c>
      <c r="S95" s="7">
        <f>B95/몬스터!C30*R95</f>
        <v>209.43613348676638</v>
      </c>
      <c r="U95">
        <f>ROUNDDOWN(R95*몬스터!H$31, 0)*몬스터!G$31*(1+몬스터!I$31)</f>
        <v>1837.9350000000002</v>
      </c>
      <c r="V95" s="2">
        <f t="shared" si="52"/>
        <v>0.43423719923639592</v>
      </c>
    </row>
    <row r="96" spans="1:22" x14ac:dyDescent="0.4">
      <c r="A96">
        <v>92</v>
      </c>
      <c r="B96" s="4">
        <f t="shared" ref="B96:B99" si="63">160*A96</f>
        <v>14720</v>
      </c>
      <c r="C96">
        <f t="shared" si="48"/>
        <v>1930</v>
      </c>
      <c r="D96">
        <f t="shared" si="49"/>
        <v>101</v>
      </c>
      <c r="E96" s="3">
        <f t="shared" si="50"/>
        <v>0.10919999999999998</v>
      </c>
      <c r="F96">
        <f t="shared" si="51"/>
        <v>195</v>
      </c>
      <c r="G96">
        <f t="shared" si="40"/>
        <v>1.0310000000000001</v>
      </c>
      <c r="H96" s="3">
        <f t="shared" si="41"/>
        <v>0.27750000000000002</v>
      </c>
      <c r="I96" s="2">
        <v>2</v>
      </c>
      <c r="J96" s="2">
        <v>0</v>
      </c>
      <c r="K96" s="2">
        <v>1</v>
      </c>
      <c r="L96" s="16">
        <f>1</f>
        <v>1</v>
      </c>
      <c r="M96" s="5">
        <f t="shared" si="42"/>
        <v>1110</v>
      </c>
      <c r="N96" s="6">
        <f t="shared" si="43"/>
        <v>256.83498750000001</v>
      </c>
      <c r="O96">
        <f t="shared" si="44"/>
        <v>4302.9195599999994</v>
      </c>
      <c r="P96" s="7">
        <f t="shared" si="45"/>
        <v>16.753634704851102</v>
      </c>
      <c r="Q96">
        <f>ROUNDUP(몬스터!$P$31/F96, 0)</f>
        <v>12</v>
      </c>
      <c r="R96" s="6">
        <f t="shared" si="46"/>
        <v>11.639185257032006</v>
      </c>
      <c r="S96" s="7">
        <f>B96/몬스터!C30*R96</f>
        <v>194.69182611762628</v>
      </c>
      <c r="U96">
        <f>ROUNDDOWN(R96*몬스터!H$31, 0)*몬스터!G$31*(1+몬스터!I$31)</f>
        <v>1670.8500000000001</v>
      </c>
      <c r="V96" s="2">
        <f t="shared" si="52"/>
        <v>0.38830612022875005</v>
      </c>
    </row>
    <row r="97" spans="1:22" x14ac:dyDescent="0.4">
      <c r="A97">
        <v>93</v>
      </c>
      <c r="B97" s="4">
        <f t="shared" si="63"/>
        <v>14880</v>
      </c>
      <c r="C97">
        <f t="shared" si="48"/>
        <v>1950</v>
      </c>
      <c r="D97">
        <f t="shared" si="49"/>
        <v>102</v>
      </c>
      <c r="E97" s="3">
        <f t="shared" si="50"/>
        <v>0.11039999999999998</v>
      </c>
      <c r="F97">
        <f t="shared" si="51"/>
        <v>197</v>
      </c>
      <c r="G97">
        <f t="shared" si="40"/>
        <v>1.0350000000000001</v>
      </c>
      <c r="H97" s="3">
        <f t="shared" si="41"/>
        <v>0.28000000000000003</v>
      </c>
      <c r="I97" s="2">
        <v>2</v>
      </c>
      <c r="J97" s="2">
        <v>0</v>
      </c>
      <c r="K97" s="2">
        <v>1</v>
      </c>
      <c r="L97" s="16">
        <f>1</f>
        <v>1</v>
      </c>
      <c r="M97" s="5">
        <f t="shared" si="42"/>
        <v>1120</v>
      </c>
      <c r="N97" s="6">
        <f t="shared" si="43"/>
        <v>260.98560000000003</v>
      </c>
      <c r="O97">
        <f t="shared" si="44"/>
        <v>4373.8656000000001</v>
      </c>
      <c r="P97" s="7">
        <f t="shared" si="45"/>
        <v>16.759030383285513</v>
      </c>
      <c r="Q97">
        <f>ROUNDUP(몬스터!$P$31/F97, 0)</f>
        <v>12</v>
      </c>
      <c r="R97" s="6">
        <f t="shared" si="46"/>
        <v>11.594202898550723</v>
      </c>
      <c r="S97" s="7">
        <f>B97/몬스터!C30*R97</f>
        <v>196.0474308300395</v>
      </c>
      <c r="U97">
        <f>ROUNDDOWN(R97*몬스터!H$31, 0)*몬스터!G$31*(1+몬스터!I$31)</f>
        <v>1670.8500000000001</v>
      </c>
      <c r="V97" s="2">
        <f t="shared" si="52"/>
        <v>0.38200762273079447</v>
      </c>
    </row>
    <row r="98" spans="1:22" x14ac:dyDescent="0.4">
      <c r="A98">
        <v>94</v>
      </c>
      <c r="B98" s="4">
        <f t="shared" si="63"/>
        <v>15040</v>
      </c>
      <c r="C98">
        <f t="shared" si="48"/>
        <v>1970</v>
      </c>
      <c r="D98">
        <f t="shared" si="49"/>
        <v>103</v>
      </c>
      <c r="E98" s="3">
        <f t="shared" si="50"/>
        <v>0.11159999999999998</v>
      </c>
      <c r="F98">
        <f t="shared" si="51"/>
        <v>199</v>
      </c>
      <c r="G98">
        <f t="shared" si="40"/>
        <v>1.0390000000000001</v>
      </c>
      <c r="H98" s="3">
        <f t="shared" si="41"/>
        <v>0.28250000000000003</v>
      </c>
      <c r="I98" s="2">
        <v>2</v>
      </c>
      <c r="J98" s="2">
        <v>0</v>
      </c>
      <c r="K98" s="2">
        <v>1</v>
      </c>
      <c r="L98" s="16">
        <f>1</f>
        <v>1</v>
      </c>
      <c r="M98" s="5">
        <f t="shared" si="42"/>
        <v>1130</v>
      </c>
      <c r="N98" s="6">
        <f t="shared" si="43"/>
        <v>265.17098250000004</v>
      </c>
      <c r="O98">
        <f t="shared" si="44"/>
        <v>4445.3995599999998</v>
      </c>
      <c r="P98" s="7">
        <f t="shared" si="45"/>
        <v>16.764276083639729</v>
      </c>
      <c r="Q98">
        <f>ROUNDUP(몬스터!$P$31/F98, 0)</f>
        <v>12</v>
      </c>
      <c r="R98" s="6">
        <f t="shared" si="46"/>
        <v>11.549566891241577</v>
      </c>
      <c r="S98" s="7">
        <f>B98/몬스터!C30*R98</f>
        <v>197.39259777758329</v>
      </c>
      <c r="U98">
        <f>ROUNDDOWN(R98*몬스터!H$31, 0)*몬스터!G$31*(1+몬스터!I$31)</f>
        <v>1670.8500000000001</v>
      </c>
      <c r="V98" s="2">
        <f t="shared" si="52"/>
        <v>0.37586047720758764</v>
      </c>
    </row>
    <row r="99" spans="1:22" x14ac:dyDescent="0.4">
      <c r="A99">
        <v>95</v>
      </c>
      <c r="B99" s="4">
        <f t="shared" si="63"/>
        <v>15200</v>
      </c>
      <c r="C99">
        <f t="shared" si="48"/>
        <v>1990</v>
      </c>
      <c r="D99">
        <f t="shared" si="49"/>
        <v>104</v>
      </c>
      <c r="E99" s="3">
        <f t="shared" si="50"/>
        <v>0.11279999999999998</v>
      </c>
      <c r="F99">
        <f t="shared" si="51"/>
        <v>201</v>
      </c>
      <c r="G99">
        <f t="shared" si="40"/>
        <v>1.0430000000000001</v>
      </c>
      <c r="H99" s="3">
        <f t="shared" si="41"/>
        <v>0.28500000000000003</v>
      </c>
      <c r="I99" s="2">
        <v>2</v>
      </c>
      <c r="J99" s="2">
        <v>0</v>
      </c>
      <c r="K99" s="2">
        <v>1</v>
      </c>
      <c r="L99" s="16">
        <f>1</f>
        <v>1</v>
      </c>
      <c r="M99" s="5">
        <f t="shared" si="42"/>
        <v>1140</v>
      </c>
      <c r="N99" s="6">
        <f t="shared" si="43"/>
        <v>269.39125500000006</v>
      </c>
      <c r="O99">
        <f t="shared" si="44"/>
        <v>4517.5228799999995</v>
      </c>
      <c r="P99" s="7">
        <f t="shared" si="45"/>
        <v>16.769374640613329</v>
      </c>
      <c r="Q99">
        <f>ROUNDUP(몬스터!$P$31/F99, 0)</f>
        <v>12</v>
      </c>
      <c r="R99" s="6">
        <f t="shared" si="46"/>
        <v>11.505273250239691</v>
      </c>
      <c r="S99" s="7">
        <f>B99/몬스터!C30*R99</f>
        <v>198.72744704959467</v>
      </c>
      <c r="T99" s="7">
        <f t="shared" ref="T99" si="64">SUM(S95:S99)</f>
        <v>996.29543526161024</v>
      </c>
      <c r="U99">
        <f>ROUNDDOWN(R99*몬스터!H$31, 0)*몬스터!G$31*(1+몬스터!I$31)</f>
        <v>1670.8500000000001</v>
      </c>
      <c r="V99" s="2">
        <f t="shared" si="52"/>
        <v>0.36985977589558999</v>
      </c>
    </row>
    <row r="100" spans="1:22" x14ac:dyDescent="0.4">
      <c r="A100">
        <v>96</v>
      </c>
      <c r="B100" s="4">
        <f>170*A100</f>
        <v>16320</v>
      </c>
      <c r="C100">
        <f t="shared" si="48"/>
        <v>2010</v>
      </c>
      <c r="D100">
        <f t="shared" si="49"/>
        <v>105</v>
      </c>
      <c r="E100" s="3">
        <f t="shared" si="50"/>
        <v>0.11399999999999999</v>
      </c>
      <c r="F100">
        <f t="shared" si="51"/>
        <v>203</v>
      </c>
      <c r="G100">
        <f t="shared" si="40"/>
        <v>1.0470000000000002</v>
      </c>
      <c r="H100" s="3">
        <f t="shared" si="41"/>
        <v>0.28749999999999998</v>
      </c>
      <c r="I100" s="2">
        <v>2</v>
      </c>
      <c r="J100" s="2">
        <v>0</v>
      </c>
      <c r="K100" s="2">
        <v>1</v>
      </c>
      <c r="L100" s="16">
        <f>1</f>
        <v>1</v>
      </c>
      <c r="M100" s="5">
        <f t="shared" si="42"/>
        <v>1150</v>
      </c>
      <c r="N100" s="6">
        <f t="shared" si="43"/>
        <v>273.64653750000008</v>
      </c>
      <c r="O100">
        <f t="shared" si="44"/>
        <v>4590.2369999999992</v>
      </c>
      <c r="P100" s="7">
        <f t="shared" si="45"/>
        <v>16.774328818247874</v>
      </c>
      <c r="Q100">
        <f>ROUNDUP(몬스터!$P$32/F100, 0)</f>
        <v>13</v>
      </c>
      <c r="R100" s="6">
        <f t="shared" si="46"/>
        <v>12.416427889207258</v>
      </c>
      <c r="S100" s="7">
        <f>B100/몬스터!C31*R100</f>
        <v>217.88828295899185</v>
      </c>
      <c r="U100">
        <f>ROUNDDOWN(R100*몬스터!H$32, 0)*몬스터!G$32*(1+몬스터!I$32)</f>
        <v>1941.3899999999999</v>
      </c>
      <c r="V100" s="2">
        <f t="shared" si="52"/>
        <v>0.42293894628970141</v>
      </c>
    </row>
    <row r="101" spans="1:22" x14ac:dyDescent="0.4">
      <c r="A101">
        <v>97</v>
      </c>
      <c r="B101" s="4">
        <f t="shared" ref="B101:B104" si="65">170*A101</f>
        <v>16490</v>
      </c>
      <c r="C101">
        <f t="shared" si="48"/>
        <v>2030</v>
      </c>
      <c r="D101">
        <f t="shared" si="49"/>
        <v>106</v>
      </c>
      <c r="E101" s="3">
        <f t="shared" si="50"/>
        <v>0.11519999999999998</v>
      </c>
      <c r="F101">
        <f t="shared" si="51"/>
        <v>205</v>
      </c>
      <c r="G101">
        <f t="shared" si="40"/>
        <v>1.0510000000000002</v>
      </c>
      <c r="H101" s="3">
        <f t="shared" si="41"/>
        <v>0.28999999999999998</v>
      </c>
      <c r="I101" s="2">
        <v>2</v>
      </c>
      <c r="J101" s="2">
        <v>0</v>
      </c>
      <c r="K101" s="2">
        <v>1</v>
      </c>
      <c r="L101" s="16">
        <f>1</f>
        <v>1</v>
      </c>
      <c r="M101" s="5">
        <f t="shared" si="42"/>
        <v>1160</v>
      </c>
      <c r="N101" s="6">
        <f t="shared" si="43"/>
        <v>277.93695000000008</v>
      </c>
      <c r="O101">
        <f t="shared" si="44"/>
        <v>4663.5433599999997</v>
      </c>
      <c r="P101" s="7">
        <f t="shared" ref="P101:P104" si="66">O101/N101</f>
        <v>16.779141312445137</v>
      </c>
      <c r="Q101">
        <f>ROUNDUP(몬스터!$P$32/F101, 0)</f>
        <v>13</v>
      </c>
      <c r="R101" s="6">
        <f t="shared" ref="R101:R104" si="67">Q101/G101</f>
        <v>12.369172216936249</v>
      </c>
      <c r="S101" s="7">
        <f>B101/몬스터!C31*R101</f>
        <v>219.32005360997715</v>
      </c>
      <c r="U101">
        <f>ROUNDDOWN(R101*몬스터!H$32, 0)*몬스터!G$32*(1+몬스터!I$32)</f>
        <v>1941.3899999999999</v>
      </c>
      <c r="V101" s="2">
        <f t="shared" si="52"/>
        <v>0.41629075793561399</v>
      </c>
    </row>
    <row r="102" spans="1:22" x14ac:dyDescent="0.4">
      <c r="A102">
        <v>98</v>
      </c>
      <c r="B102" s="4">
        <f t="shared" si="65"/>
        <v>16660</v>
      </c>
      <c r="C102">
        <f t="shared" si="48"/>
        <v>2050</v>
      </c>
      <c r="D102">
        <f t="shared" si="49"/>
        <v>107</v>
      </c>
      <c r="E102" s="3">
        <f t="shared" si="50"/>
        <v>0.11639999999999999</v>
      </c>
      <c r="F102">
        <f t="shared" si="51"/>
        <v>207</v>
      </c>
      <c r="G102">
        <f t="shared" si="40"/>
        <v>1.0550000000000002</v>
      </c>
      <c r="H102" s="3">
        <f t="shared" si="41"/>
        <v>0.29249999999999998</v>
      </c>
      <c r="I102" s="2">
        <v>2</v>
      </c>
      <c r="J102" s="2">
        <v>0</v>
      </c>
      <c r="K102" s="2">
        <v>1</v>
      </c>
      <c r="L102" s="16">
        <f>1</f>
        <v>1</v>
      </c>
      <c r="M102" s="5">
        <f t="shared" si="42"/>
        <v>1170</v>
      </c>
      <c r="N102" s="6">
        <f t="shared" si="43"/>
        <v>282.26261250000005</v>
      </c>
      <c r="O102">
        <f t="shared" si="44"/>
        <v>4737.443400000001</v>
      </c>
      <c r="P102" s="7">
        <f t="shared" si="66"/>
        <v>16.783814753361998</v>
      </c>
      <c r="Q102">
        <f>ROUNDUP(몬스터!$P$32/F102, 0)</f>
        <v>13</v>
      </c>
      <c r="R102" s="6">
        <f t="shared" si="67"/>
        <v>12.322274881516586</v>
      </c>
      <c r="S102" s="7">
        <f>B102/몬스터!C31*R102</f>
        <v>220.74096723232938</v>
      </c>
      <c r="U102">
        <f>ROUNDDOWN(R102*몬스터!H$32, 0)*몬스터!G$32*(1+몬스터!I$32)</f>
        <v>1941.3899999999999</v>
      </c>
      <c r="V102" s="2">
        <f t="shared" si="52"/>
        <v>0.40979698037131157</v>
      </c>
    </row>
    <row r="103" spans="1:22" x14ac:dyDescent="0.4">
      <c r="A103">
        <v>99</v>
      </c>
      <c r="B103" s="4">
        <f t="shared" si="65"/>
        <v>16830</v>
      </c>
      <c r="C103">
        <f t="shared" si="48"/>
        <v>2070</v>
      </c>
      <c r="D103">
        <f t="shared" si="49"/>
        <v>108</v>
      </c>
      <c r="E103" s="3">
        <f t="shared" si="50"/>
        <v>0.11759999999999998</v>
      </c>
      <c r="F103">
        <f t="shared" si="51"/>
        <v>209</v>
      </c>
      <c r="G103">
        <f t="shared" si="40"/>
        <v>1.0590000000000002</v>
      </c>
      <c r="H103" s="3">
        <f t="shared" si="41"/>
        <v>0.29499999999999998</v>
      </c>
      <c r="I103" s="2">
        <v>2</v>
      </c>
      <c r="J103" s="2">
        <v>0</v>
      </c>
      <c r="K103" s="2">
        <v>1</v>
      </c>
      <c r="L103" s="16">
        <f>1</f>
        <v>1</v>
      </c>
      <c r="M103" s="5">
        <f t="shared" si="42"/>
        <v>1180</v>
      </c>
      <c r="N103" s="6">
        <f t="shared" si="43"/>
        <v>286.62364500000007</v>
      </c>
      <c r="O103">
        <f t="shared" si="44"/>
        <v>4811.9385600000005</v>
      </c>
      <c r="P103" s="7">
        <f t="shared" si="66"/>
        <v>16.78835170768971</v>
      </c>
      <c r="Q103">
        <f>ROUNDUP(몬스터!$P$32/F103, 0)</f>
        <v>13</v>
      </c>
      <c r="R103" s="6">
        <f t="shared" si="67"/>
        <v>12.275731822474031</v>
      </c>
      <c r="S103" s="7">
        <f>B103/몬스터!C31*R103</f>
        <v>222.15114685186876</v>
      </c>
      <c r="U103">
        <f>ROUNDDOWN(R103*몬스터!H$32, 0)*몬스터!G$32*(1+몬스터!I$32)</f>
        <v>1941.3899999999999</v>
      </c>
      <c r="V103" s="2">
        <f t="shared" si="52"/>
        <v>0.40345278224001258</v>
      </c>
    </row>
    <row r="104" spans="1:22" x14ac:dyDescent="0.4">
      <c r="A104">
        <v>100</v>
      </c>
      <c r="B104" s="4">
        <f t="shared" si="65"/>
        <v>17000</v>
      </c>
      <c r="C104">
        <f t="shared" si="48"/>
        <v>2090</v>
      </c>
      <c r="D104">
        <f t="shared" si="49"/>
        <v>109</v>
      </c>
      <c r="E104" s="3">
        <f t="shared" si="50"/>
        <v>0.11879999999999999</v>
      </c>
      <c r="F104">
        <f t="shared" si="51"/>
        <v>211</v>
      </c>
      <c r="G104">
        <f t="shared" si="40"/>
        <v>1.0630000000000002</v>
      </c>
      <c r="H104" s="3">
        <f t="shared" si="41"/>
        <v>0.29749999999999999</v>
      </c>
      <c r="I104" s="2">
        <v>2</v>
      </c>
      <c r="J104" s="2">
        <v>0</v>
      </c>
      <c r="K104" s="2">
        <v>1</v>
      </c>
      <c r="L104" s="16">
        <f>1</f>
        <v>1</v>
      </c>
      <c r="M104" s="5">
        <f t="shared" si="42"/>
        <v>1190</v>
      </c>
      <c r="N104" s="6">
        <f t="shared" si="43"/>
        <v>291.02016750000001</v>
      </c>
      <c r="O104">
        <f t="shared" si="44"/>
        <v>4887.030279999999</v>
      </c>
      <c r="P104" s="7">
        <f t="shared" si="66"/>
        <v>16.79275468082465</v>
      </c>
      <c r="Q104">
        <f>ROUNDUP(몬스터!$P$32/F104, 0)</f>
        <v>12</v>
      </c>
      <c r="R104" s="6">
        <f t="shared" si="67"/>
        <v>11.288805268109124</v>
      </c>
      <c r="S104" s="7">
        <f>B104/몬스터!C31*R104</f>
        <v>206.35450490091949</v>
      </c>
      <c r="T104" s="7">
        <f t="shared" ref="T104" si="68">SUM(S100:S104)</f>
        <v>1086.4549555540866</v>
      </c>
      <c r="U104">
        <f>ROUNDDOWN(R104*몬스터!H$32, 0)*몬스터!G$32*(1+몬스터!I$32)</f>
        <v>1764.8999999999999</v>
      </c>
      <c r="V104" s="2">
        <f t="shared" si="52"/>
        <v>0.36113956715651868</v>
      </c>
    </row>
    <row r="105" spans="1:22" x14ac:dyDescent="0.4">
      <c r="A105">
        <v>101</v>
      </c>
      <c r="B105" s="4">
        <f>170*A105+1000*POWER(A105-A$104,2)</f>
        <v>18170</v>
      </c>
      <c r="C105">
        <f t="shared" ref="C105:C114" si="69">90+A105*20</f>
        <v>2110</v>
      </c>
      <c r="D105">
        <f t="shared" ref="D105:D114" si="70">9+A105</f>
        <v>110</v>
      </c>
      <c r="E105" s="3">
        <f t="shared" ref="E105:E114" si="71">0.0012*A105-0.12%</f>
        <v>0.11999999999999998</v>
      </c>
      <c r="F105">
        <f t="shared" ref="F105:F114" si="72">ROUND((17+A105*3)*2/3, 0)</f>
        <v>213</v>
      </c>
      <c r="G105">
        <f t="shared" ref="G105:G114" si="73">0.663+0.004*A105</f>
        <v>1.0670000000000002</v>
      </c>
      <c r="H105" s="3">
        <f t="shared" ref="H105:H114" si="74">0.0475+0.0025*A105</f>
        <v>0.3</v>
      </c>
      <c r="I105" s="2">
        <v>2</v>
      </c>
      <c r="J105" s="2">
        <v>0</v>
      </c>
      <c r="K105" s="2">
        <v>1</v>
      </c>
      <c r="L105" s="16">
        <f>1</f>
        <v>1</v>
      </c>
      <c r="M105" s="5">
        <f t="shared" ref="M105:M114" si="75">190+10*A105</f>
        <v>1200</v>
      </c>
      <c r="N105" s="6">
        <f t="shared" ref="N105:N114" si="76">F105*G105*(1+H105)</f>
        <v>295.45230000000009</v>
      </c>
      <c r="O105">
        <f t="shared" ref="O105:O114" si="77">C105*(1+D105/100)*(1+E105)</f>
        <v>4962.7199999999993</v>
      </c>
      <c r="P105" s="7">
        <f t="shared" ref="P105:P114" si="78">O105/N105</f>
        <v>16.797026118936959</v>
      </c>
      <c r="Q105">
        <f>ROUNDUP(몬스터!$P$32/F105, 0)</f>
        <v>12</v>
      </c>
      <c r="R105" s="6">
        <f t="shared" ref="R105:R114" si="79">Q105/G105</f>
        <v>11.246485473289596</v>
      </c>
      <c r="S105" s="7">
        <f>B105/몬스터!C$32*R105</f>
        <v>208.51902147925711</v>
      </c>
      <c r="T105" s="7"/>
      <c r="U105">
        <f>ROUNDDOWN(R105*몬스터!H$32, 0)*몬스터!G$32*(1+몬스터!I$32)</f>
        <v>1764.8999999999999</v>
      </c>
      <c r="V105" s="2">
        <f t="shared" ref="V105:V114" si="80">U105/O105</f>
        <v>0.35563158912854242</v>
      </c>
    </row>
    <row r="106" spans="1:22" x14ac:dyDescent="0.4">
      <c r="A106">
        <v>102</v>
      </c>
      <c r="B106" s="4">
        <f t="shared" ref="B106:B114" si="81">170*A106+1000*POWER(A106-A$104,2)</f>
        <v>21340</v>
      </c>
      <c r="C106">
        <f t="shared" si="69"/>
        <v>2130</v>
      </c>
      <c r="D106">
        <f t="shared" si="70"/>
        <v>111</v>
      </c>
      <c r="E106" s="3">
        <f t="shared" si="71"/>
        <v>0.12119999999999999</v>
      </c>
      <c r="F106">
        <f t="shared" si="72"/>
        <v>215</v>
      </c>
      <c r="G106">
        <f t="shared" si="73"/>
        <v>1.0710000000000002</v>
      </c>
      <c r="H106" s="3">
        <f t="shared" si="74"/>
        <v>0.30249999999999999</v>
      </c>
      <c r="I106" s="2">
        <v>2</v>
      </c>
      <c r="J106" s="2">
        <v>0</v>
      </c>
      <c r="K106" s="2">
        <v>1</v>
      </c>
      <c r="L106" s="16">
        <f>1</f>
        <v>1</v>
      </c>
      <c r="M106" s="5">
        <f t="shared" si="75"/>
        <v>1210</v>
      </c>
      <c r="N106" s="6">
        <f t="shared" si="76"/>
        <v>299.92016250000006</v>
      </c>
      <c r="O106">
        <f t="shared" si="77"/>
        <v>5039.0091600000014</v>
      </c>
      <c r="P106" s="7">
        <f t="shared" si="78"/>
        <v>16.801168410943365</v>
      </c>
      <c r="Q106">
        <f>ROUNDUP(몬스터!$P$32/F106, 0)</f>
        <v>12</v>
      </c>
      <c r="R106" s="6">
        <f t="shared" si="79"/>
        <v>11.204481792717084</v>
      </c>
      <c r="S106" s="7">
        <f>B106/몬스터!C$32*R106</f>
        <v>243.98330760875774</v>
      </c>
      <c r="T106" s="7"/>
      <c r="U106">
        <f>ROUNDDOWN(R106*몬스터!H$32, 0)*몬스터!G$32*(1+몬스터!I$32)</f>
        <v>1764.8999999999999</v>
      </c>
      <c r="V106" s="2">
        <f t="shared" si="80"/>
        <v>0.35024742840515088</v>
      </c>
    </row>
    <row r="107" spans="1:22" x14ac:dyDescent="0.4">
      <c r="A107">
        <v>103</v>
      </c>
      <c r="B107" s="4">
        <f t="shared" si="81"/>
        <v>26510</v>
      </c>
      <c r="C107">
        <f t="shared" si="69"/>
        <v>2150</v>
      </c>
      <c r="D107">
        <f t="shared" si="70"/>
        <v>112</v>
      </c>
      <c r="E107" s="3">
        <f t="shared" si="71"/>
        <v>0.12239999999999998</v>
      </c>
      <c r="F107">
        <f t="shared" si="72"/>
        <v>217</v>
      </c>
      <c r="G107">
        <f t="shared" si="73"/>
        <v>1.0750000000000002</v>
      </c>
      <c r="H107" s="3">
        <f t="shared" si="74"/>
        <v>0.30499999999999999</v>
      </c>
      <c r="I107" s="2">
        <v>2</v>
      </c>
      <c r="J107" s="2">
        <v>0</v>
      </c>
      <c r="K107" s="2">
        <v>1</v>
      </c>
      <c r="L107" s="16">
        <f>1</f>
        <v>1</v>
      </c>
      <c r="M107" s="5">
        <f t="shared" si="75"/>
        <v>1220</v>
      </c>
      <c r="N107" s="6">
        <f t="shared" si="76"/>
        <v>304.42387500000001</v>
      </c>
      <c r="O107">
        <f t="shared" si="77"/>
        <v>5115.8992000000007</v>
      </c>
      <c r="P107" s="7">
        <f t="shared" si="78"/>
        <v>16.805183890389678</v>
      </c>
      <c r="Q107">
        <f>ROUNDUP(몬스터!$P$32/F107, 0)</f>
        <v>12</v>
      </c>
      <c r="R107" s="6">
        <f t="shared" si="79"/>
        <v>11.162790697674417</v>
      </c>
      <c r="S107" s="7">
        <f>B107/몬스터!C$32*R107</f>
        <v>301.9648789748457</v>
      </c>
      <c r="T107" s="7"/>
      <c r="U107">
        <f>ROUNDDOWN(R107*몬스터!H$32, 0)*몬스터!G$32*(1+몬스터!I$32)</f>
        <v>1764.8999999999999</v>
      </c>
      <c r="V107" s="2">
        <f t="shared" si="80"/>
        <v>0.34498334134495839</v>
      </c>
    </row>
    <row r="108" spans="1:22" x14ac:dyDescent="0.4">
      <c r="A108">
        <v>104</v>
      </c>
      <c r="B108" s="4">
        <f t="shared" si="81"/>
        <v>33680</v>
      </c>
      <c r="C108">
        <f t="shared" si="69"/>
        <v>2170</v>
      </c>
      <c r="D108">
        <f t="shared" si="70"/>
        <v>113</v>
      </c>
      <c r="E108" s="3">
        <f t="shared" si="71"/>
        <v>0.12359999999999999</v>
      </c>
      <c r="F108">
        <f t="shared" si="72"/>
        <v>219</v>
      </c>
      <c r="G108">
        <f t="shared" si="73"/>
        <v>1.0790000000000002</v>
      </c>
      <c r="H108" s="3">
        <f t="shared" si="74"/>
        <v>0.3075</v>
      </c>
      <c r="I108" s="2">
        <v>2</v>
      </c>
      <c r="J108" s="2">
        <v>0</v>
      </c>
      <c r="K108" s="2">
        <v>1</v>
      </c>
      <c r="L108" s="16">
        <f>1</f>
        <v>1</v>
      </c>
      <c r="M108" s="5">
        <f t="shared" si="75"/>
        <v>1230</v>
      </c>
      <c r="N108" s="6">
        <f t="shared" si="76"/>
        <v>308.96355750000009</v>
      </c>
      <c r="O108">
        <f t="shared" si="77"/>
        <v>5193.3915599999991</v>
      </c>
      <c r="P108" s="7">
        <f t="shared" si="78"/>
        <v>16.809074837248396</v>
      </c>
      <c r="Q108">
        <f>ROUNDUP(몬스터!$P$32/F108, 0)</f>
        <v>12</v>
      </c>
      <c r="R108" s="6">
        <f t="shared" si="79"/>
        <v>11.121408711770156</v>
      </c>
      <c r="S108" s="7">
        <f>B108/몬스터!C$32*R108</f>
        <v>382.2133116453254</v>
      </c>
      <c r="T108" s="7"/>
      <c r="U108">
        <f>ROUNDDOWN(R108*몬스터!H$32, 0)*몬스터!G$32*(1+몬스터!I$32)</f>
        <v>1764.8999999999999</v>
      </c>
      <c r="V108" s="2">
        <f t="shared" si="80"/>
        <v>0.33983572769544845</v>
      </c>
    </row>
    <row r="109" spans="1:22" x14ac:dyDescent="0.4">
      <c r="A109">
        <v>105</v>
      </c>
      <c r="B109" s="4">
        <f t="shared" si="81"/>
        <v>42850</v>
      </c>
      <c r="C109">
        <f t="shared" si="69"/>
        <v>2190</v>
      </c>
      <c r="D109">
        <f t="shared" si="70"/>
        <v>114</v>
      </c>
      <c r="E109" s="3">
        <f t="shared" si="71"/>
        <v>0.12479999999999999</v>
      </c>
      <c r="F109">
        <f t="shared" si="72"/>
        <v>221</v>
      </c>
      <c r="G109">
        <f t="shared" si="73"/>
        <v>1.083</v>
      </c>
      <c r="H109" s="3">
        <f t="shared" si="74"/>
        <v>0.31</v>
      </c>
      <c r="I109" s="2">
        <v>2</v>
      </c>
      <c r="J109" s="2">
        <v>0</v>
      </c>
      <c r="K109" s="2">
        <v>1</v>
      </c>
      <c r="L109" s="16">
        <f>1</f>
        <v>1</v>
      </c>
      <c r="M109" s="5">
        <f t="shared" si="75"/>
        <v>1240</v>
      </c>
      <c r="N109" s="6">
        <f t="shared" si="76"/>
        <v>313.53933000000001</v>
      </c>
      <c r="O109">
        <f t="shared" si="77"/>
        <v>5271.4876799999993</v>
      </c>
      <c r="P109" s="7">
        <f t="shared" si="78"/>
        <v>16.812843479636189</v>
      </c>
      <c r="Q109">
        <f>ROUNDUP(몬스터!$P$32/F109, 0)</f>
        <v>12</v>
      </c>
      <c r="R109" s="6">
        <f t="shared" si="79"/>
        <v>11.0803324099723</v>
      </c>
      <c r="S109" s="7">
        <f>B109/몬스터!C$32*R109</f>
        <v>484.48188139521739</v>
      </c>
      <c r="T109" s="7"/>
      <c r="U109">
        <f>ROUNDDOWN(R109*몬스터!H$32, 0)*몬스터!G$32*(1+몬스터!I$32)</f>
        <v>1764.8999999999999</v>
      </c>
      <c r="V109" s="2">
        <f t="shared" si="80"/>
        <v>0.33480112392105604</v>
      </c>
    </row>
    <row r="110" spans="1:22" x14ac:dyDescent="0.4">
      <c r="A110">
        <v>106</v>
      </c>
      <c r="B110" s="4">
        <f t="shared" si="81"/>
        <v>54020</v>
      </c>
      <c r="C110">
        <f t="shared" si="69"/>
        <v>2210</v>
      </c>
      <c r="D110">
        <f t="shared" si="70"/>
        <v>115</v>
      </c>
      <c r="E110" s="3">
        <f t="shared" si="71"/>
        <v>0.12599999999999997</v>
      </c>
      <c r="F110">
        <f t="shared" si="72"/>
        <v>223</v>
      </c>
      <c r="G110">
        <f t="shared" si="73"/>
        <v>1.087</v>
      </c>
      <c r="H110" s="3">
        <f t="shared" si="74"/>
        <v>0.3125</v>
      </c>
      <c r="I110" s="2">
        <v>2</v>
      </c>
      <c r="J110" s="2">
        <v>0</v>
      </c>
      <c r="K110" s="2">
        <v>1</v>
      </c>
      <c r="L110" s="16">
        <f>1</f>
        <v>1</v>
      </c>
      <c r="M110" s="5">
        <f t="shared" si="75"/>
        <v>1250</v>
      </c>
      <c r="N110" s="6">
        <f t="shared" si="76"/>
        <v>318.15131249999996</v>
      </c>
      <c r="O110">
        <f t="shared" si="77"/>
        <v>5350.1889999999994</v>
      </c>
      <c r="P110" s="7">
        <f t="shared" si="78"/>
        <v>16.816491995455777</v>
      </c>
      <c r="Q110">
        <f>ROUNDUP(몬스터!$P$32/F110, 0)</f>
        <v>12</v>
      </c>
      <c r="R110" s="6">
        <f t="shared" si="79"/>
        <v>11.039558417663294</v>
      </c>
      <c r="S110" s="7">
        <f>B110/몬스터!C$32*R110</f>
        <v>608.5274956348685</v>
      </c>
      <c r="T110" s="7"/>
      <c r="U110">
        <f>ROUNDDOWN(R110*몬스터!H$32, 0)*몬스터!G$32*(1+몬스터!I$32)</f>
        <v>1588.4099999999999</v>
      </c>
      <c r="V110" s="2">
        <f t="shared" si="80"/>
        <v>0.29688857720727252</v>
      </c>
    </row>
    <row r="111" spans="1:22" x14ac:dyDescent="0.4">
      <c r="A111">
        <v>107</v>
      </c>
      <c r="B111" s="4">
        <f t="shared" si="81"/>
        <v>67190</v>
      </c>
      <c r="C111">
        <f t="shared" si="69"/>
        <v>2230</v>
      </c>
      <c r="D111">
        <f t="shared" si="70"/>
        <v>116</v>
      </c>
      <c r="E111" s="3">
        <f t="shared" si="71"/>
        <v>0.12719999999999998</v>
      </c>
      <c r="F111">
        <f t="shared" si="72"/>
        <v>225</v>
      </c>
      <c r="G111">
        <f t="shared" si="73"/>
        <v>1.091</v>
      </c>
      <c r="H111" s="3">
        <f t="shared" si="74"/>
        <v>0.315</v>
      </c>
      <c r="I111" s="2">
        <v>2</v>
      </c>
      <c r="J111" s="2">
        <v>0</v>
      </c>
      <c r="K111" s="2">
        <v>1</v>
      </c>
      <c r="L111" s="16">
        <f>1</f>
        <v>1</v>
      </c>
      <c r="M111" s="5">
        <f t="shared" si="75"/>
        <v>1260</v>
      </c>
      <c r="N111" s="6">
        <f t="shared" si="76"/>
        <v>322.79962499999999</v>
      </c>
      <c r="O111">
        <f t="shared" si="77"/>
        <v>5429.4969600000004</v>
      </c>
      <c r="P111" s="7">
        <f t="shared" si="78"/>
        <v>16.820022513966677</v>
      </c>
      <c r="Q111">
        <f>ROUNDUP(몬스터!$P$32/F111, 0)</f>
        <v>12</v>
      </c>
      <c r="R111" s="6">
        <f t="shared" si="79"/>
        <v>10.999083409715857</v>
      </c>
      <c r="S111" s="7">
        <f>B111/몬스터!C$32*R111</f>
        <v>754.11062683551881</v>
      </c>
      <c r="T111" s="7"/>
      <c r="U111">
        <f>ROUNDDOWN(R111*몬스터!H$32, 0)*몬스터!G$32*(1+몬스터!I$32)</f>
        <v>1588.4099999999999</v>
      </c>
      <c r="V111" s="2">
        <f t="shared" si="80"/>
        <v>0.29255196415102142</v>
      </c>
    </row>
    <row r="112" spans="1:22" x14ac:dyDescent="0.4">
      <c r="A112">
        <v>108</v>
      </c>
      <c r="B112" s="4">
        <f t="shared" si="81"/>
        <v>82360</v>
      </c>
      <c r="C112">
        <f t="shared" si="69"/>
        <v>2250</v>
      </c>
      <c r="D112">
        <f t="shared" si="70"/>
        <v>117</v>
      </c>
      <c r="E112" s="3">
        <f t="shared" si="71"/>
        <v>0.12839999999999999</v>
      </c>
      <c r="F112">
        <f t="shared" si="72"/>
        <v>227</v>
      </c>
      <c r="G112">
        <f t="shared" si="73"/>
        <v>1.095</v>
      </c>
      <c r="H112" s="3">
        <f t="shared" si="74"/>
        <v>0.3175</v>
      </c>
      <c r="I112" s="2">
        <v>2</v>
      </c>
      <c r="J112" s="2">
        <v>0</v>
      </c>
      <c r="K112" s="2">
        <v>1</v>
      </c>
      <c r="L112" s="16">
        <f>1</f>
        <v>1</v>
      </c>
      <c r="M112" s="5">
        <f t="shared" si="75"/>
        <v>1270</v>
      </c>
      <c r="N112" s="6">
        <f t="shared" si="76"/>
        <v>327.48438749999997</v>
      </c>
      <c r="O112">
        <f t="shared" si="77"/>
        <v>5509.4130000000005</v>
      </c>
      <c r="P112" s="7">
        <f t="shared" si="78"/>
        <v>16.823437117288535</v>
      </c>
      <c r="Q112">
        <f>ROUNDUP(몬스터!$P$32/F112, 0)</f>
        <v>12</v>
      </c>
      <c r="R112" s="6">
        <f t="shared" si="79"/>
        <v>10.95890410958904</v>
      </c>
      <c r="S112" s="7">
        <f>B112/몬스터!C$32*R112</f>
        <v>920.99524741403411</v>
      </c>
      <c r="T112" s="7"/>
      <c r="U112">
        <f>ROUNDDOWN(R112*몬스터!H$32, 0)*몬스터!G$32*(1+몬스터!I$32)</f>
        <v>1588.4099999999999</v>
      </c>
      <c r="V112" s="2">
        <f t="shared" si="80"/>
        <v>0.28830839147473603</v>
      </c>
    </row>
    <row r="113" spans="1:22" x14ac:dyDescent="0.4">
      <c r="A113">
        <v>109</v>
      </c>
      <c r="B113" s="4">
        <f t="shared" si="81"/>
        <v>99530</v>
      </c>
      <c r="C113">
        <f t="shared" si="69"/>
        <v>2270</v>
      </c>
      <c r="D113">
        <f t="shared" si="70"/>
        <v>118</v>
      </c>
      <c r="E113" s="3">
        <f t="shared" si="71"/>
        <v>0.12959999999999999</v>
      </c>
      <c r="F113">
        <f t="shared" si="72"/>
        <v>229</v>
      </c>
      <c r="G113">
        <f t="shared" si="73"/>
        <v>1.099</v>
      </c>
      <c r="H113" s="3">
        <f t="shared" si="74"/>
        <v>0.32</v>
      </c>
      <c r="I113" s="2">
        <v>2</v>
      </c>
      <c r="J113" s="2">
        <v>0</v>
      </c>
      <c r="K113" s="2">
        <v>1</v>
      </c>
      <c r="L113" s="16">
        <f>1</f>
        <v>1</v>
      </c>
      <c r="M113" s="5">
        <f t="shared" si="75"/>
        <v>1280</v>
      </c>
      <c r="N113" s="6">
        <f t="shared" si="76"/>
        <v>332.20571999999999</v>
      </c>
      <c r="O113">
        <f t="shared" si="77"/>
        <v>5589.9385599999987</v>
      </c>
      <c r="P113" s="7">
        <f t="shared" si="78"/>
        <v>16.826737841840888</v>
      </c>
      <c r="Q113">
        <f>ROUNDUP(몬스터!$P$32/F113, 0)</f>
        <v>11</v>
      </c>
      <c r="R113" s="6">
        <f t="shared" si="79"/>
        <v>10.009099181073704</v>
      </c>
      <c r="S113" s="7">
        <f>B113/몬스터!C$32*R113</f>
        <v>1016.536368869659</v>
      </c>
      <c r="T113" s="7"/>
      <c r="U113">
        <f>ROUNDDOWN(R113*몬스터!H$32, 0)*몬스터!G$32*(1+몬스터!I$32)</f>
        <v>1588.4099999999999</v>
      </c>
      <c r="V113" s="2">
        <f t="shared" si="80"/>
        <v>0.28415518041042659</v>
      </c>
    </row>
    <row r="114" spans="1:22" x14ac:dyDescent="0.4">
      <c r="A114">
        <v>110</v>
      </c>
      <c r="B114" s="4">
        <f t="shared" si="81"/>
        <v>118700</v>
      </c>
      <c r="C114">
        <f t="shared" si="69"/>
        <v>2290</v>
      </c>
      <c r="D114">
        <f t="shared" si="70"/>
        <v>119</v>
      </c>
      <c r="E114" s="3">
        <f t="shared" si="71"/>
        <v>0.13079999999999997</v>
      </c>
      <c r="F114">
        <f t="shared" si="72"/>
        <v>231</v>
      </c>
      <c r="G114">
        <f t="shared" si="73"/>
        <v>1.103</v>
      </c>
      <c r="H114" s="3">
        <f t="shared" si="74"/>
        <v>0.32250000000000001</v>
      </c>
      <c r="I114" s="2">
        <v>2</v>
      </c>
      <c r="J114" s="2">
        <v>0</v>
      </c>
      <c r="K114" s="2">
        <v>1</v>
      </c>
      <c r="L114" s="16">
        <f>1</f>
        <v>1</v>
      </c>
      <c r="M114" s="5">
        <f t="shared" si="75"/>
        <v>1290</v>
      </c>
      <c r="N114" s="6">
        <f t="shared" si="76"/>
        <v>336.96374250000002</v>
      </c>
      <c r="O114">
        <f t="shared" si="77"/>
        <v>5671.0750799999996</v>
      </c>
      <c r="P114" s="7">
        <f t="shared" si="78"/>
        <v>16.829926679722817</v>
      </c>
      <c r="Q114">
        <f>ROUNDUP(몬스터!$P$32/F114, 0)</f>
        <v>11</v>
      </c>
      <c r="R114" s="6">
        <f t="shared" si="79"/>
        <v>9.9728014505893015</v>
      </c>
      <c r="S114" s="7">
        <f>B114/몬스터!C$32*R114</f>
        <v>1207.930134882602</v>
      </c>
      <c r="T114" s="7"/>
      <c r="U114">
        <f>ROUNDDOWN(R114*몬스터!H$32, 0)*몬스터!G$32*(1+몬스터!I$32)</f>
        <v>1588.4099999999999</v>
      </c>
      <c r="V114" s="2">
        <f t="shared" si="80"/>
        <v>0.28008974975517342</v>
      </c>
    </row>
    <row r="115" spans="1:22" x14ac:dyDescent="0.4">
      <c r="B115" t="s">
        <v>17</v>
      </c>
      <c r="M115" t="s">
        <v>215</v>
      </c>
    </row>
    <row r="116" spans="1:22" x14ac:dyDescent="0.4">
      <c r="M116" t="s">
        <v>216</v>
      </c>
    </row>
    <row r="119" spans="1:22" ht="21" x14ac:dyDescent="0.4">
      <c r="B119" s="1" t="s">
        <v>217</v>
      </c>
    </row>
    <row r="120" spans="1:22" x14ac:dyDescent="0.4">
      <c r="B120" t="s">
        <v>221</v>
      </c>
      <c r="C120" t="s">
        <v>222</v>
      </c>
      <c r="D120" t="s">
        <v>223</v>
      </c>
      <c r="F120" t="s">
        <v>224</v>
      </c>
    </row>
    <row r="121" spans="1:22" x14ac:dyDescent="0.4">
      <c r="B121" t="s">
        <v>218</v>
      </c>
      <c r="C121" s="2">
        <v>0.7</v>
      </c>
      <c r="D121" s="2">
        <v>0.25</v>
      </c>
      <c r="E121" s="2"/>
      <c r="F121" s="2">
        <v>0.05</v>
      </c>
    </row>
    <row r="122" spans="1:22" x14ac:dyDescent="0.4">
      <c r="B122" t="s">
        <v>219</v>
      </c>
      <c r="C122" s="2">
        <v>0.2</v>
      </c>
      <c r="D122" s="2">
        <v>0.6</v>
      </c>
      <c r="E122" s="2"/>
      <c r="F122" s="2">
        <v>0.2</v>
      </c>
    </row>
    <row r="123" spans="1:22" x14ac:dyDescent="0.4">
      <c r="B123" t="s">
        <v>220</v>
      </c>
      <c r="C123" s="2">
        <v>0.05</v>
      </c>
      <c r="D123" s="2">
        <v>0.25</v>
      </c>
      <c r="E123" s="2"/>
      <c r="F123" s="2">
        <v>0.7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T161"/>
  <sheetViews>
    <sheetView zoomScaleNormal="100" workbookViewId="0">
      <selection activeCell="A10" sqref="A10"/>
    </sheetView>
  </sheetViews>
  <sheetFormatPr defaultRowHeight="17.399999999999999" x14ac:dyDescent="0.4"/>
  <cols>
    <col min="1" max="1" width="20.69921875" customWidth="1"/>
    <col min="2" max="2" width="5.69921875" customWidth="1"/>
    <col min="3" max="5" width="12.69921875" customWidth="1"/>
    <col min="6" max="6" width="12.69921875" style="2" customWidth="1"/>
    <col min="7" max="7" width="12.69921875" customWidth="1"/>
    <col min="8" max="8" width="12.69921875" style="6" customWidth="1"/>
    <col min="9" max="12" width="12.69921875" customWidth="1"/>
    <col min="14" max="14" width="8.69921875" customWidth="1"/>
    <col min="15" max="16" width="12.69921875" customWidth="1"/>
    <col min="17" max="17" width="25.69921875" customWidth="1"/>
    <col min="18" max="18" width="40.69921875" customWidth="1"/>
    <col min="19" max="19" width="45.69921875" customWidth="1"/>
    <col min="20" max="20" width="30.69921875" customWidth="1"/>
  </cols>
  <sheetData>
    <row r="2" spans="1:20" ht="21" x14ac:dyDescent="0.4">
      <c r="B2" s="14" t="s">
        <v>20</v>
      </c>
      <c r="E2" t="s">
        <v>323</v>
      </c>
    </row>
    <row r="3" spans="1:20" ht="19.8" thickBot="1" x14ac:dyDescent="0.45">
      <c r="A3" s="13" t="s">
        <v>25</v>
      </c>
      <c r="B3" t="s">
        <v>35</v>
      </c>
    </row>
    <row r="4" spans="1:20" ht="18" thickBot="1" x14ac:dyDescent="0.45">
      <c r="A4" s="36" t="s">
        <v>19</v>
      </c>
      <c r="B4" s="36" t="s">
        <v>18</v>
      </c>
      <c r="C4" s="36" t="s">
        <v>322</v>
      </c>
      <c r="D4" s="28" t="s">
        <v>301</v>
      </c>
      <c r="E4" s="28" t="s">
        <v>302</v>
      </c>
      <c r="F4" s="40" t="s">
        <v>303</v>
      </c>
      <c r="G4" s="37" t="s">
        <v>305</v>
      </c>
      <c r="H4" s="52" t="s">
        <v>306</v>
      </c>
      <c r="I4" s="37" t="s">
        <v>307</v>
      </c>
      <c r="J4" s="37" t="s">
        <v>308</v>
      </c>
      <c r="K4" s="37" t="s">
        <v>309</v>
      </c>
      <c r="L4" s="38" t="s">
        <v>310</v>
      </c>
      <c r="M4" s="38" t="s">
        <v>312</v>
      </c>
      <c r="N4" s="38" t="s">
        <v>324</v>
      </c>
      <c r="O4" s="23" t="s">
        <v>313</v>
      </c>
      <c r="P4" s="23" t="s">
        <v>314</v>
      </c>
      <c r="Q4" s="24" t="s">
        <v>325</v>
      </c>
      <c r="R4" s="41" t="s">
        <v>326</v>
      </c>
      <c r="S4" s="41" t="s">
        <v>327</v>
      </c>
      <c r="T4" s="41" t="s">
        <v>328</v>
      </c>
    </row>
    <row r="5" spans="1:20" ht="18" thickTop="1" x14ac:dyDescent="0.4">
      <c r="A5" t="s">
        <v>27</v>
      </c>
      <c r="B5">
        <v>3</v>
      </c>
      <c r="C5">
        <f t="shared" ref="C5:C32" si="0">10*B5</f>
        <v>30</v>
      </c>
      <c r="D5">
        <v>130</v>
      </c>
      <c r="E5">
        <f>B5</f>
        <v>3</v>
      </c>
      <c r="F5" s="2">
        <v>0</v>
      </c>
      <c r="G5">
        <f>ROUND((2+2.25*B5)*2/3, 0)</f>
        <v>6</v>
      </c>
      <c r="H5" s="6">
        <f>0.5904+0.0032*B5</f>
        <v>0.60000000000000009</v>
      </c>
      <c r="I5" s="11">
        <f>0.05+0.15*(-3+B5)%</f>
        <v>0.05</v>
      </c>
      <c r="J5" s="10">
        <v>2</v>
      </c>
      <c r="K5" s="10">
        <v>0</v>
      </c>
      <c r="L5" s="2">
        <v>1</v>
      </c>
      <c r="M5" s="16">
        <v>1</v>
      </c>
      <c r="N5" s="5">
        <f t="shared" ref="N5:N32" si="1">ROUND(B5*0.9,0)+18</f>
        <v>21</v>
      </c>
      <c r="O5" s="9">
        <f t="shared" ref="O5:O32" si="2">G5*H5*(1+I5)</f>
        <v>3.7800000000000007</v>
      </c>
      <c r="P5">
        <f t="shared" ref="P5:P32" si="3">D5*(1+E5/100)</f>
        <v>133.9</v>
      </c>
    </row>
    <row r="6" spans="1:20" x14ac:dyDescent="0.4">
      <c r="A6" t="s">
        <v>28</v>
      </c>
      <c r="B6">
        <v>8</v>
      </c>
      <c r="C6">
        <f t="shared" si="0"/>
        <v>80</v>
      </c>
      <c r="D6">
        <v>185</v>
      </c>
      <c r="E6">
        <f>B6 +10</f>
        <v>18</v>
      </c>
      <c r="F6" s="2">
        <v>0</v>
      </c>
      <c r="G6">
        <f t="shared" ref="G6:G34" si="4">ROUND((2+2.25*B6)*2/3, 0)</f>
        <v>13</v>
      </c>
      <c r="H6" s="6">
        <f t="shared" ref="H6:H34" si="5">0.5904+0.0032*B6</f>
        <v>0.61599999999999999</v>
      </c>
      <c r="I6" s="11">
        <f t="shared" ref="I6:I32" si="6">0.05+0.15*(-3+B6)%</f>
        <v>5.7500000000000002E-2</v>
      </c>
      <c r="J6" s="10">
        <v>2</v>
      </c>
      <c r="K6" s="10">
        <v>0</v>
      </c>
      <c r="L6" s="2">
        <v>1</v>
      </c>
      <c r="M6" s="16">
        <v>1</v>
      </c>
      <c r="N6" s="5">
        <f t="shared" si="1"/>
        <v>25</v>
      </c>
      <c r="O6" s="9">
        <f t="shared" si="2"/>
        <v>8.4684600000000003</v>
      </c>
      <c r="P6">
        <f t="shared" si="3"/>
        <v>218.29999999999998</v>
      </c>
    </row>
    <row r="7" spans="1:20" x14ac:dyDescent="0.4">
      <c r="A7" t="s">
        <v>372</v>
      </c>
      <c r="B7">
        <v>13</v>
      </c>
      <c r="C7">
        <f t="shared" si="0"/>
        <v>130</v>
      </c>
      <c r="D7">
        <v>225</v>
      </c>
      <c r="E7">
        <f t="shared" ref="E7" si="7">B7</f>
        <v>13</v>
      </c>
      <c r="F7" s="2">
        <v>0</v>
      </c>
      <c r="G7">
        <f t="shared" si="4"/>
        <v>21</v>
      </c>
      <c r="H7" s="6">
        <f t="shared" si="5"/>
        <v>0.63200000000000001</v>
      </c>
      <c r="I7" s="11">
        <f t="shared" si="6"/>
        <v>6.5000000000000002E-2</v>
      </c>
      <c r="J7" s="10">
        <v>2</v>
      </c>
      <c r="K7" s="10">
        <v>0</v>
      </c>
      <c r="L7" s="2">
        <v>1</v>
      </c>
      <c r="M7" s="16">
        <v>1</v>
      </c>
      <c r="N7" s="5">
        <f t="shared" si="1"/>
        <v>30</v>
      </c>
      <c r="O7" s="9">
        <f t="shared" si="2"/>
        <v>14.134679999999999</v>
      </c>
      <c r="P7">
        <f t="shared" si="3"/>
        <v>254.24999999999997</v>
      </c>
    </row>
    <row r="8" spans="1:20" x14ac:dyDescent="0.4">
      <c r="A8" t="s">
        <v>26</v>
      </c>
      <c r="B8">
        <v>18</v>
      </c>
      <c r="C8">
        <f t="shared" si="0"/>
        <v>180</v>
      </c>
      <c r="D8">
        <v>285</v>
      </c>
      <c r="E8">
        <f t="shared" ref="E8:E32" si="8">B8</f>
        <v>18</v>
      </c>
      <c r="F8" s="2">
        <v>0</v>
      </c>
      <c r="G8">
        <f t="shared" si="4"/>
        <v>28</v>
      </c>
      <c r="H8" s="6">
        <f t="shared" si="5"/>
        <v>0.64800000000000002</v>
      </c>
      <c r="I8" s="11">
        <f t="shared" si="6"/>
        <v>7.2500000000000009E-2</v>
      </c>
      <c r="J8" s="10">
        <v>2</v>
      </c>
      <c r="K8" s="10">
        <v>0</v>
      </c>
      <c r="L8" s="2">
        <v>1</v>
      </c>
      <c r="M8" s="16">
        <v>1</v>
      </c>
      <c r="N8" s="5">
        <f t="shared" si="1"/>
        <v>34</v>
      </c>
      <c r="O8" s="9">
        <f t="shared" si="2"/>
        <v>19.459440000000001</v>
      </c>
      <c r="P8">
        <f t="shared" si="3"/>
        <v>336.29999999999995</v>
      </c>
    </row>
    <row r="9" spans="1:20" x14ac:dyDescent="0.4">
      <c r="A9" t="s">
        <v>227</v>
      </c>
      <c r="B9">
        <v>20</v>
      </c>
      <c r="C9">
        <f t="shared" ref="C9:C10" si="9">10*B9</f>
        <v>200</v>
      </c>
      <c r="D9">
        <v>305</v>
      </c>
      <c r="E9">
        <f t="shared" ref="E9:E10" si="10">B9</f>
        <v>20</v>
      </c>
      <c r="F9" s="2">
        <v>0</v>
      </c>
      <c r="G9">
        <f t="shared" si="4"/>
        <v>31</v>
      </c>
      <c r="H9" s="6">
        <f t="shared" si="5"/>
        <v>0.65440000000000009</v>
      </c>
      <c r="I9" s="11">
        <f t="shared" ref="I9:I10" si="11">0.05+0.15*(-3+B9)%</f>
        <v>7.5500000000000012E-2</v>
      </c>
      <c r="J9" s="10">
        <v>2</v>
      </c>
      <c r="K9" s="10">
        <v>0</v>
      </c>
      <c r="L9" s="2">
        <v>1</v>
      </c>
      <c r="M9" s="16">
        <v>1</v>
      </c>
      <c r="N9" s="5">
        <f t="shared" si="1"/>
        <v>36</v>
      </c>
      <c r="O9" s="9">
        <f t="shared" ref="O9:O10" si="12">G9*H9*(1+I9)</f>
        <v>21.818023200000003</v>
      </c>
      <c r="P9">
        <f t="shared" ref="P9:P10" si="13">D9*(1+E9/100)</f>
        <v>366</v>
      </c>
    </row>
    <row r="10" spans="1:20" x14ac:dyDescent="0.4">
      <c r="A10" t="s">
        <v>228</v>
      </c>
      <c r="B10">
        <v>21</v>
      </c>
      <c r="C10">
        <f t="shared" si="9"/>
        <v>210</v>
      </c>
      <c r="D10">
        <v>325</v>
      </c>
      <c r="E10">
        <f t="shared" si="10"/>
        <v>21</v>
      </c>
      <c r="F10" s="2">
        <v>0</v>
      </c>
      <c r="G10">
        <f t="shared" si="4"/>
        <v>33</v>
      </c>
      <c r="H10" s="6">
        <f t="shared" si="5"/>
        <v>0.65760000000000007</v>
      </c>
      <c r="I10" s="11">
        <f t="shared" si="11"/>
        <v>7.6999999999999999E-2</v>
      </c>
      <c r="J10" s="10">
        <v>2</v>
      </c>
      <c r="K10" s="10">
        <v>0</v>
      </c>
      <c r="L10" s="2">
        <v>1</v>
      </c>
      <c r="M10" s="16">
        <v>1</v>
      </c>
      <c r="N10" s="5">
        <f t="shared" si="1"/>
        <v>37</v>
      </c>
      <c r="O10" s="9">
        <f t="shared" si="12"/>
        <v>23.371761599999999</v>
      </c>
      <c r="P10">
        <f t="shared" si="13"/>
        <v>393.25</v>
      </c>
    </row>
    <row r="11" spans="1:20" x14ac:dyDescent="0.4">
      <c r="A11" t="s">
        <v>29</v>
      </c>
      <c r="B11">
        <v>23</v>
      </c>
      <c r="C11">
        <f>10*B11</f>
        <v>230</v>
      </c>
      <c r="D11">
        <v>345</v>
      </c>
      <c r="E11">
        <f t="shared" si="8"/>
        <v>23</v>
      </c>
      <c r="F11" s="2">
        <v>0</v>
      </c>
      <c r="G11">
        <f t="shared" si="4"/>
        <v>36</v>
      </c>
      <c r="H11" s="6">
        <f t="shared" si="5"/>
        <v>0.66400000000000003</v>
      </c>
      <c r="I11" s="11">
        <f t="shared" si="6"/>
        <v>0.08</v>
      </c>
      <c r="J11" s="10">
        <v>2</v>
      </c>
      <c r="K11" s="10">
        <v>0</v>
      </c>
      <c r="L11" s="2">
        <v>1</v>
      </c>
      <c r="M11" s="16">
        <v>1</v>
      </c>
      <c r="N11" s="5">
        <f t="shared" si="1"/>
        <v>39</v>
      </c>
      <c r="O11" s="9">
        <f t="shared" si="2"/>
        <v>25.816320000000001</v>
      </c>
      <c r="P11">
        <f t="shared" si="3"/>
        <v>424.34999999999997</v>
      </c>
    </row>
    <row r="12" spans="1:20" x14ac:dyDescent="0.4">
      <c r="A12" t="s">
        <v>30</v>
      </c>
      <c r="B12">
        <v>28</v>
      </c>
      <c r="C12">
        <f t="shared" si="0"/>
        <v>280</v>
      </c>
      <c r="D12">
        <v>405</v>
      </c>
      <c r="E12">
        <f t="shared" si="8"/>
        <v>28</v>
      </c>
      <c r="F12" s="2">
        <v>0</v>
      </c>
      <c r="G12">
        <f t="shared" si="4"/>
        <v>43</v>
      </c>
      <c r="H12" s="6">
        <f t="shared" si="5"/>
        <v>0.68</v>
      </c>
      <c r="I12" s="11">
        <f t="shared" si="6"/>
        <v>8.7499999999999994E-2</v>
      </c>
      <c r="J12" s="10">
        <v>2</v>
      </c>
      <c r="K12" s="10">
        <v>0</v>
      </c>
      <c r="L12" s="2">
        <v>1</v>
      </c>
      <c r="M12" s="16">
        <v>1</v>
      </c>
      <c r="N12" s="5">
        <f t="shared" si="1"/>
        <v>43</v>
      </c>
      <c r="O12" s="9">
        <f t="shared" si="2"/>
        <v>31.798500000000001</v>
      </c>
      <c r="P12">
        <f t="shared" si="3"/>
        <v>518.4</v>
      </c>
    </row>
    <row r="13" spans="1:20" x14ac:dyDescent="0.4">
      <c r="A13" t="s">
        <v>32</v>
      </c>
      <c r="B13">
        <v>33</v>
      </c>
      <c r="C13">
        <f t="shared" si="0"/>
        <v>330</v>
      </c>
      <c r="D13">
        <v>465</v>
      </c>
      <c r="E13">
        <f t="shared" si="8"/>
        <v>33</v>
      </c>
      <c r="F13" s="2">
        <v>0</v>
      </c>
      <c r="G13">
        <f t="shared" si="4"/>
        <v>51</v>
      </c>
      <c r="H13" s="6">
        <f t="shared" si="5"/>
        <v>0.69600000000000006</v>
      </c>
      <c r="I13" s="11">
        <f t="shared" si="6"/>
        <v>9.5000000000000001E-2</v>
      </c>
      <c r="J13" s="10">
        <v>2</v>
      </c>
      <c r="K13" s="10">
        <v>0</v>
      </c>
      <c r="L13" s="2">
        <v>1</v>
      </c>
      <c r="M13" s="16">
        <v>1</v>
      </c>
      <c r="N13" s="5">
        <f t="shared" si="1"/>
        <v>48</v>
      </c>
      <c r="O13" s="9">
        <f t="shared" si="2"/>
        <v>38.868120000000005</v>
      </c>
      <c r="P13">
        <f t="shared" si="3"/>
        <v>618.45000000000005</v>
      </c>
    </row>
    <row r="14" spans="1:20" x14ac:dyDescent="0.4">
      <c r="A14" t="s">
        <v>34</v>
      </c>
      <c r="B14">
        <v>38</v>
      </c>
      <c r="C14">
        <f t="shared" si="0"/>
        <v>380</v>
      </c>
      <c r="D14">
        <v>485</v>
      </c>
      <c r="E14">
        <f t="shared" si="8"/>
        <v>38</v>
      </c>
      <c r="F14" s="2">
        <v>0</v>
      </c>
      <c r="G14">
        <f t="shared" si="4"/>
        <v>58</v>
      </c>
      <c r="H14" s="6">
        <f t="shared" si="5"/>
        <v>0.71200000000000008</v>
      </c>
      <c r="I14" s="11">
        <f t="shared" si="6"/>
        <v>0.10250000000000001</v>
      </c>
      <c r="J14" s="10">
        <v>2</v>
      </c>
      <c r="K14" s="10">
        <v>0</v>
      </c>
      <c r="L14" s="2">
        <v>1</v>
      </c>
      <c r="M14" s="16">
        <v>1</v>
      </c>
      <c r="N14" s="5">
        <f t="shared" si="1"/>
        <v>52</v>
      </c>
      <c r="O14" s="9">
        <f t="shared" si="2"/>
        <v>45.52884000000001</v>
      </c>
      <c r="P14">
        <f t="shared" si="3"/>
        <v>669.3</v>
      </c>
    </row>
    <row r="15" spans="1:20" x14ac:dyDescent="0.4">
      <c r="A15" t="s">
        <v>229</v>
      </c>
      <c r="B15">
        <v>40</v>
      </c>
      <c r="C15">
        <f t="shared" ref="C15:C16" si="14">10*B15</f>
        <v>400</v>
      </c>
      <c r="D15">
        <v>500</v>
      </c>
      <c r="E15">
        <f t="shared" ref="E15:E16" si="15">B15</f>
        <v>40</v>
      </c>
      <c r="F15" s="2">
        <v>0</v>
      </c>
      <c r="G15">
        <f t="shared" si="4"/>
        <v>61</v>
      </c>
      <c r="H15" s="6">
        <f t="shared" si="5"/>
        <v>0.71840000000000004</v>
      </c>
      <c r="I15" s="11">
        <f t="shared" ref="I15:I16" si="16">0.05+0.15*(-3+B15)%</f>
        <v>0.10550000000000001</v>
      </c>
      <c r="J15" s="10">
        <v>2</v>
      </c>
      <c r="K15" s="10">
        <v>0</v>
      </c>
      <c r="L15" s="2">
        <v>1</v>
      </c>
      <c r="M15" s="16">
        <v>1</v>
      </c>
      <c r="N15" s="5">
        <f t="shared" si="1"/>
        <v>54</v>
      </c>
      <c r="O15" s="9">
        <f t="shared" ref="O15:O16" si="17">G15*H15*(1+I15)</f>
        <v>48.445663199999998</v>
      </c>
      <c r="P15">
        <f t="shared" ref="P15:P16" si="18">D15*(1+E15/100)</f>
        <v>700</v>
      </c>
    </row>
    <row r="16" spans="1:20" x14ac:dyDescent="0.4">
      <c r="A16" t="s">
        <v>230</v>
      </c>
      <c r="B16">
        <v>41</v>
      </c>
      <c r="C16">
        <f t="shared" si="14"/>
        <v>410</v>
      </c>
      <c r="D16">
        <v>520</v>
      </c>
      <c r="E16">
        <f t="shared" si="15"/>
        <v>41</v>
      </c>
      <c r="F16" s="2">
        <v>0</v>
      </c>
      <c r="G16">
        <f t="shared" si="4"/>
        <v>63</v>
      </c>
      <c r="H16" s="6">
        <f t="shared" si="5"/>
        <v>0.72160000000000002</v>
      </c>
      <c r="I16" s="11">
        <f t="shared" si="16"/>
        <v>0.107</v>
      </c>
      <c r="J16" s="10">
        <v>2</v>
      </c>
      <c r="K16" s="10">
        <v>0</v>
      </c>
      <c r="L16" s="2">
        <v>1</v>
      </c>
      <c r="M16" s="16">
        <v>1</v>
      </c>
      <c r="N16" s="5">
        <f t="shared" si="1"/>
        <v>55</v>
      </c>
      <c r="O16" s="9">
        <f t="shared" si="17"/>
        <v>50.325105600000001</v>
      </c>
      <c r="P16">
        <f t="shared" si="18"/>
        <v>733.19999999999993</v>
      </c>
    </row>
    <row r="17" spans="1:16" x14ac:dyDescent="0.4">
      <c r="A17" t="s">
        <v>33</v>
      </c>
      <c r="B17">
        <v>43</v>
      </c>
      <c r="C17">
        <f t="shared" si="0"/>
        <v>430</v>
      </c>
      <c r="D17">
        <v>580</v>
      </c>
      <c r="E17">
        <f t="shared" si="8"/>
        <v>43</v>
      </c>
      <c r="F17" s="2">
        <v>0</v>
      </c>
      <c r="G17">
        <f t="shared" si="4"/>
        <v>66</v>
      </c>
      <c r="H17" s="6">
        <f t="shared" si="5"/>
        <v>0.72799999999999998</v>
      </c>
      <c r="I17" s="11">
        <f t="shared" si="6"/>
        <v>0.11</v>
      </c>
      <c r="J17" s="10">
        <v>2</v>
      </c>
      <c r="K17" s="10">
        <v>0</v>
      </c>
      <c r="L17" s="2">
        <v>1</v>
      </c>
      <c r="M17" s="16">
        <v>1</v>
      </c>
      <c r="N17" s="5">
        <f t="shared" si="1"/>
        <v>57</v>
      </c>
      <c r="O17" s="9">
        <f t="shared" si="2"/>
        <v>53.333280000000009</v>
      </c>
      <c r="P17">
        <f t="shared" si="3"/>
        <v>829.4</v>
      </c>
    </row>
    <row r="18" spans="1:16" x14ac:dyDescent="0.4">
      <c r="A18" t="s">
        <v>31</v>
      </c>
      <c r="B18">
        <v>48</v>
      </c>
      <c r="C18">
        <f t="shared" si="0"/>
        <v>480</v>
      </c>
      <c r="D18">
        <v>640</v>
      </c>
      <c r="E18">
        <f t="shared" si="8"/>
        <v>48</v>
      </c>
      <c r="F18" s="2">
        <v>0</v>
      </c>
      <c r="G18">
        <f t="shared" si="4"/>
        <v>73</v>
      </c>
      <c r="H18" s="6">
        <f t="shared" si="5"/>
        <v>0.74399999999999999</v>
      </c>
      <c r="I18" s="11">
        <f t="shared" si="6"/>
        <v>0.11750000000000001</v>
      </c>
      <c r="J18" s="10">
        <v>2</v>
      </c>
      <c r="K18" s="10">
        <v>0</v>
      </c>
      <c r="L18" s="2">
        <v>1</v>
      </c>
      <c r="M18" s="16">
        <v>1</v>
      </c>
      <c r="N18" s="5">
        <f t="shared" si="1"/>
        <v>61</v>
      </c>
      <c r="O18" s="9">
        <f t="shared" si="2"/>
        <v>60.693659999999994</v>
      </c>
      <c r="P18">
        <f t="shared" si="3"/>
        <v>947.2</v>
      </c>
    </row>
    <row r="19" spans="1:16" x14ac:dyDescent="0.4">
      <c r="A19" t="s">
        <v>225</v>
      </c>
      <c r="B19">
        <v>53</v>
      </c>
      <c r="C19">
        <f t="shared" si="0"/>
        <v>530</v>
      </c>
      <c r="D19">
        <v>705</v>
      </c>
      <c r="E19">
        <f t="shared" si="8"/>
        <v>53</v>
      </c>
      <c r="F19" s="2">
        <v>0</v>
      </c>
      <c r="G19">
        <f t="shared" si="4"/>
        <v>81</v>
      </c>
      <c r="H19" s="6">
        <f t="shared" si="5"/>
        <v>0.76</v>
      </c>
      <c r="I19" s="11">
        <f t="shared" si="6"/>
        <v>0.125</v>
      </c>
      <c r="J19" s="10">
        <v>2</v>
      </c>
      <c r="K19" s="10">
        <v>0</v>
      </c>
      <c r="L19" s="2">
        <v>1</v>
      </c>
      <c r="M19" s="16">
        <v>1</v>
      </c>
      <c r="N19" s="5">
        <f t="shared" si="1"/>
        <v>66</v>
      </c>
      <c r="O19" s="9">
        <f t="shared" si="2"/>
        <v>69.254999999999995</v>
      </c>
      <c r="P19">
        <f t="shared" si="3"/>
        <v>1078.6500000000001</v>
      </c>
    </row>
    <row r="20" spans="1:16" x14ac:dyDescent="0.4">
      <c r="A20" t="s">
        <v>83</v>
      </c>
      <c r="B20">
        <v>58</v>
      </c>
      <c r="C20">
        <f t="shared" si="0"/>
        <v>580</v>
      </c>
      <c r="D20">
        <v>765</v>
      </c>
      <c r="E20">
        <f t="shared" si="8"/>
        <v>58</v>
      </c>
      <c r="F20" s="2">
        <v>0</v>
      </c>
      <c r="G20">
        <f t="shared" si="4"/>
        <v>88</v>
      </c>
      <c r="H20" s="6">
        <f t="shared" si="5"/>
        <v>0.77600000000000002</v>
      </c>
      <c r="I20" s="11">
        <f t="shared" si="6"/>
        <v>0.13250000000000001</v>
      </c>
      <c r="J20" s="10">
        <v>2</v>
      </c>
      <c r="K20" s="10">
        <v>0</v>
      </c>
      <c r="L20" s="2">
        <v>1</v>
      </c>
      <c r="M20" s="16">
        <v>1</v>
      </c>
      <c r="N20" s="5">
        <f t="shared" si="1"/>
        <v>70</v>
      </c>
      <c r="O20" s="9">
        <f t="shared" si="2"/>
        <v>77.336160000000007</v>
      </c>
      <c r="P20">
        <f t="shared" si="3"/>
        <v>1208.7</v>
      </c>
    </row>
    <row r="21" spans="1:16" x14ac:dyDescent="0.4">
      <c r="A21" t="s">
        <v>231</v>
      </c>
      <c r="B21">
        <v>60</v>
      </c>
      <c r="C21">
        <f t="shared" ref="C21:C22" si="19">10*B21</f>
        <v>600</v>
      </c>
      <c r="D21">
        <v>785</v>
      </c>
      <c r="E21">
        <f t="shared" ref="E21:E22" si="20">B21</f>
        <v>60</v>
      </c>
      <c r="F21" s="2">
        <v>0</v>
      </c>
      <c r="G21">
        <f t="shared" si="4"/>
        <v>91</v>
      </c>
      <c r="H21" s="6">
        <f t="shared" si="5"/>
        <v>0.78239999999999998</v>
      </c>
      <c r="I21" s="11">
        <f t="shared" ref="I21:I22" si="21">0.05+0.15*(-3+B21)%</f>
        <v>0.13550000000000001</v>
      </c>
      <c r="J21" s="10">
        <v>2</v>
      </c>
      <c r="K21" s="10">
        <v>0</v>
      </c>
      <c r="L21" s="2">
        <v>1</v>
      </c>
      <c r="M21" s="16">
        <v>1</v>
      </c>
      <c r="N21" s="5">
        <f t="shared" si="1"/>
        <v>72</v>
      </c>
      <c r="O21" s="9">
        <f t="shared" ref="O21:O22" si="22">G21*H21*(1+I21)</f>
        <v>80.845783199999985</v>
      </c>
      <c r="P21">
        <f t="shared" ref="P21:P22" si="23">D21*(1+E21/100)</f>
        <v>1256</v>
      </c>
    </row>
    <row r="22" spans="1:16" x14ac:dyDescent="0.4">
      <c r="A22" t="s">
        <v>232</v>
      </c>
      <c r="B22">
        <v>61</v>
      </c>
      <c r="C22">
        <f t="shared" si="19"/>
        <v>610</v>
      </c>
      <c r="D22">
        <v>805</v>
      </c>
      <c r="E22">
        <f t="shared" si="20"/>
        <v>61</v>
      </c>
      <c r="F22" s="2">
        <v>0</v>
      </c>
      <c r="G22">
        <f t="shared" si="4"/>
        <v>93</v>
      </c>
      <c r="H22" s="6">
        <f t="shared" si="5"/>
        <v>0.78560000000000008</v>
      </c>
      <c r="I22" s="11">
        <f t="shared" si="21"/>
        <v>0.13700000000000001</v>
      </c>
      <c r="J22" s="10">
        <v>2</v>
      </c>
      <c r="K22" s="10">
        <v>0</v>
      </c>
      <c r="L22" s="2">
        <v>1</v>
      </c>
      <c r="M22" s="16">
        <v>1</v>
      </c>
      <c r="N22" s="5">
        <f t="shared" si="1"/>
        <v>73</v>
      </c>
      <c r="O22" s="9">
        <f t="shared" si="22"/>
        <v>83.070129600000001</v>
      </c>
      <c r="P22">
        <f t="shared" si="23"/>
        <v>1296.05</v>
      </c>
    </row>
    <row r="23" spans="1:16" x14ac:dyDescent="0.4">
      <c r="B23">
        <v>63</v>
      </c>
      <c r="C23">
        <f t="shared" si="0"/>
        <v>630</v>
      </c>
      <c r="D23">
        <v>825</v>
      </c>
      <c r="E23">
        <f t="shared" si="8"/>
        <v>63</v>
      </c>
      <c r="F23" s="2">
        <v>0</v>
      </c>
      <c r="G23">
        <f t="shared" si="4"/>
        <v>96</v>
      </c>
      <c r="H23" s="6">
        <f t="shared" si="5"/>
        <v>0.79200000000000004</v>
      </c>
      <c r="I23" s="11">
        <f t="shared" si="6"/>
        <v>0.14000000000000001</v>
      </c>
      <c r="J23" s="10">
        <v>2</v>
      </c>
      <c r="K23" s="10">
        <v>0</v>
      </c>
      <c r="L23" s="2">
        <v>1</v>
      </c>
      <c r="M23" s="16">
        <v>1</v>
      </c>
      <c r="N23" s="5">
        <f t="shared" si="1"/>
        <v>75</v>
      </c>
      <c r="O23" s="9">
        <f t="shared" si="2"/>
        <v>86.676480000000026</v>
      </c>
      <c r="P23">
        <f t="shared" si="3"/>
        <v>1344.75</v>
      </c>
    </row>
    <row r="24" spans="1:16" x14ac:dyDescent="0.4">
      <c r="B24">
        <v>68</v>
      </c>
      <c r="C24">
        <f t="shared" si="0"/>
        <v>680</v>
      </c>
      <c r="D24">
        <v>890</v>
      </c>
      <c r="E24">
        <f t="shared" si="8"/>
        <v>68</v>
      </c>
      <c r="F24" s="2">
        <v>0</v>
      </c>
      <c r="G24">
        <f t="shared" si="4"/>
        <v>103</v>
      </c>
      <c r="H24" s="6">
        <f t="shared" si="5"/>
        <v>0.80800000000000005</v>
      </c>
      <c r="I24" s="11">
        <f t="shared" si="6"/>
        <v>0.14750000000000002</v>
      </c>
      <c r="J24" s="10">
        <v>2</v>
      </c>
      <c r="K24" s="10">
        <v>0</v>
      </c>
      <c r="L24" s="2">
        <v>1</v>
      </c>
      <c r="M24" s="16">
        <v>1</v>
      </c>
      <c r="N24" s="5">
        <f t="shared" si="1"/>
        <v>79</v>
      </c>
      <c r="O24" s="9">
        <f t="shared" si="2"/>
        <v>95.499539999999996</v>
      </c>
      <c r="P24">
        <f t="shared" si="3"/>
        <v>1495.2</v>
      </c>
    </row>
    <row r="25" spans="1:16" x14ac:dyDescent="0.4">
      <c r="B25">
        <v>73</v>
      </c>
      <c r="C25">
        <f t="shared" si="0"/>
        <v>730</v>
      </c>
      <c r="D25">
        <v>950</v>
      </c>
      <c r="E25">
        <f t="shared" si="8"/>
        <v>73</v>
      </c>
      <c r="F25" s="2">
        <v>0</v>
      </c>
      <c r="G25">
        <f t="shared" si="4"/>
        <v>111</v>
      </c>
      <c r="H25" s="6">
        <f t="shared" si="5"/>
        <v>0.82400000000000007</v>
      </c>
      <c r="I25" s="11">
        <f t="shared" si="6"/>
        <v>0.155</v>
      </c>
      <c r="J25" s="10">
        <v>2</v>
      </c>
      <c r="K25" s="10">
        <v>0</v>
      </c>
      <c r="L25" s="2">
        <v>1</v>
      </c>
      <c r="M25" s="16">
        <v>1</v>
      </c>
      <c r="N25" s="5">
        <f t="shared" si="1"/>
        <v>84</v>
      </c>
      <c r="O25" s="9">
        <f t="shared" si="2"/>
        <v>105.64092000000002</v>
      </c>
      <c r="P25">
        <f t="shared" si="3"/>
        <v>1643.5</v>
      </c>
    </row>
    <row r="26" spans="1:16" x14ac:dyDescent="0.4">
      <c r="B26">
        <v>78</v>
      </c>
      <c r="C26">
        <f t="shared" si="0"/>
        <v>780</v>
      </c>
      <c r="D26">
        <v>1015</v>
      </c>
      <c r="E26">
        <f t="shared" si="8"/>
        <v>78</v>
      </c>
      <c r="F26" s="2">
        <v>0</v>
      </c>
      <c r="G26">
        <f t="shared" si="4"/>
        <v>118</v>
      </c>
      <c r="H26" s="6">
        <f t="shared" si="5"/>
        <v>0.84000000000000008</v>
      </c>
      <c r="I26" s="11">
        <f t="shared" si="6"/>
        <v>0.16249999999999998</v>
      </c>
      <c r="J26" s="10">
        <v>2</v>
      </c>
      <c r="K26" s="10">
        <v>0</v>
      </c>
      <c r="L26" s="2">
        <v>1</v>
      </c>
      <c r="M26" s="16">
        <v>1</v>
      </c>
      <c r="N26" s="5">
        <f t="shared" si="1"/>
        <v>88</v>
      </c>
      <c r="O26" s="9">
        <f t="shared" si="2"/>
        <v>115.22700000000002</v>
      </c>
      <c r="P26">
        <f t="shared" si="3"/>
        <v>1806.7</v>
      </c>
    </row>
    <row r="27" spans="1:16" x14ac:dyDescent="0.4">
      <c r="B27">
        <v>80</v>
      </c>
      <c r="C27">
        <f t="shared" ref="C27:C28" si="24">10*B27</f>
        <v>800</v>
      </c>
      <c r="D27">
        <v>1035</v>
      </c>
      <c r="E27">
        <f t="shared" ref="E27:E28" si="25">B27</f>
        <v>80</v>
      </c>
      <c r="F27" s="2">
        <v>0</v>
      </c>
      <c r="G27">
        <f t="shared" si="4"/>
        <v>121</v>
      </c>
      <c r="H27" s="6">
        <f t="shared" si="5"/>
        <v>0.84640000000000004</v>
      </c>
      <c r="I27" s="11">
        <f t="shared" ref="I27:I28" si="26">0.05+0.15*(-3+B27)%</f>
        <v>0.16549999999999998</v>
      </c>
      <c r="J27" s="10">
        <v>2</v>
      </c>
      <c r="K27" s="10">
        <v>0</v>
      </c>
      <c r="L27" s="2">
        <v>1</v>
      </c>
      <c r="M27" s="16">
        <v>1</v>
      </c>
      <c r="N27" s="5">
        <f t="shared" ref="N27:N28" si="27">ROUND(B27*0.9,0)+18</f>
        <v>90</v>
      </c>
      <c r="O27" s="9">
        <f t="shared" ref="O27:O28" si="28">G27*H27*(1+I27)</f>
        <v>119.36398319999999</v>
      </c>
      <c r="P27">
        <f t="shared" ref="P27:P28" si="29">D27*(1+E27/100)</f>
        <v>1863</v>
      </c>
    </row>
    <row r="28" spans="1:16" x14ac:dyDescent="0.4">
      <c r="B28">
        <v>81</v>
      </c>
      <c r="C28">
        <f t="shared" si="24"/>
        <v>810</v>
      </c>
      <c r="D28">
        <v>1050</v>
      </c>
      <c r="E28">
        <f t="shared" si="25"/>
        <v>81</v>
      </c>
      <c r="F28" s="2">
        <v>0</v>
      </c>
      <c r="G28">
        <f t="shared" si="4"/>
        <v>123</v>
      </c>
      <c r="H28" s="6">
        <f t="shared" si="5"/>
        <v>0.84960000000000002</v>
      </c>
      <c r="I28" s="11">
        <f t="shared" si="26"/>
        <v>0.16699999999999998</v>
      </c>
      <c r="J28" s="10">
        <v>2</v>
      </c>
      <c r="K28" s="10">
        <v>0</v>
      </c>
      <c r="L28" s="2">
        <v>1</v>
      </c>
      <c r="M28" s="16">
        <v>1</v>
      </c>
      <c r="N28" s="5">
        <f t="shared" si="27"/>
        <v>91</v>
      </c>
      <c r="O28" s="9">
        <f t="shared" si="28"/>
        <v>121.95243360000001</v>
      </c>
      <c r="P28">
        <f t="shared" si="29"/>
        <v>1900.5</v>
      </c>
    </row>
    <row r="29" spans="1:16" x14ac:dyDescent="0.4">
      <c r="B29">
        <v>83</v>
      </c>
      <c r="C29">
        <f t="shared" si="0"/>
        <v>830</v>
      </c>
      <c r="D29">
        <v>1075</v>
      </c>
      <c r="E29">
        <f t="shared" si="8"/>
        <v>83</v>
      </c>
      <c r="F29" s="2">
        <v>0</v>
      </c>
      <c r="G29">
        <f t="shared" si="4"/>
        <v>126</v>
      </c>
      <c r="H29" s="6">
        <f t="shared" si="5"/>
        <v>0.85600000000000009</v>
      </c>
      <c r="I29" s="11">
        <f t="shared" si="6"/>
        <v>0.16999999999999998</v>
      </c>
      <c r="J29" s="10">
        <v>2</v>
      </c>
      <c r="K29" s="10">
        <v>0</v>
      </c>
      <c r="L29" s="2">
        <v>1</v>
      </c>
      <c r="M29" s="16">
        <v>1</v>
      </c>
      <c r="N29" s="5">
        <f t="shared" si="1"/>
        <v>93</v>
      </c>
      <c r="O29" s="9">
        <f t="shared" si="2"/>
        <v>126.19152</v>
      </c>
      <c r="P29">
        <f t="shared" si="3"/>
        <v>1967.25</v>
      </c>
    </row>
    <row r="30" spans="1:16" x14ac:dyDescent="0.4">
      <c r="B30">
        <v>88</v>
      </c>
      <c r="C30">
        <f t="shared" si="0"/>
        <v>880</v>
      </c>
      <c r="D30">
        <v>1140</v>
      </c>
      <c r="E30">
        <f t="shared" si="8"/>
        <v>88</v>
      </c>
      <c r="F30" s="2">
        <v>0</v>
      </c>
      <c r="G30">
        <f t="shared" si="4"/>
        <v>133</v>
      </c>
      <c r="H30" s="6">
        <f t="shared" si="5"/>
        <v>0.87200000000000011</v>
      </c>
      <c r="I30" s="11">
        <f t="shared" si="6"/>
        <v>0.17749999999999999</v>
      </c>
      <c r="J30" s="10">
        <v>2</v>
      </c>
      <c r="K30" s="10">
        <v>0</v>
      </c>
      <c r="L30" s="2">
        <v>1</v>
      </c>
      <c r="M30" s="16">
        <v>1</v>
      </c>
      <c r="N30" s="5">
        <f t="shared" si="1"/>
        <v>97</v>
      </c>
      <c r="O30" s="9">
        <f t="shared" si="2"/>
        <v>136.56174000000001</v>
      </c>
      <c r="P30">
        <f t="shared" si="3"/>
        <v>2143.1999999999998</v>
      </c>
    </row>
    <row r="31" spans="1:16" x14ac:dyDescent="0.4">
      <c r="B31">
        <v>93</v>
      </c>
      <c r="C31">
        <f t="shared" si="0"/>
        <v>930</v>
      </c>
      <c r="D31">
        <v>1205</v>
      </c>
      <c r="E31">
        <f t="shared" si="8"/>
        <v>93</v>
      </c>
      <c r="F31" s="2">
        <v>0</v>
      </c>
      <c r="G31">
        <f t="shared" si="4"/>
        <v>141</v>
      </c>
      <c r="H31" s="6">
        <f t="shared" si="5"/>
        <v>0.88800000000000012</v>
      </c>
      <c r="I31" s="11">
        <f t="shared" si="6"/>
        <v>0.185</v>
      </c>
      <c r="J31" s="10">
        <v>2</v>
      </c>
      <c r="K31" s="10">
        <v>0</v>
      </c>
      <c r="L31" s="2">
        <v>1</v>
      </c>
      <c r="M31" s="16">
        <v>1</v>
      </c>
      <c r="N31" s="5">
        <f t="shared" si="1"/>
        <v>102</v>
      </c>
      <c r="O31" s="9">
        <f t="shared" si="2"/>
        <v>148.37148000000002</v>
      </c>
      <c r="P31">
        <f t="shared" si="3"/>
        <v>2325.65</v>
      </c>
    </row>
    <row r="32" spans="1:16" x14ac:dyDescent="0.4">
      <c r="B32">
        <v>98</v>
      </c>
      <c r="C32">
        <f t="shared" si="0"/>
        <v>980</v>
      </c>
      <c r="D32">
        <v>1270</v>
      </c>
      <c r="E32">
        <f t="shared" si="8"/>
        <v>98</v>
      </c>
      <c r="F32" s="2">
        <v>0</v>
      </c>
      <c r="G32">
        <f t="shared" si="4"/>
        <v>148</v>
      </c>
      <c r="H32" s="6">
        <f t="shared" si="5"/>
        <v>0.90400000000000003</v>
      </c>
      <c r="I32" s="11">
        <f t="shared" si="6"/>
        <v>0.1925</v>
      </c>
      <c r="J32" s="10">
        <v>2</v>
      </c>
      <c r="K32" s="10">
        <v>0</v>
      </c>
      <c r="L32" s="2">
        <v>1</v>
      </c>
      <c r="M32" s="16">
        <v>1</v>
      </c>
      <c r="N32" s="5">
        <f t="shared" si="1"/>
        <v>106</v>
      </c>
      <c r="O32" s="9">
        <f t="shared" si="2"/>
        <v>159.54695999999998</v>
      </c>
      <c r="P32">
        <f t="shared" si="3"/>
        <v>2514.6</v>
      </c>
    </row>
    <row r="33" spans="1:20" x14ac:dyDescent="0.4">
      <c r="B33">
        <v>100</v>
      </c>
      <c r="C33">
        <f t="shared" ref="C33:C34" si="30">10*B33</f>
        <v>1000</v>
      </c>
      <c r="D33">
        <v>1300</v>
      </c>
      <c r="E33">
        <f t="shared" ref="E33:E34" si="31">B33</f>
        <v>100</v>
      </c>
      <c r="F33" s="2">
        <v>0</v>
      </c>
      <c r="G33">
        <f t="shared" si="4"/>
        <v>151</v>
      </c>
      <c r="H33" s="6">
        <f t="shared" si="5"/>
        <v>0.9104000000000001</v>
      </c>
      <c r="I33" s="11">
        <f t="shared" ref="I33:I34" si="32">0.05+0.15*(-3+B33)%</f>
        <v>0.19550000000000001</v>
      </c>
      <c r="J33" s="10">
        <v>2</v>
      </c>
      <c r="K33" s="10">
        <v>0</v>
      </c>
      <c r="L33" s="2">
        <v>1</v>
      </c>
      <c r="M33" s="16">
        <v>1</v>
      </c>
      <c r="N33" s="5">
        <f t="shared" ref="N33:N34" si="33">ROUND(B33*0.9,0)+18</f>
        <v>108</v>
      </c>
      <c r="O33" s="9">
        <f t="shared" ref="O33:O34" si="34">G33*H33*(1+I33)</f>
        <v>164.34586320000003</v>
      </c>
      <c r="P33">
        <f t="shared" ref="P33:P34" si="35">D33*(1+E33/100)</f>
        <v>2600</v>
      </c>
    </row>
    <row r="34" spans="1:20" x14ac:dyDescent="0.4">
      <c r="B34">
        <v>101</v>
      </c>
      <c r="C34">
        <f t="shared" si="30"/>
        <v>1010</v>
      </c>
      <c r="D34">
        <v>1350</v>
      </c>
      <c r="E34">
        <f t="shared" si="31"/>
        <v>101</v>
      </c>
      <c r="F34" s="2">
        <v>0</v>
      </c>
      <c r="G34">
        <f t="shared" si="4"/>
        <v>153</v>
      </c>
      <c r="H34" s="6">
        <f t="shared" si="5"/>
        <v>0.91360000000000008</v>
      </c>
      <c r="I34" s="11">
        <f t="shared" si="32"/>
        <v>0.19700000000000001</v>
      </c>
      <c r="J34" s="10">
        <v>2</v>
      </c>
      <c r="K34" s="10">
        <v>0</v>
      </c>
      <c r="L34" s="2">
        <v>1</v>
      </c>
      <c r="M34" s="16">
        <v>1</v>
      </c>
      <c r="N34" s="5">
        <f t="shared" si="33"/>
        <v>109</v>
      </c>
      <c r="O34" s="9">
        <f t="shared" si="34"/>
        <v>167.31761760000001</v>
      </c>
      <c r="P34">
        <f t="shared" si="35"/>
        <v>2713.4999999999995</v>
      </c>
    </row>
    <row r="37" spans="1:20" ht="19.8" thickBot="1" x14ac:dyDescent="0.45">
      <c r="A37" s="13" t="s">
        <v>57</v>
      </c>
      <c r="B37" t="s">
        <v>56</v>
      </c>
      <c r="C37" t="s">
        <v>206</v>
      </c>
    </row>
    <row r="38" spans="1:20" ht="18" thickBot="1" x14ac:dyDescent="0.45">
      <c r="A38" s="36" t="s">
        <v>19</v>
      </c>
      <c r="B38" s="36" t="s">
        <v>18</v>
      </c>
      <c r="C38" s="36" t="s">
        <v>322</v>
      </c>
      <c r="D38" s="28" t="s">
        <v>301</v>
      </c>
      <c r="E38" s="28" t="s">
        <v>302</v>
      </c>
      <c r="F38" s="40" t="s">
        <v>303</v>
      </c>
      <c r="G38" s="37" t="s">
        <v>305</v>
      </c>
      <c r="H38" s="52" t="s">
        <v>306</v>
      </c>
      <c r="I38" s="37" t="s">
        <v>307</v>
      </c>
      <c r="J38" s="37" t="s">
        <v>308</v>
      </c>
      <c r="K38" s="37" t="s">
        <v>309</v>
      </c>
      <c r="L38" s="38" t="s">
        <v>310</v>
      </c>
      <c r="M38" s="38" t="s">
        <v>312</v>
      </c>
      <c r="N38" s="38" t="s">
        <v>324</v>
      </c>
      <c r="O38" s="23" t="s">
        <v>313</v>
      </c>
      <c r="P38" s="23" t="s">
        <v>314</v>
      </c>
      <c r="Q38" s="24" t="s">
        <v>325</v>
      </c>
      <c r="R38" s="41" t="s">
        <v>326</v>
      </c>
      <c r="S38" s="41" t="s">
        <v>327</v>
      </c>
      <c r="T38" s="41" t="s">
        <v>328</v>
      </c>
    </row>
    <row r="39" spans="1:20" ht="18" thickTop="1" x14ac:dyDescent="0.4">
      <c r="A39" t="s">
        <v>37</v>
      </c>
      <c r="B39">
        <v>3</v>
      </c>
      <c r="C39">
        <f t="shared" ref="C39:C45" si="36">10*B39</f>
        <v>30</v>
      </c>
      <c r="D39">
        <v>100</v>
      </c>
      <c r="E39">
        <f t="shared" ref="E39:E45" si="37">B39</f>
        <v>3</v>
      </c>
      <c r="F39" s="2">
        <v>0</v>
      </c>
      <c r="G39">
        <f>ROUND(2+2.2*B39, 0)</f>
        <v>9</v>
      </c>
      <c r="H39" s="6">
        <f>0.791+0.003*B39</f>
        <v>0.8</v>
      </c>
      <c r="I39" s="11">
        <f>0.05+0.15*(-3+B39)%</f>
        <v>0.05</v>
      </c>
      <c r="J39" s="10">
        <v>2</v>
      </c>
      <c r="K39" s="10">
        <v>0</v>
      </c>
      <c r="L39" s="2">
        <v>1</v>
      </c>
      <c r="M39">
        <v>1</v>
      </c>
      <c r="N39" s="5">
        <f t="shared" ref="N39:N58" si="38">ROUND(B39*0.6,0)+18</f>
        <v>20</v>
      </c>
      <c r="O39" s="9">
        <f t="shared" ref="O39:O58" si="39">G39*H39*(1+I39)</f>
        <v>7.5600000000000005</v>
      </c>
      <c r="P39">
        <f t="shared" ref="P39:P58" si="40">D39*(1+E39/100)</f>
        <v>103</v>
      </c>
      <c r="S39" t="s">
        <v>39</v>
      </c>
      <c r="T39" t="s">
        <v>102</v>
      </c>
    </row>
    <row r="40" spans="1:20" x14ac:dyDescent="0.4">
      <c r="A40" t="s">
        <v>41</v>
      </c>
      <c r="B40">
        <v>8</v>
      </c>
      <c r="C40">
        <f t="shared" si="36"/>
        <v>80</v>
      </c>
      <c r="D40">
        <v>155</v>
      </c>
      <c r="E40">
        <f t="shared" si="37"/>
        <v>8</v>
      </c>
      <c r="F40" s="2">
        <v>0</v>
      </c>
      <c r="G40">
        <f>ROUND(4+2.2*B40, 0)</f>
        <v>22</v>
      </c>
      <c r="H40" s="6">
        <f>0.591+0.003*B40</f>
        <v>0.61499999999999999</v>
      </c>
      <c r="I40" s="11">
        <f>0.15+0.15*(-3+B40)%</f>
        <v>0.1575</v>
      </c>
      <c r="J40" s="10">
        <v>2</v>
      </c>
      <c r="K40" s="10">
        <v>0</v>
      </c>
      <c r="L40" s="2">
        <v>1</v>
      </c>
      <c r="M40">
        <v>1</v>
      </c>
      <c r="N40" s="5">
        <f t="shared" si="38"/>
        <v>23</v>
      </c>
      <c r="O40" s="9">
        <f t="shared" si="39"/>
        <v>15.660974999999999</v>
      </c>
      <c r="P40">
        <f t="shared" si="40"/>
        <v>167.4</v>
      </c>
      <c r="S40" t="s">
        <v>44</v>
      </c>
      <c r="T40" t="s">
        <v>102</v>
      </c>
    </row>
    <row r="41" spans="1:20" x14ac:dyDescent="0.4">
      <c r="A41" t="s">
        <v>36</v>
      </c>
      <c r="B41">
        <v>13</v>
      </c>
      <c r="C41">
        <f t="shared" si="36"/>
        <v>130</v>
      </c>
      <c r="D41">
        <v>190</v>
      </c>
      <c r="E41">
        <f t="shared" si="37"/>
        <v>13</v>
      </c>
      <c r="F41" s="2">
        <v>0</v>
      </c>
      <c r="G41">
        <f>ROUND(2+2.2*B41, 0)</f>
        <v>31</v>
      </c>
      <c r="H41" s="6">
        <f>0.791+0.003*B41</f>
        <v>0.83000000000000007</v>
      </c>
      <c r="I41" s="11">
        <f>0.05+0.15*(-3+B41)%</f>
        <v>6.5000000000000002E-2</v>
      </c>
      <c r="J41" s="10">
        <v>2</v>
      </c>
      <c r="K41" s="10">
        <v>0</v>
      </c>
      <c r="L41" s="2">
        <v>1</v>
      </c>
      <c r="M41">
        <v>1</v>
      </c>
      <c r="N41" s="5">
        <f t="shared" si="38"/>
        <v>26</v>
      </c>
      <c r="O41" s="9">
        <f t="shared" si="39"/>
        <v>27.402450000000002</v>
      </c>
      <c r="P41">
        <f t="shared" si="40"/>
        <v>214.7</v>
      </c>
      <c r="S41" t="s">
        <v>39</v>
      </c>
      <c r="T41" t="s">
        <v>102</v>
      </c>
    </row>
    <row r="42" spans="1:20" x14ac:dyDescent="0.4">
      <c r="A42" t="s">
        <v>38</v>
      </c>
      <c r="B42">
        <v>18</v>
      </c>
      <c r="C42">
        <f t="shared" si="36"/>
        <v>180</v>
      </c>
      <c r="D42">
        <v>240</v>
      </c>
      <c r="E42">
        <f t="shared" si="37"/>
        <v>18</v>
      </c>
      <c r="F42" s="2">
        <v>0</v>
      </c>
      <c r="G42">
        <f>ROUND(6+2.2*B42, 0)</f>
        <v>46</v>
      </c>
      <c r="H42" s="6">
        <f>0.591+0.003*B42</f>
        <v>0.64500000000000002</v>
      </c>
      <c r="I42" s="11">
        <f>0.15+0.15*(-3+B42)%</f>
        <v>0.17249999999999999</v>
      </c>
      <c r="J42" s="10">
        <v>2</v>
      </c>
      <c r="K42" s="10">
        <v>0</v>
      </c>
      <c r="L42" s="2">
        <v>1</v>
      </c>
      <c r="M42">
        <v>1</v>
      </c>
      <c r="N42" s="5">
        <f t="shared" si="38"/>
        <v>29</v>
      </c>
      <c r="O42" s="9">
        <f t="shared" si="39"/>
        <v>34.788074999999999</v>
      </c>
      <c r="P42">
        <f t="shared" si="40"/>
        <v>283.2</v>
      </c>
      <c r="S42" t="s">
        <v>44</v>
      </c>
      <c r="T42" t="s">
        <v>102</v>
      </c>
    </row>
    <row r="43" spans="1:20" x14ac:dyDescent="0.4">
      <c r="A43" t="s">
        <v>42</v>
      </c>
      <c r="B43">
        <v>23</v>
      </c>
      <c r="C43">
        <f t="shared" si="36"/>
        <v>230</v>
      </c>
      <c r="D43">
        <v>290</v>
      </c>
      <c r="E43">
        <f t="shared" si="37"/>
        <v>23</v>
      </c>
      <c r="F43" s="2">
        <v>0</v>
      </c>
      <c r="G43">
        <f>ROUND(2+2.2*B43, 0)</f>
        <v>53</v>
      </c>
      <c r="H43" s="6">
        <f>0.791+0.003*B43</f>
        <v>0.8600000000000001</v>
      </c>
      <c r="I43" s="11">
        <f>0.05+0.15*(-3+B43)%</f>
        <v>0.08</v>
      </c>
      <c r="J43" s="10">
        <v>2</v>
      </c>
      <c r="K43" s="10">
        <v>0</v>
      </c>
      <c r="L43" s="2">
        <v>1</v>
      </c>
      <c r="M43">
        <v>1</v>
      </c>
      <c r="N43" s="5">
        <f t="shared" si="38"/>
        <v>32</v>
      </c>
      <c r="O43" s="9">
        <f t="shared" si="39"/>
        <v>49.226400000000012</v>
      </c>
      <c r="P43">
        <f t="shared" si="40"/>
        <v>356.7</v>
      </c>
      <c r="S43" t="s">
        <v>39</v>
      </c>
      <c r="T43" t="s">
        <v>102</v>
      </c>
    </row>
    <row r="44" spans="1:20" x14ac:dyDescent="0.4">
      <c r="A44" t="s">
        <v>43</v>
      </c>
      <c r="B44">
        <v>28</v>
      </c>
      <c r="C44">
        <f t="shared" si="36"/>
        <v>280</v>
      </c>
      <c r="D44">
        <v>350</v>
      </c>
      <c r="E44">
        <f t="shared" si="37"/>
        <v>28</v>
      </c>
      <c r="F44" s="2">
        <v>0</v>
      </c>
      <c r="G44">
        <f>ROUND(8+2.2*B44, 0)</f>
        <v>70</v>
      </c>
      <c r="H44" s="6">
        <f>0.591+0.003*B44</f>
        <v>0.67499999999999993</v>
      </c>
      <c r="I44" s="11">
        <f>0.15+0.15*(-3+B44)%</f>
        <v>0.1875</v>
      </c>
      <c r="J44" s="10">
        <v>2</v>
      </c>
      <c r="K44" s="10">
        <v>0</v>
      </c>
      <c r="L44" s="2">
        <v>1</v>
      </c>
      <c r="M44">
        <v>1</v>
      </c>
      <c r="N44" s="5">
        <f t="shared" si="38"/>
        <v>35</v>
      </c>
      <c r="O44" s="9">
        <f t="shared" si="39"/>
        <v>56.109374999999993</v>
      </c>
      <c r="P44">
        <f t="shared" si="40"/>
        <v>448</v>
      </c>
      <c r="S44" t="s">
        <v>44</v>
      </c>
      <c r="T44" t="s">
        <v>102</v>
      </c>
    </row>
    <row r="45" spans="1:20" x14ac:dyDescent="0.4">
      <c r="A45" t="s">
        <v>36</v>
      </c>
      <c r="B45">
        <v>33</v>
      </c>
      <c r="C45">
        <f t="shared" si="36"/>
        <v>330</v>
      </c>
      <c r="D45">
        <v>465</v>
      </c>
      <c r="E45">
        <f t="shared" si="37"/>
        <v>33</v>
      </c>
      <c r="F45" s="2">
        <v>0</v>
      </c>
      <c r="G45">
        <f t="shared" ref="G45:G50" si="41">ROUND(2+2.2*B45, 0)</f>
        <v>75</v>
      </c>
      <c r="H45" s="6">
        <f>0.791+0.003*B45</f>
        <v>0.89</v>
      </c>
      <c r="I45" s="11">
        <f>0.05+0.15*(-3+B45)%</f>
        <v>9.5000000000000001E-2</v>
      </c>
      <c r="J45" s="10">
        <v>2</v>
      </c>
      <c r="K45" s="10">
        <v>0</v>
      </c>
      <c r="L45" s="2">
        <v>1</v>
      </c>
      <c r="M45">
        <v>1</v>
      </c>
      <c r="N45" s="5">
        <f t="shared" si="38"/>
        <v>38</v>
      </c>
      <c r="O45" s="9">
        <f t="shared" si="39"/>
        <v>73.091250000000002</v>
      </c>
      <c r="P45">
        <f t="shared" si="40"/>
        <v>618.45000000000005</v>
      </c>
      <c r="S45" t="s">
        <v>39</v>
      </c>
      <c r="T45" t="s">
        <v>102</v>
      </c>
    </row>
    <row r="46" spans="1:20" x14ac:dyDescent="0.4">
      <c r="A46" t="s">
        <v>124</v>
      </c>
      <c r="B46">
        <v>38</v>
      </c>
      <c r="C46">
        <f>10*B46+20</f>
        <v>400</v>
      </c>
      <c r="D46">
        <v>600</v>
      </c>
      <c r="E46">
        <f>B46+2</f>
        <v>40</v>
      </c>
      <c r="F46" s="2">
        <v>0</v>
      </c>
      <c r="G46">
        <f t="shared" si="41"/>
        <v>86</v>
      </c>
      <c r="H46" s="6">
        <f>0.471+0.003*B46</f>
        <v>0.58499999999999996</v>
      </c>
      <c r="I46" s="11">
        <f>0.05+0.15*(-3+B46)%</f>
        <v>0.10250000000000001</v>
      </c>
      <c r="J46" s="10">
        <v>2</v>
      </c>
      <c r="K46" s="10">
        <v>0</v>
      </c>
      <c r="L46" s="2">
        <v>1</v>
      </c>
      <c r="M46">
        <v>1</v>
      </c>
      <c r="N46" s="5">
        <f t="shared" si="38"/>
        <v>41</v>
      </c>
      <c r="O46" s="9">
        <f t="shared" si="39"/>
        <v>55.466774999999998</v>
      </c>
      <c r="P46">
        <f t="shared" si="40"/>
        <v>840</v>
      </c>
      <c r="Q46" t="s">
        <v>121</v>
      </c>
      <c r="S46" t="s">
        <v>46</v>
      </c>
      <c r="T46" t="s">
        <v>125</v>
      </c>
    </row>
    <row r="47" spans="1:20" x14ac:dyDescent="0.4">
      <c r="A47" t="s">
        <v>47</v>
      </c>
      <c r="B47">
        <v>43</v>
      </c>
      <c r="C47">
        <f>10*B47</f>
        <v>430</v>
      </c>
      <c r="D47">
        <v>500</v>
      </c>
      <c r="E47">
        <f>B47</f>
        <v>43</v>
      </c>
      <c r="F47" s="2">
        <v>0</v>
      </c>
      <c r="G47">
        <f t="shared" si="41"/>
        <v>97</v>
      </c>
      <c r="H47" s="6">
        <f>0.591+0.003*B47</f>
        <v>0.72</v>
      </c>
      <c r="I47" s="11">
        <f>0.075+0.15*(-3+B47)%</f>
        <v>0.13500000000000001</v>
      </c>
      <c r="J47" s="10">
        <v>2</v>
      </c>
      <c r="K47" s="10">
        <v>0</v>
      </c>
      <c r="L47" s="2">
        <v>1</v>
      </c>
      <c r="M47">
        <v>2</v>
      </c>
      <c r="N47" s="5">
        <f t="shared" si="38"/>
        <v>44</v>
      </c>
      <c r="O47" s="9">
        <f t="shared" si="39"/>
        <v>79.2684</v>
      </c>
      <c r="P47">
        <f t="shared" si="40"/>
        <v>715</v>
      </c>
      <c r="S47" t="s">
        <v>50</v>
      </c>
      <c r="T47" t="s">
        <v>102</v>
      </c>
    </row>
    <row r="48" spans="1:20" x14ac:dyDescent="0.4">
      <c r="A48" t="s">
        <v>45</v>
      </c>
      <c r="B48">
        <v>48</v>
      </c>
      <c r="C48">
        <f>10*B48</f>
        <v>480</v>
      </c>
      <c r="D48">
        <v>620</v>
      </c>
      <c r="E48">
        <f>B48</f>
        <v>48</v>
      </c>
      <c r="F48" s="2">
        <v>0</v>
      </c>
      <c r="G48">
        <f t="shared" si="41"/>
        <v>108</v>
      </c>
      <c r="H48" s="6">
        <f>0.591+0.003*B48</f>
        <v>0.73499999999999999</v>
      </c>
      <c r="I48" s="11">
        <f>0.08+0.15*(-3+B48)%</f>
        <v>0.14750000000000002</v>
      </c>
      <c r="J48" s="10">
        <v>2</v>
      </c>
      <c r="K48" s="10">
        <v>0</v>
      </c>
      <c r="L48" s="2">
        <v>1</v>
      </c>
      <c r="M48">
        <v>1</v>
      </c>
      <c r="N48" s="5">
        <f t="shared" si="38"/>
        <v>47</v>
      </c>
      <c r="O48" s="9">
        <f t="shared" si="39"/>
        <v>91.088549999999998</v>
      </c>
      <c r="P48">
        <f t="shared" si="40"/>
        <v>917.6</v>
      </c>
      <c r="Q48" t="s">
        <v>121</v>
      </c>
      <c r="S48" t="s">
        <v>51</v>
      </c>
      <c r="T48" t="s">
        <v>125</v>
      </c>
    </row>
    <row r="49" spans="1:20" x14ac:dyDescent="0.4">
      <c r="A49" t="s">
        <v>48</v>
      </c>
      <c r="B49">
        <v>53</v>
      </c>
      <c r="C49">
        <f>10*B49</f>
        <v>530</v>
      </c>
      <c r="D49">
        <f>705*1.15-0.75</f>
        <v>809.99999999999989</v>
      </c>
      <c r="E49">
        <f>B49</f>
        <v>53</v>
      </c>
      <c r="F49" s="2">
        <v>0</v>
      </c>
      <c r="G49">
        <f t="shared" si="41"/>
        <v>119</v>
      </c>
      <c r="H49" s="6">
        <f>0.591+0.003*B49</f>
        <v>0.75</v>
      </c>
      <c r="I49" s="11">
        <f>0.075+0.15*(-3+B49)%</f>
        <v>0.15</v>
      </c>
      <c r="J49" s="10">
        <v>2</v>
      </c>
      <c r="K49" s="10">
        <v>0.1</v>
      </c>
      <c r="L49" s="2">
        <v>1</v>
      </c>
      <c r="M49">
        <v>2</v>
      </c>
      <c r="N49" s="5">
        <f t="shared" si="38"/>
        <v>50</v>
      </c>
      <c r="O49" s="9">
        <f t="shared" si="39"/>
        <v>102.63749999999999</v>
      </c>
      <c r="P49">
        <f t="shared" si="40"/>
        <v>1239.3</v>
      </c>
      <c r="S49" t="s">
        <v>50</v>
      </c>
      <c r="T49" t="s">
        <v>123</v>
      </c>
    </row>
    <row r="50" spans="1:20" x14ac:dyDescent="0.4">
      <c r="A50" t="s">
        <v>49</v>
      </c>
      <c r="B50">
        <v>58</v>
      </c>
      <c r="C50">
        <f>10*B50+20</f>
        <v>600</v>
      </c>
      <c r="D50">
        <v>880</v>
      </c>
      <c r="E50">
        <f>B50+2</f>
        <v>60</v>
      </c>
      <c r="F50" s="2">
        <v>0</v>
      </c>
      <c r="G50">
        <f t="shared" si="41"/>
        <v>130</v>
      </c>
      <c r="H50" s="6">
        <f>0.471+0.003*B50</f>
        <v>0.64500000000000002</v>
      </c>
      <c r="I50" s="11">
        <f>0.05+0.15*(-3+B50)%</f>
        <v>0.13250000000000001</v>
      </c>
      <c r="J50" s="10">
        <v>2</v>
      </c>
      <c r="K50" s="10">
        <v>0</v>
      </c>
      <c r="L50" s="2">
        <v>1</v>
      </c>
      <c r="M50">
        <v>1</v>
      </c>
      <c r="N50" s="5">
        <f t="shared" si="38"/>
        <v>53</v>
      </c>
      <c r="O50" s="9">
        <f t="shared" si="39"/>
        <v>94.960125000000019</v>
      </c>
      <c r="P50">
        <f t="shared" si="40"/>
        <v>1408</v>
      </c>
      <c r="Q50" t="s">
        <v>121</v>
      </c>
      <c r="S50" t="s">
        <v>46</v>
      </c>
      <c r="T50" t="s">
        <v>125</v>
      </c>
    </row>
    <row r="51" spans="1:20" x14ac:dyDescent="0.4">
      <c r="A51" t="s">
        <v>53</v>
      </c>
      <c r="B51">
        <v>63</v>
      </c>
      <c r="C51">
        <f t="shared" ref="C51:C58" si="42">10*B51</f>
        <v>630</v>
      </c>
      <c r="D51">
        <v>700</v>
      </c>
      <c r="E51">
        <f>B51</f>
        <v>63</v>
      </c>
      <c r="F51" s="2">
        <v>0</v>
      </c>
      <c r="G51">
        <f>ROUND(11+2.2*B51, 0)</f>
        <v>150</v>
      </c>
      <c r="H51" s="6">
        <f t="shared" ref="H51:H58" si="43">0.591+0.003*B51</f>
        <v>0.78</v>
      </c>
      <c r="I51" s="11">
        <f>0.1+0.15*(-3+B51)%</f>
        <v>0.19</v>
      </c>
      <c r="J51" s="10">
        <v>2</v>
      </c>
      <c r="K51" s="2">
        <v>0.25</v>
      </c>
      <c r="L51" s="2">
        <v>1</v>
      </c>
      <c r="M51">
        <v>2</v>
      </c>
      <c r="N51" s="5">
        <f t="shared" si="38"/>
        <v>56</v>
      </c>
      <c r="O51" s="9">
        <f t="shared" si="39"/>
        <v>139.22999999999999</v>
      </c>
      <c r="P51">
        <f t="shared" si="40"/>
        <v>1141</v>
      </c>
      <c r="Q51" t="s">
        <v>126</v>
      </c>
      <c r="S51" t="s">
        <v>54</v>
      </c>
      <c r="T51" t="s">
        <v>122</v>
      </c>
    </row>
    <row r="52" spans="1:20" x14ac:dyDescent="0.4">
      <c r="A52" t="s">
        <v>52</v>
      </c>
      <c r="B52">
        <v>68</v>
      </c>
      <c r="C52">
        <f t="shared" si="42"/>
        <v>680</v>
      </c>
      <c r="D52">
        <v>800</v>
      </c>
      <c r="E52">
        <f>B52+10</f>
        <v>78</v>
      </c>
      <c r="F52" s="2">
        <v>0</v>
      </c>
      <c r="G52">
        <f t="shared" ref="G52:G58" si="44">ROUND(2+2.2*B52, 0)</f>
        <v>152</v>
      </c>
      <c r="H52" s="6">
        <f t="shared" si="43"/>
        <v>0.79499999999999993</v>
      </c>
      <c r="I52" s="11">
        <f t="shared" ref="I52:I58" si="45">0.05+0.15*(-3+B52)%</f>
        <v>0.14750000000000002</v>
      </c>
      <c r="J52" s="10">
        <v>2</v>
      </c>
      <c r="K52" s="2">
        <v>0.15</v>
      </c>
      <c r="L52" s="2">
        <v>1</v>
      </c>
      <c r="M52">
        <v>1</v>
      </c>
      <c r="N52" s="5">
        <f t="shared" si="38"/>
        <v>59</v>
      </c>
      <c r="O52" s="9">
        <f t="shared" si="39"/>
        <v>138.66389999999998</v>
      </c>
      <c r="P52">
        <f t="shared" si="40"/>
        <v>1424</v>
      </c>
      <c r="Q52" t="s">
        <v>121</v>
      </c>
      <c r="S52" t="s">
        <v>55</v>
      </c>
      <c r="T52" t="s">
        <v>122</v>
      </c>
    </row>
    <row r="53" spans="1:20" x14ac:dyDescent="0.4">
      <c r="B53">
        <v>73</v>
      </c>
      <c r="C53">
        <f t="shared" si="42"/>
        <v>730</v>
      </c>
      <c r="D53">
        <v>950</v>
      </c>
      <c r="E53">
        <f t="shared" ref="E53:E58" si="46">B53</f>
        <v>73</v>
      </c>
      <c r="F53" s="2">
        <v>0</v>
      </c>
      <c r="G53">
        <f t="shared" si="44"/>
        <v>163</v>
      </c>
      <c r="H53" s="6">
        <f t="shared" si="43"/>
        <v>0.80999999999999994</v>
      </c>
      <c r="I53" s="11">
        <f t="shared" si="45"/>
        <v>0.155</v>
      </c>
      <c r="J53" s="10">
        <v>2</v>
      </c>
      <c r="K53" s="10">
        <v>0</v>
      </c>
      <c r="L53" s="2">
        <v>1</v>
      </c>
      <c r="M53">
        <v>1</v>
      </c>
      <c r="N53" s="5">
        <f t="shared" si="38"/>
        <v>62</v>
      </c>
      <c r="O53" s="9">
        <f t="shared" si="39"/>
        <v>152.49465000000001</v>
      </c>
      <c r="P53">
        <f t="shared" si="40"/>
        <v>1643.5</v>
      </c>
    </row>
    <row r="54" spans="1:20" x14ac:dyDescent="0.4">
      <c r="B54">
        <v>78</v>
      </c>
      <c r="C54">
        <f t="shared" si="42"/>
        <v>780</v>
      </c>
      <c r="D54">
        <v>1015</v>
      </c>
      <c r="E54">
        <f t="shared" si="46"/>
        <v>78</v>
      </c>
      <c r="F54" s="2">
        <v>0</v>
      </c>
      <c r="G54">
        <f t="shared" si="44"/>
        <v>174</v>
      </c>
      <c r="H54" s="6">
        <f t="shared" si="43"/>
        <v>0.82499999999999996</v>
      </c>
      <c r="I54" s="11">
        <f t="shared" si="45"/>
        <v>0.16249999999999998</v>
      </c>
      <c r="J54" s="10">
        <v>2</v>
      </c>
      <c r="K54" s="10">
        <v>0</v>
      </c>
      <c r="L54" s="2">
        <v>1</v>
      </c>
      <c r="M54">
        <v>1</v>
      </c>
      <c r="N54" s="5">
        <f t="shared" si="38"/>
        <v>65</v>
      </c>
      <c r="O54" s="9">
        <f t="shared" si="39"/>
        <v>166.87687499999998</v>
      </c>
      <c r="P54">
        <f t="shared" si="40"/>
        <v>1806.7</v>
      </c>
    </row>
    <row r="55" spans="1:20" x14ac:dyDescent="0.4">
      <c r="B55">
        <v>83</v>
      </c>
      <c r="C55">
        <f t="shared" si="42"/>
        <v>830</v>
      </c>
      <c r="D55">
        <v>1075</v>
      </c>
      <c r="E55">
        <f t="shared" si="46"/>
        <v>83</v>
      </c>
      <c r="F55" s="2">
        <v>0</v>
      </c>
      <c r="G55">
        <f t="shared" si="44"/>
        <v>185</v>
      </c>
      <c r="H55" s="6">
        <f t="shared" si="43"/>
        <v>0.84</v>
      </c>
      <c r="I55" s="11">
        <f t="shared" si="45"/>
        <v>0.16999999999999998</v>
      </c>
      <c r="J55" s="10">
        <v>2</v>
      </c>
      <c r="K55" s="10">
        <v>0</v>
      </c>
      <c r="L55" s="2">
        <v>1</v>
      </c>
      <c r="M55">
        <v>1</v>
      </c>
      <c r="N55" s="5">
        <f t="shared" si="38"/>
        <v>68</v>
      </c>
      <c r="O55" s="9">
        <f t="shared" si="39"/>
        <v>181.81799999999998</v>
      </c>
      <c r="P55">
        <f t="shared" si="40"/>
        <v>1967.25</v>
      </c>
    </row>
    <row r="56" spans="1:20" x14ac:dyDescent="0.4">
      <c r="B56">
        <v>88</v>
      </c>
      <c r="C56">
        <f t="shared" si="42"/>
        <v>880</v>
      </c>
      <c r="D56">
        <v>1140</v>
      </c>
      <c r="E56">
        <f t="shared" si="46"/>
        <v>88</v>
      </c>
      <c r="F56" s="2">
        <v>0</v>
      </c>
      <c r="G56">
        <f t="shared" si="44"/>
        <v>196</v>
      </c>
      <c r="H56" s="6">
        <f t="shared" si="43"/>
        <v>0.85499999999999998</v>
      </c>
      <c r="I56" s="11">
        <f t="shared" si="45"/>
        <v>0.17749999999999999</v>
      </c>
      <c r="J56" s="10">
        <v>2</v>
      </c>
      <c r="K56" s="10">
        <v>0</v>
      </c>
      <c r="L56" s="2">
        <v>1</v>
      </c>
      <c r="M56">
        <v>1</v>
      </c>
      <c r="N56" s="5">
        <f t="shared" si="38"/>
        <v>71</v>
      </c>
      <c r="O56" s="9">
        <f t="shared" si="39"/>
        <v>197.32544999999999</v>
      </c>
      <c r="P56">
        <f t="shared" si="40"/>
        <v>2143.1999999999998</v>
      </c>
    </row>
    <row r="57" spans="1:20" x14ac:dyDescent="0.4">
      <c r="B57">
        <v>93</v>
      </c>
      <c r="C57">
        <f t="shared" si="42"/>
        <v>930</v>
      </c>
      <c r="D57">
        <v>1205</v>
      </c>
      <c r="E57">
        <f t="shared" si="46"/>
        <v>93</v>
      </c>
      <c r="F57" s="2">
        <v>0</v>
      </c>
      <c r="G57">
        <f t="shared" si="44"/>
        <v>207</v>
      </c>
      <c r="H57" s="6">
        <f t="shared" si="43"/>
        <v>0.87</v>
      </c>
      <c r="I57" s="11">
        <f t="shared" si="45"/>
        <v>0.185</v>
      </c>
      <c r="J57" s="10">
        <v>2</v>
      </c>
      <c r="K57" s="10">
        <v>0</v>
      </c>
      <c r="L57" s="2">
        <v>1</v>
      </c>
      <c r="M57">
        <v>1</v>
      </c>
      <c r="N57" s="5">
        <f t="shared" si="38"/>
        <v>74</v>
      </c>
      <c r="O57" s="9">
        <f t="shared" si="39"/>
        <v>213.40665000000001</v>
      </c>
      <c r="P57">
        <f t="shared" si="40"/>
        <v>2325.65</v>
      </c>
    </row>
    <row r="58" spans="1:20" x14ac:dyDescent="0.4">
      <c r="B58">
        <v>98</v>
      </c>
      <c r="C58">
        <f t="shared" si="42"/>
        <v>980</v>
      </c>
      <c r="D58">
        <v>1270</v>
      </c>
      <c r="E58">
        <f t="shared" si="46"/>
        <v>98</v>
      </c>
      <c r="F58" s="2">
        <v>0</v>
      </c>
      <c r="G58">
        <f t="shared" si="44"/>
        <v>218</v>
      </c>
      <c r="H58" s="6">
        <f t="shared" si="43"/>
        <v>0.88500000000000001</v>
      </c>
      <c r="I58" s="11">
        <f t="shared" si="45"/>
        <v>0.1925</v>
      </c>
      <c r="J58" s="10">
        <v>2</v>
      </c>
      <c r="K58" s="10">
        <v>0</v>
      </c>
      <c r="L58" s="2">
        <v>1</v>
      </c>
      <c r="M58">
        <v>1</v>
      </c>
      <c r="N58" s="5">
        <f t="shared" si="38"/>
        <v>77</v>
      </c>
      <c r="O58" s="9">
        <f t="shared" si="39"/>
        <v>230.06902499999998</v>
      </c>
      <c r="P58">
        <f t="shared" si="40"/>
        <v>2514.6</v>
      </c>
    </row>
    <row r="61" spans="1:20" ht="19.8" thickBot="1" x14ac:dyDescent="0.45">
      <c r="A61" s="13" t="s">
        <v>164</v>
      </c>
      <c r="B61" t="s">
        <v>104</v>
      </c>
    </row>
    <row r="62" spans="1:20" ht="18" thickBot="1" x14ac:dyDescent="0.45">
      <c r="A62" s="36" t="s">
        <v>19</v>
      </c>
      <c r="B62" s="36" t="s">
        <v>18</v>
      </c>
      <c r="C62" s="36" t="s">
        <v>322</v>
      </c>
      <c r="D62" s="28" t="s">
        <v>301</v>
      </c>
      <c r="E62" s="28" t="s">
        <v>302</v>
      </c>
      <c r="F62" s="40" t="s">
        <v>303</v>
      </c>
      <c r="G62" s="37" t="s">
        <v>305</v>
      </c>
      <c r="H62" s="52" t="s">
        <v>306</v>
      </c>
      <c r="I62" s="37" t="s">
        <v>307</v>
      </c>
      <c r="J62" s="37" t="s">
        <v>308</v>
      </c>
      <c r="K62" s="37" t="s">
        <v>309</v>
      </c>
      <c r="L62" s="38" t="s">
        <v>310</v>
      </c>
      <c r="M62" s="38" t="s">
        <v>312</v>
      </c>
      <c r="N62" s="38" t="s">
        <v>324</v>
      </c>
      <c r="O62" s="23" t="s">
        <v>313</v>
      </c>
      <c r="P62" s="23" t="s">
        <v>314</v>
      </c>
      <c r="Q62" s="24" t="s">
        <v>325</v>
      </c>
      <c r="R62" s="41" t="s">
        <v>326</v>
      </c>
      <c r="S62" s="41" t="s">
        <v>327</v>
      </c>
      <c r="T62" s="41" t="s">
        <v>328</v>
      </c>
    </row>
    <row r="63" spans="1:20" ht="18" thickTop="1" x14ac:dyDescent="0.4">
      <c r="A63" t="s">
        <v>226</v>
      </c>
      <c r="B63">
        <v>3</v>
      </c>
      <c r="C63">
        <f>10*B63/2</f>
        <v>15</v>
      </c>
      <c r="D63">
        <f>ROUND(130*3/4, 0)+2</f>
        <v>100</v>
      </c>
      <c r="E63">
        <f>B63</f>
        <v>3</v>
      </c>
      <c r="F63" s="2">
        <v>0</v>
      </c>
      <c r="G63">
        <f>ROUND(G5*3/4, 0)</f>
        <v>5</v>
      </c>
      <c r="H63" s="6">
        <f>H5*5/6</f>
        <v>0.50000000000000011</v>
      </c>
      <c r="I63" s="11">
        <f t="shared" ref="I63:I88" si="47">0.05+0.15*(-3+B63)%</f>
        <v>0.05</v>
      </c>
      <c r="J63" s="10">
        <v>2</v>
      </c>
      <c r="K63" s="10">
        <v>0</v>
      </c>
      <c r="L63" s="2">
        <v>1</v>
      </c>
      <c r="M63" s="16">
        <v>1</v>
      </c>
      <c r="N63" s="5">
        <f>(ROUND(B63*1.2,0)+18)/2</f>
        <v>11</v>
      </c>
      <c r="O63" s="9">
        <f t="shared" ref="O63:O88" si="48">G63*H63*(1+I63)</f>
        <v>2.6250000000000004</v>
      </c>
      <c r="P63">
        <f t="shared" ref="P63:P88" si="49">D63*(1+E63/100)</f>
        <v>103</v>
      </c>
      <c r="S63" t="s">
        <v>71</v>
      </c>
      <c r="T63" t="s">
        <v>93</v>
      </c>
    </row>
    <row r="64" spans="1:20" x14ac:dyDescent="0.4">
      <c r="A64" t="s">
        <v>59</v>
      </c>
      <c r="B64">
        <v>8</v>
      </c>
      <c r="C64">
        <f>10*B64*3/4</f>
        <v>60</v>
      </c>
      <c r="D64">
        <f>ROUND(185*5/6, 0)+1</f>
        <v>155</v>
      </c>
      <c r="E64">
        <f>B64-2</f>
        <v>6</v>
      </c>
      <c r="F64" s="2">
        <v>0</v>
      </c>
      <c r="G64">
        <f>ROUND(G6*4/5, 0)</f>
        <v>10</v>
      </c>
      <c r="H64" s="6">
        <f>H6*7/6</f>
        <v>0.71866666666666668</v>
      </c>
      <c r="I64" s="11">
        <f t="shared" si="47"/>
        <v>5.7500000000000002E-2</v>
      </c>
      <c r="J64" s="10">
        <v>2</v>
      </c>
      <c r="K64" s="10">
        <v>0</v>
      </c>
      <c r="L64" s="2">
        <v>1</v>
      </c>
      <c r="M64" s="16">
        <v>1</v>
      </c>
      <c r="N64" s="5">
        <f>(ROUND(B64*1.2,0)+18)*3/4</f>
        <v>21</v>
      </c>
      <c r="O64" s="9">
        <f t="shared" si="48"/>
        <v>7.5999000000000008</v>
      </c>
      <c r="P64">
        <f t="shared" si="49"/>
        <v>164.3</v>
      </c>
      <c r="S64" t="s">
        <v>72</v>
      </c>
      <c r="T64" t="s">
        <v>93</v>
      </c>
    </row>
    <row r="65" spans="1:20" x14ac:dyDescent="0.4">
      <c r="A65" t="s">
        <v>58</v>
      </c>
      <c r="B65">
        <v>13</v>
      </c>
      <c r="C65">
        <f>10*B65/2</f>
        <v>65</v>
      </c>
      <c r="D65">
        <f>ROUND(225*3/4, 0)+1</f>
        <v>170</v>
      </c>
      <c r="E65">
        <f>B65</f>
        <v>13</v>
      </c>
      <c r="F65" s="2">
        <v>0</v>
      </c>
      <c r="G65">
        <f>ROUND(G7*3/4, 0)</f>
        <v>16</v>
      </c>
      <c r="H65" s="6">
        <f>H7*5/6</f>
        <v>0.52666666666666673</v>
      </c>
      <c r="I65" s="11">
        <f t="shared" si="47"/>
        <v>6.5000000000000002E-2</v>
      </c>
      <c r="J65" s="10">
        <v>2</v>
      </c>
      <c r="K65" s="10">
        <v>0</v>
      </c>
      <c r="L65" s="2">
        <v>1</v>
      </c>
      <c r="M65" s="16">
        <v>1</v>
      </c>
      <c r="N65" s="5">
        <f>(ROUND(B65*1.2,0)+18)/2</f>
        <v>17</v>
      </c>
      <c r="O65" s="9">
        <f t="shared" si="48"/>
        <v>8.974400000000001</v>
      </c>
      <c r="P65">
        <f t="shared" si="49"/>
        <v>192.1</v>
      </c>
      <c r="S65" t="s">
        <v>71</v>
      </c>
      <c r="T65" t="s">
        <v>93</v>
      </c>
    </row>
    <row r="66" spans="1:20" x14ac:dyDescent="0.4">
      <c r="A66" t="s">
        <v>60</v>
      </c>
      <c r="B66">
        <v>18</v>
      </c>
      <c r="C66">
        <f>10*B66*3/4</f>
        <v>135</v>
      </c>
      <c r="D66">
        <f>ROUND(285*5/6,0)+2</f>
        <v>240</v>
      </c>
      <c r="E66">
        <f>B66-3</f>
        <v>15</v>
      </c>
      <c r="F66" s="2">
        <v>0</v>
      </c>
      <c r="G66">
        <f>ROUND(G8*4/5, 0)</f>
        <v>22</v>
      </c>
      <c r="H66" s="6">
        <f>H8*7/6</f>
        <v>0.75600000000000012</v>
      </c>
      <c r="I66" s="11">
        <f t="shared" si="47"/>
        <v>7.2500000000000009E-2</v>
      </c>
      <c r="J66" s="10">
        <v>2</v>
      </c>
      <c r="K66" s="10">
        <v>0</v>
      </c>
      <c r="L66" s="2">
        <v>1</v>
      </c>
      <c r="M66" s="16">
        <v>1</v>
      </c>
      <c r="N66" s="5">
        <f>(ROUND(B66*1.2,0)+18)*3/4</f>
        <v>30</v>
      </c>
      <c r="O66" s="9">
        <f t="shared" si="48"/>
        <v>17.837820000000001</v>
      </c>
      <c r="P66">
        <f t="shared" si="49"/>
        <v>276</v>
      </c>
      <c r="S66" t="s">
        <v>73</v>
      </c>
      <c r="T66" t="s">
        <v>93</v>
      </c>
    </row>
    <row r="67" spans="1:20" x14ac:dyDescent="0.4">
      <c r="A67" t="s">
        <v>233</v>
      </c>
      <c r="B67">
        <v>20</v>
      </c>
      <c r="C67">
        <f>10*B67/2</f>
        <v>100</v>
      </c>
      <c r="D67">
        <f>ROUND(305*3/4, 0)+1</f>
        <v>230</v>
      </c>
      <c r="E67">
        <f>B67</f>
        <v>20</v>
      </c>
      <c r="F67" s="2">
        <v>0</v>
      </c>
      <c r="G67">
        <f>ROUND(G9*3/4, 0)</f>
        <v>23</v>
      </c>
      <c r="H67" s="6">
        <f>H9*5/6</f>
        <v>0.54533333333333334</v>
      </c>
      <c r="I67" s="11">
        <f t="shared" si="47"/>
        <v>7.5500000000000012E-2</v>
      </c>
      <c r="J67" s="10">
        <v>2</v>
      </c>
      <c r="K67" s="10">
        <v>0</v>
      </c>
      <c r="L67" s="2">
        <v>1</v>
      </c>
      <c r="M67" s="16">
        <v>1</v>
      </c>
      <c r="N67" s="5">
        <f>(ROUND(B67*1.2,0)+18)/2</f>
        <v>21</v>
      </c>
      <c r="O67" s="9">
        <f t="shared" ref="O67:O68" si="50">G67*H67*(1+I67)</f>
        <v>13.489637999999999</v>
      </c>
      <c r="P67">
        <f t="shared" ref="P67:P68" si="51">D67*(1+E67/100)</f>
        <v>276</v>
      </c>
      <c r="S67" t="s">
        <v>71</v>
      </c>
      <c r="T67" t="s">
        <v>93</v>
      </c>
    </row>
    <row r="68" spans="1:20" x14ac:dyDescent="0.4">
      <c r="A68" t="s">
        <v>234</v>
      </c>
      <c r="B68">
        <v>21</v>
      </c>
      <c r="C68">
        <f>10*B68*3/4+2.5</f>
        <v>160</v>
      </c>
      <c r="D68">
        <f>ROUND(325*5/6,0)-1</f>
        <v>270</v>
      </c>
      <c r="E68">
        <f>B68-3</f>
        <v>18</v>
      </c>
      <c r="F68" s="2">
        <v>0</v>
      </c>
      <c r="G68">
        <f>ROUND(G10*4/5, 0)</f>
        <v>26</v>
      </c>
      <c r="H68" s="6">
        <f>H10*7/6</f>
        <v>0.76719999999999999</v>
      </c>
      <c r="I68" s="11">
        <f t="shared" si="47"/>
        <v>7.6999999999999999E-2</v>
      </c>
      <c r="J68" s="10">
        <v>2</v>
      </c>
      <c r="K68" s="10">
        <v>0</v>
      </c>
      <c r="L68" s="2">
        <v>1</v>
      </c>
      <c r="M68" s="16">
        <v>1</v>
      </c>
      <c r="N68" s="5">
        <f>(ROUND(B68*1.2,0)+18)*3/4</f>
        <v>32.25</v>
      </c>
      <c r="O68" s="9">
        <f t="shared" si="50"/>
        <v>21.483134399999997</v>
      </c>
      <c r="P68">
        <f t="shared" si="51"/>
        <v>318.59999999999997</v>
      </c>
      <c r="S68" t="s">
        <v>73</v>
      </c>
      <c r="T68" t="s">
        <v>93</v>
      </c>
    </row>
    <row r="69" spans="1:20" x14ac:dyDescent="0.4">
      <c r="A69" t="s">
        <v>66</v>
      </c>
      <c r="B69">
        <v>23</v>
      </c>
      <c r="C69">
        <f>10*B69/2</f>
        <v>115</v>
      </c>
      <c r="D69">
        <f>ROUND(340*3/4, 0)</f>
        <v>255</v>
      </c>
      <c r="E69">
        <f>B69</f>
        <v>23</v>
      </c>
      <c r="F69" s="2">
        <v>0</v>
      </c>
      <c r="G69">
        <f>ROUND(G11*3/4, 0)</f>
        <v>27</v>
      </c>
      <c r="H69" s="6">
        <f>H11*5/6</f>
        <v>0.55333333333333334</v>
      </c>
      <c r="I69" s="11">
        <f t="shared" si="47"/>
        <v>0.08</v>
      </c>
      <c r="J69" s="10">
        <v>2</v>
      </c>
      <c r="K69" s="10">
        <v>0</v>
      </c>
      <c r="L69" s="2">
        <v>1</v>
      </c>
      <c r="M69" s="16">
        <v>1</v>
      </c>
      <c r="N69" s="5">
        <f>(ROUND(B69*1.2,0)+18)/2</f>
        <v>23</v>
      </c>
      <c r="O69" s="9">
        <f t="shared" si="48"/>
        <v>16.135200000000001</v>
      </c>
      <c r="P69">
        <f t="shared" si="49"/>
        <v>313.64999999999998</v>
      </c>
      <c r="S69" t="s">
        <v>71</v>
      </c>
      <c r="T69" t="s">
        <v>93</v>
      </c>
    </row>
    <row r="70" spans="1:20" x14ac:dyDescent="0.4">
      <c r="A70" t="s">
        <v>64</v>
      </c>
      <c r="B70">
        <v>28</v>
      </c>
      <c r="C70">
        <f>10*B70*3/4</f>
        <v>210</v>
      </c>
      <c r="D70">
        <f>ROUND(405*5/6,0)+2</f>
        <v>340</v>
      </c>
      <c r="E70">
        <f>B70-3</f>
        <v>25</v>
      </c>
      <c r="F70" s="2">
        <v>0</v>
      </c>
      <c r="G70">
        <f>ROUND(G12*4/5, 0)</f>
        <v>34</v>
      </c>
      <c r="H70" s="6">
        <f>H12*7/6</f>
        <v>0.79333333333333345</v>
      </c>
      <c r="I70" s="11">
        <f t="shared" si="47"/>
        <v>8.7499999999999994E-2</v>
      </c>
      <c r="J70" s="10">
        <v>2</v>
      </c>
      <c r="K70" s="10">
        <v>0</v>
      </c>
      <c r="L70" s="2">
        <v>1</v>
      </c>
      <c r="M70" s="16">
        <v>1</v>
      </c>
      <c r="N70" s="5">
        <f>(ROUND(B70*1.2,0)+18)*3/4</f>
        <v>39</v>
      </c>
      <c r="O70" s="9">
        <f t="shared" si="48"/>
        <v>29.333500000000001</v>
      </c>
      <c r="P70">
        <f t="shared" si="49"/>
        <v>425</v>
      </c>
      <c r="S70" t="s">
        <v>73</v>
      </c>
      <c r="T70" t="s">
        <v>93</v>
      </c>
    </row>
    <row r="71" spans="1:20" x14ac:dyDescent="0.4">
      <c r="A71" t="s">
        <v>67</v>
      </c>
      <c r="B71">
        <v>33</v>
      </c>
      <c r="C71">
        <f>10*B71/2</f>
        <v>165</v>
      </c>
      <c r="D71">
        <f>ROUND(465*3/4, 0)+1</f>
        <v>350</v>
      </c>
      <c r="E71">
        <f>B71</f>
        <v>33</v>
      </c>
      <c r="F71" s="2">
        <v>0</v>
      </c>
      <c r="G71">
        <f>ROUND(G13*3/4, 0)</f>
        <v>38</v>
      </c>
      <c r="H71" s="6">
        <f>H13*5/6</f>
        <v>0.58000000000000007</v>
      </c>
      <c r="I71" s="11">
        <f t="shared" si="47"/>
        <v>9.5000000000000001E-2</v>
      </c>
      <c r="J71" s="10">
        <v>2</v>
      </c>
      <c r="K71" s="10">
        <v>0</v>
      </c>
      <c r="L71" s="2">
        <v>1</v>
      </c>
      <c r="M71" s="16">
        <v>1</v>
      </c>
      <c r="N71" s="5">
        <f>(ROUND(B71*1.2,0)+18)/2</f>
        <v>29</v>
      </c>
      <c r="O71" s="9">
        <f t="shared" si="48"/>
        <v>24.133800000000001</v>
      </c>
      <c r="P71">
        <f t="shared" si="49"/>
        <v>465.5</v>
      </c>
      <c r="S71" t="s">
        <v>71</v>
      </c>
      <c r="T71" t="s">
        <v>93</v>
      </c>
    </row>
    <row r="72" spans="1:20" x14ac:dyDescent="0.4">
      <c r="A72" t="s">
        <v>69</v>
      </c>
      <c r="B72">
        <v>38</v>
      </c>
      <c r="C72">
        <f>10*B72+60</f>
        <v>440</v>
      </c>
      <c r="D72">
        <v>520</v>
      </c>
      <c r="E72">
        <f>B72*1.5</f>
        <v>57</v>
      </c>
      <c r="F72" s="2">
        <v>0</v>
      </c>
      <c r="G72">
        <f>G14</f>
        <v>58</v>
      </c>
      <c r="H72" s="6">
        <f>H14</f>
        <v>0.71200000000000008</v>
      </c>
      <c r="I72" s="11">
        <f t="shared" si="47"/>
        <v>0.10250000000000001</v>
      </c>
      <c r="J72" s="10">
        <v>2</v>
      </c>
      <c r="K72" s="10">
        <v>0</v>
      </c>
      <c r="L72" s="2">
        <v>1</v>
      </c>
      <c r="M72" s="16">
        <v>1</v>
      </c>
      <c r="N72" s="5">
        <f>(ROUND(B72,0)+18)</f>
        <v>56</v>
      </c>
      <c r="O72" s="9">
        <f t="shared" si="48"/>
        <v>45.52884000000001</v>
      </c>
      <c r="P72">
        <f t="shared" si="49"/>
        <v>816.39999999999986</v>
      </c>
      <c r="Q72" t="s">
        <v>65</v>
      </c>
      <c r="S72" t="s">
        <v>70</v>
      </c>
      <c r="T72" t="s">
        <v>94</v>
      </c>
    </row>
    <row r="73" spans="1:20" x14ac:dyDescent="0.4">
      <c r="A73" t="s">
        <v>235</v>
      </c>
      <c r="B73">
        <v>40</v>
      </c>
      <c r="C73">
        <f>10*B73/2</f>
        <v>200</v>
      </c>
      <c r="D73">
        <f>ROUND(500*3/4, 0)+1</f>
        <v>376</v>
      </c>
      <c r="E73">
        <f>B73</f>
        <v>40</v>
      </c>
      <c r="F73" s="2">
        <v>0</v>
      </c>
      <c r="G73">
        <f>ROUND(G15*3/4, 0)</f>
        <v>46</v>
      </c>
      <c r="H73" s="6">
        <f>H15*5/6</f>
        <v>0.59866666666666668</v>
      </c>
      <c r="I73" s="11">
        <f t="shared" si="47"/>
        <v>0.10550000000000001</v>
      </c>
      <c r="J73" s="10">
        <v>2</v>
      </c>
      <c r="K73" s="10">
        <v>0</v>
      </c>
      <c r="L73" s="2">
        <v>1</v>
      </c>
      <c r="M73" s="16">
        <v>1</v>
      </c>
      <c r="N73" s="5">
        <f>(ROUND(B73*1.2,0)+18)/2</f>
        <v>33</v>
      </c>
      <c r="O73" s="9">
        <f t="shared" ref="O73:O74" si="52">G73*H73*(1+I73)</f>
        <v>30.443995999999999</v>
      </c>
      <c r="P73">
        <f t="shared" ref="P73:P74" si="53">D73*(1+E73/100)</f>
        <v>526.4</v>
      </c>
      <c r="S73" t="s">
        <v>71</v>
      </c>
      <c r="T73" t="s">
        <v>93</v>
      </c>
    </row>
    <row r="74" spans="1:20" x14ac:dyDescent="0.4">
      <c r="A74" t="s">
        <v>237</v>
      </c>
      <c r="B74">
        <v>41</v>
      </c>
      <c r="C74">
        <f>10*B74+60</f>
        <v>470</v>
      </c>
      <c r="D74">
        <v>560</v>
      </c>
      <c r="E74">
        <f>B74*1.5-0.5</f>
        <v>61</v>
      </c>
      <c r="F74" s="2">
        <v>0</v>
      </c>
      <c r="G74">
        <f>G16</f>
        <v>63</v>
      </c>
      <c r="H74" s="6">
        <f>H16</f>
        <v>0.72160000000000002</v>
      </c>
      <c r="I74" s="11">
        <f t="shared" si="47"/>
        <v>0.107</v>
      </c>
      <c r="J74" s="10">
        <v>2</v>
      </c>
      <c r="K74" s="10">
        <v>0</v>
      </c>
      <c r="L74" s="2">
        <v>1</v>
      </c>
      <c r="M74" s="16">
        <v>1</v>
      </c>
      <c r="N74" s="5">
        <f>(ROUND(B74,0)+18)</f>
        <v>59</v>
      </c>
      <c r="O74" s="9">
        <f t="shared" si="52"/>
        <v>50.325105600000001</v>
      </c>
      <c r="P74">
        <f t="shared" si="53"/>
        <v>901.59999999999991</v>
      </c>
      <c r="Q74" t="s">
        <v>65</v>
      </c>
      <c r="S74" t="s">
        <v>70</v>
      </c>
      <c r="T74" t="s">
        <v>94</v>
      </c>
    </row>
    <row r="75" spans="1:20" x14ac:dyDescent="0.4">
      <c r="A75" t="s">
        <v>236</v>
      </c>
      <c r="B75">
        <v>43</v>
      </c>
      <c r="C75">
        <f>10*B75/2</f>
        <v>215</v>
      </c>
      <c r="D75">
        <f>ROUND(580*3/4, 0)</f>
        <v>435</v>
      </c>
      <c r="E75">
        <f>B75</f>
        <v>43</v>
      </c>
      <c r="F75" s="2">
        <v>0</v>
      </c>
      <c r="G75">
        <f>ROUND(G17*3/4, 0)</f>
        <v>50</v>
      </c>
      <c r="H75" s="6">
        <f>H17*5/6</f>
        <v>0.60666666666666658</v>
      </c>
      <c r="I75" s="11">
        <f t="shared" si="47"/>
        <v>0.11</v>
      </c>
      <c r="J75" s="10">
        <v>2</v>
      </c>
      <c r="K75" s="10">
        <v>0.25</v>
      </c>
      <c r="L75" s="2">
        <v>1</v>
      </c>
      <c r="M75" s="16">
        <v>1</v>
      </c>
      <c r="N75" s="5">
        <f>(ROUND(B75*1.2,0)+18)/2</f>
        <v>35</v>
      </c>
      <c r="O75" s="9">
        <f t="shared" si="48"/>
        <v>33.669999999999995</v>
      </c>
      <c r="P75">
        <f t="shared" si="49"/>
        <v>622.04999999999995</v>
      </c>
      <c r="S75" t="s">
        <v>74</v>
      </c>
      <c r="T75" t="s">
        <v>93</v>
      </c>
    </row>
    <row r="76" spans="1:20" x14ac:dyDescent="0.4">
      <c r="A76" t="s">
        <v>68</v>
      </c>
      <c r="B76">
        <v>48</v>
      </c>
      <c r="C76">
        <f>10*B76*1.25</f>
        <v>600</v>
      </c>
      <c r="D76">
        <v>640</v>
      </c>
      <c r="E76">
        <f>B76*1.5</f>
        <v>72</v>
      </c>
      <c r="F76" s="2">
        <v>0</v>
      </c>
      <c r="G76">
        <f>ROUND(G18*1.1, 0)</f>
        <v>80</v>
      </c>
      <c r="H76" s="6">
        <f t="shared" ref="H76:H82" si="54">H18</f>
        <v>0.74399999999999999</v>
      </c>
      <c r="I76" s="11">
        <f t="shared" si="47"/>
        <v>0.11750000000000001</v>
      </c>
      <c r="J76" s="10">
        <v>2</v>
      </c>
      <c r="K76" s="10">
        <v>0</v>
      </c>
      <c r="L76" s="2">
        <v>1</v>
      </c>
      <c r="M76" s="16">
        <v>1</v>
      </c>
      <c r="N76" s="5">
        <f>(ROUND(B76,0)+18)</f>
        <v>66</v>
      </c>
      <c r="O76" s="9">
        <f t="shared" si="48"/>
        <v>66.513599999999997</v>
      </c>
      <c r="P76">
        <f t="shared" si="49"/>
        <v>1100.8</v>
      </c>
      <c r="S76" t="s">
        <v>75</v>
      </c>
      <c r="T76" t="s">
        <v>94</v>
      </c>
    </row>
    <row r="77" spans="1:20" x14ac:dyDescent="0.4">
      <c r="A77" t="s">
        <v>76</v>
      </c>
      <c r="B77">
        <v>53</v>
      </c>
      <c r="C77">
        <f>10*B77*3/4+2.5</f>
        <v>400</v>
      </c>
      <c r="D77">
        <f>ROUND(705*5/6,0)+2</f>
        <v>590</v>
      </c>
      <c r="E77">
        <f t="shared" ref="E77:E82" si="55">B77</f>
        <v>53</v>
      </c>
      <c r="F77" s="2">
        <v>0</v>
      </c>
      <c r="G77">
        <f t="shared" ref="G77:G82" si="56">ROUND(G19*5/6, 0)</f>
        <v>68</v>
      </c>
      <c r="H77" s="6">
        <f t="shared" si="54"/>
        <v>0.76</v>
      </c>
      <c r="I77" s="11">
        <f t="shared" si="47"/>
        <v>0.125</v>
      </c>
      <c r="J77" s="10">
        <v>2</v>
      </c>
      <c r="K77" s="10">
        <v>0.3</v>
      </c>
      <c r="L77" s="2">
        <v>1</v>
      </c>
      <c r="M77" s="16">
        <v>1</v>
      </c>
      <c r="N77" s="5">
        <f t="shared" ref="N77:N82" si="57">(ROUND(B77*1.2,0)+18)*3/4</f>
        <v>61.5</v>
      </c>
      <c r="O77" s="9">
        <f t="shared" si="48"/>
        <v>58.14</v>
      </c>
      <c r="P77">
        <f t="shared" si="49"/>
        <v>902.7</v>
      </c>
      <c r="R77" t="s">
        <v>79</v>
      </c>
      <c r="S77" t="s">
        <v>90</v>
      </c>
      <c r="T77" t="s">
        <v>95</v>
      </c>
    </row>
    <row r="78" spans="1:20" x14ac:dyDescent="0.4">
      <c r="A78" t="s">
        <v>77</v>
      </c>
      <c r="B78">
        <v>58</v>
      </c>
      <c r="C78">
        <f>10*B78*3/4</f>
        <v>435</v>
      </c>
      <c r="D78">
        <f>ROUND(765*5/6,0)+2</f>
        <v>640</v>
      </c>
      <c r="E78">
        <f t="shared" si="55"/>
        <v>58</v>
      </c>
      <c r="F78" s="2">
        <v>0</v>
      </c>
      <c r="G78">
        <f t="shared" si="56"/>
        <v>73</v>
      </c>
      <c r="H78" s="6">
        <f t="shared" si="54"/>
        <v>0.77600000000000002</v>
      </c>
      <c r="I78" s="11">
        <f t="shared" si="47"/>
        <v>0.13250000000000001</v>
      </c>
      <c r="J78" s="10">
        <v>2</v>
      </c>
      <c r="K78" s="10">
        <v>0.2</v>
      </c>
      <c r="L78" s="2">
        <v>1</v>
      </c>
      <c r="M78" s="16">
        <v>2</v>
      </c>
      <c r="N78" s="5">
        <f t="shared" si="57"/>
        <v>66</v>
      </c>
      <c r="O78" s="9">
        <f t="shared" si="48"/>
        <v>64.153860000000009</v>
      </c>
      <c r="P78">
        <f t="shared" si="49"/>
        <v>1011.2</v>
      </c>
      <c r="R78" t="s">
        <v>78</v>
      </c>
      <c r="S78" t="s">
        <v>80</v>
      </c>
      <c r="T78" t="s">
        <v>95</v>
      </c>
    </row>
    <row r="79" spans="1:20" x14ac:dyDescent="0.4">
      <c r="A79" t="s">
        <v>238</v>
      </c>
      <c r="B79">
        <v>60</v>
      </c>
      <c r="C79">
        <f>10*B79*3/4</f>
        <v>450</v>
      </c>
      <c r="D79">
        <f>ROUND(705*5/6,0)+2</f>
        <v>590</v>
      </c>
      <c r="E79">
        <f t="shared" si="55"/>
        <v>60</v>
      </c>
      <c r="F79" s="2">
        <v>0</v>
      </c>
      <c r="G79">
        <f t="shared" si="56"/>
        <v>76</v>
      </c>
      <c r="H79" s="6">
        <f t="shared" si="54"/>
        <v>0.78239999999999998</v>
      </c>
      <c r="I79" s="11">
        <f t="shared" si="47"/>
        <v>0.13550000000000001</v>
      </c>
      <c r="J79" s="10">
        <v>2</v>
      </c>
      <c r="K79" s="10">
        <v>0.3</v>
      </c>
      <c r="L79" s="2">
        <v>1</v>
      </c>
      <c r="M79" s="16">
        <v>1</v>
      </c>
      <c r="N79" s="5">
        <f t="shared" si="57"/>
        <v>67.5</v>
      </c>
      <c r="O79" s="9">
        <f t="shared" ref="O79:O80" si="58">G79*H79*(1+I79)</f>
        <v>67.519555199999999</v>
      </c>
      <c r="P79">
        <f t="shared" ref="P79:P80" si="59">D79*(1+E79/100)</f>
        <v>944</v>
      </c>
      <c r="R79" t="s">
        <v>79</v>
      </c>
      <c r="S79" t="s">
        <v>90</v>
      </c>
      <c r="T79" t="s">
        <v>95</v>
      </c>
    </row>
    <row r="80" spans="1:20" x14ac:dyDescent="0.4">
      <c r="A80" t="s">
        <v>239</v>
      </c>
      <c r="B80">
        <v>61</v>
      </c>
      <c r="C80">
        <f>10*B80*3/4+2.5</f>
        <v>460</v>
      </c>
      <c r="D80">
        <f>ROUND(765*5/6,0)+2</f>
        <v>640</v>
      </c>
      <c r="E80">
        <f t="shared" si="55"/>
        <v>61</v>
      </c>
      <c r="F80" s="2">
        <v>0</v>
      </c>
      <c r="G80">
        <f t="shared" si="56"/>
        <v>78</v>
      </c>
      <c r="H80" s="6">
        <f t="shared" si="54"/>
        <v>0.78560000000000008</v>
      </c>
      <c r="I80" s="11">
        <f t="shared" si="47"/>
        <v>0.13700000000000001</v>
      </c>
      <c r="J80" s="10">
        <v>2</v>
      </c>
      <c r="K80" s="10">
        <v>0.2</v>
      </c>
      <c r="L80" s="2">
        <v>1</v>
      </c>
      <c r="M80" s="16">
        <v>2</v>
      </c>
      <c r="N80" s="5">
        <f t="shared" si="57"/>
        <v>68.25</v>
      </c>
      <c r="O80" s="9">
        <f t="shared" si="58"/>
        <v>69.671721600000012</v>
      </c>
      <c r="P80">
        <f t="shared" si="59"/>
        <v>1030.3999999999999</v>
      </c>
      <c r="R80" t="s">
        <v>78</v>
      </c>
      <c r="S80" t="s">
        <v>80</v>
      </c>
      <c r="T80" t="s">
        <v>95</v>
      </c>
    </row>
    <row r="81" spans="1:20" x14ac:dyDescent="0.4">
      <c r="A81" t="s">
        <v>81</v>
      </c>
      <c r="B81">
        <v>63</v>
      </c>
      <c r="C81">
        <f>10*B81*3/4+2.5</f>
        <v>475</v>
      </c>
      <c r="D81">
        <f>ROUND(825*5/6,0)+2</f>
        <v>690</v>
      </c>
      <c r="E81">
        <f t="shared" si="55"/>
        <v>63</v>
      </c>
      <c r="F81" s="2">
        <v>0</v>
      </c>
      <c r="G81">
        <f t="shared" si="56"/>
        <v>80</v>
      </c>
      <c r="H81" s="6">
        <f t="shared" si="54"/>
        <v>0.79200000000000004</v>
      </c>
      <c r="I81" s="11">
        <f t="shared" si="47"/>
        <v>0.14000000000000001</v>
      </c>
      <c r="J81" s="10">
        <v>2</v>
      </c>
      <c r="K81" s="10">
        <v>0.3</v>
      </c>
      <c r="L81" s="2">
        <v>1</v>
      </c>
      <c r="M81" s="16">
        <v>1</v>
      </c>
      <c r="N81" s="5">
        <f t="shared" si="57"/>
        <v>70.5</v>
      </c>
      <c r="O81" s="9">
        <f t="shared" si="48"/>
        <v>72.230400000000003</v>
      </c>
      <c r="P81">
        <f t="shared" si="49"/>
        <v>1124.6999999999998</v>
      </c>
      <c r="R81" t="s">
        <v>79</v>
      </c>
      <c r="S81" t="s">
        <v>90</v>
      </c>
      <c r="T81" t="s">
        <v>95</v>
      </c>
    </row>
    <row r="82" spans="1:20" x14ac:dyDescent="0.4">
      <c r="A82" t="s">
        <v>82</v>
      </c>
      <c r="B82">
        <v>68</v>
      </c>
      <c r="C82">
        <f>10*B82*3/4</f>
        <v>510</v>
      </c>
      <c r="D82">
        <f>ROUND(890*5/6,0)+3</f>
        <v>745</v>
      </c>
      <c r="E82">
        <f t="shared" si="55"/>
        <v>68</v>
      </c>
      <c r="F82" s="2">
        <v>0</v>
      </c>
      <c r="G82">
        <f t="shared" si="56"/>
        <v>86</v>
      </c>
      <c r="H82" s="6">
        <f t="shared" si="54"/>
        <v>0.80800000000000005</v>
      </c>
      <c r="I82" s="11">
        <f t="shared" si="47"/>
        <v>0.14750000000000002</v>
      </c>
      <c r="J82" s="10">
        <v>2</v>
      </c>
      <c r="K82" s="10">
        <v>0.2</v>
      </c>
      <c r="L82" s="2">
        <v>1</v>
      </c>
      <c r="M82" s="16">
        <v>2</v>
      </c>
      <c r="N82" s="5">
        <f t="shared" si="57"/>
        <v>75</v>
      </c>
      <c r="O82" s="9">
        <f t="shared" si="48"/>
        <v>79.737479999999991</v>
      </c>
      <c r="P82">
        <f t="shared" si="49"/>
        <v>1251.6000000000001</v>
      </c>
      <c r="R82" t="s">
        <v>78</v>
      </c>
      <c r="S82" t="s">
        <v>80</v>
      </c>
      <c r="T82" t="s">
        <v>95</v>
      </c>
    </row>
    <row r="83" spans="1:20" x14ac:dyDescent="0.4">
      <c r="A83" t="s">
        <v>84</v>
      </c>
      <c r="B83">
        <v>73</v>
      </c>
      <c r="C83">
        <f>10*B83/2</f>
        <v>365</v>
      </c>
      <c r="D83">
        <v>980</v>
      </c>
      <c r="E83">
        <f>B83+7</f>
        <v>80</v>
      </c>
      <c r="F83" s="2">
        <v>0</v>
      </c>
      <c r="G83">
        <f>G25</f>
        <v>111</v>
      </c>
      <c r="H83" s="6">
        <f>H25*3/4</f>
        <v>0.6180000000000001</v>
      </c>
      <c r="I83" s="11">
        <f t="shared" si="47"/>
        <v>0.155</v>
      </c>
      <c r="J83" s="10">
        <v>2</v>
      </c>
      <c r="K83" s="10">
        <v>0.4</v>
      </c>
      <c r="L83" s="2">
        <v>1</v>
      </c>
      <c r="M83" s="16">
        <v>1</v>
      </c>
      <c r="N83" s="5">
        <f>(ROUND(B83*1.2,0)+18)/2</f>
        <v>53</v>
      </c>
      <c r="O83" s="9">
        <f t="shared" si="48"/>
        <v>79.230690000000024</v>
      </c>
      <c r="P83">
        <f t="shared" si="49"/>
        <v>1764</v>
      </c>
      <c r="R83" t="s">
        <v>87</v>
      </c>
      <c r="S83" t="s">
        <v>97</v>
      </c>
      <c r="T83" t="s">
        <v>96</v>
      </c>
    </row>
    <row r="84" spans="1:20" x14ac:dyDescent="0.4">
      <c r="A84" t="s">
        <v>85</v>
      </c>
      <c r="B84">
        <v>78</v>
      </c>
      <c r="C84">
        <f>10*B84*1.2-1</f>
        <v>935</v>
      </c>
      <c r="D84">
        <v>900</v>
      </c>
      <c r="E84">
        <f>ROUND(B84*1.7, 0)</f>
        <v>133</v>
      </c>
      <c r="F84" s="2">
        <v>0</v>
      </c>
      <c r="G84">
        <f>G26</f>
        <v>118</v>
      </c>
      <c r="H84" s="6">
        <f>H26</f>
        <v>0.84000000000000008</v>
      </c>
      <c r="I84" s="11">
        <f t="shared" si="47"/>
        <v>0.16249999999999998</v>
      </c>
      <c r="J84" s="10">
        <v>2</v>
      </c>
      <c r="K84" s="10">
        <v>0.2</v>
      </c>
      <c r="L84" s="2">
        <v>1</v>
      </c>
      <c r="M84" s="16">
        <v>1</v>
      </c>
      <c r="N84" s="5">
        <f>(ROUND(B84,0)+18)</f>
        <v>96</v>
      </c>
      <c r="O84" s="9">
        <f t="shared" si="48"/>
        <v>115.22700000000002</v>
      </c>
      <c r="P84">
        <f t="shared" si="49"/>
        <v>2097</v>
      </c>
      <c r="Q84" t="s">
        <v>101</v>
      </c>
      <c r="R84" t="s">
        <v>86</v>
      </c>
      <c r="S84" t="s">
        <v>99</v>
      </c>
      <c r="T84" t="s">
        <v>96</v>
      </c>
    </row>
    <row r="85" spans="1:20" x14ac:dyDescent="0.4">
      <c r="A85" t="s">
        <v>88</v>
      </c>
      <c r="B85">
        <v>83</v>
      </c>
      <c r="C85">
        <f>10*B85/2</f>
        <v>415</v>
      </c>
      <c r="D85">
        <v>1100</v>
      </c>
      <c r="E85">
        <f>B85+7</f>
        <v>90</v>
      </c>
      <c r="F85" s="2">
        <v>0</v>
      </c>
      <c r="G85">
        <f>G29</f>
        <v>126</v>
      </c>
      <c r="H85" s="6">
        <f>H29*3/4</f>
        <v>0.64200000000000013</v>
      </c>
      <c r="I85" s="11">
        <f t="shared" si="47"/>
        <v>0.16999999999999998</v>
      </c>
      <c r="J85" s="10">
        <v>2</v>
      </c>
      <c r="K85" s="10">
        <v>0.4</v>
      </c>
      <c r="L85" s="2">
        <v>1</v>
      </c>
      <c r="M85" s="16">
        <v>1</v>
      </c>
      <c r="N85" s="5">
        <f>(ROUND(B85*1.2,0)+18)/2</f>
        <v>59</v>
      </c>
      <c r="O85" s="9">
        <f t="shared" si="48"/>
        <v>94.643640000000005</v>
      </c>
      <c r="P85">
        <f t="shared" si="49"/>
        <v>2090</v>
      </c>
      <c r="R85" t="s">
        <v>89</v>
      </c>
      <c r="S85" t="s">
        <v>98</v>
      </c>
      <c r="T85" t="s">
        <v>96</v>
      </c>
    </row>
    <row r="86" spans="1:20" x14ac:dyDescent="0.4">
      <c r="A86" t="s">
        <v>91</v>
      </c>
      <c r="B86">
        <v>88</v>
      </c>
      <c r="C86">
        <f>10*B86*1.2-1</f>
        <v>1055</v>
      </c>
      <c r="D86">
        <v>980</v>
      </c>
      <c r="E86">
        <f>ROUND(B86*1.7, 0)</f>
        <v>150</v>
      </c>
      <c r="F86" s="2">
        <v>0</v>
      </c>
      <c r="G86">
        <f>G30</f>
        <v>133</v>
      </c>
      <c r="H86" s="6">
        <f>H30</f>
        <v>0.87200000000000011</v>
      </c>
      <c r="I86" s="11">
        <f t="shared" si="47"/>
        <v>0.17749999999999999</v>
      </c>
      <c r="J86" s="10">
        <v>2</v>
      </c>
      <c r="K86" s="10">
        <v>0.2</v>
      </c>
      <c r="L86" s="2">
        <v>1</v>
      </c>
      <c r="M86" s="16">
        <v>1</v>
      </c>
      <c r="N86" s="5">
        <f>(ROUND(B86,0)+18)</f>
        <v>106</v>
      </c>
      <c r="O86" s="9">
        <f t="shared" si="48"/>
        <v>136.56174000000001</v>
      </c>
      <c r="P86">
        <f t="shared" si="49"/>
        <v>2450</v>
      </c>
      <c r="Q86" t="s">
        <v>100</v>
      </c>
      <c r="R86" t="s">
        <v>92</v>
      </c>
      <c r="S86" t="s">
        <v>99</v>
      </c>
      <c r="T86" t="s">
        <v>96</v>
      </c>
    </row>
    <row r="87" spans="1:20" x14ac:dyDescent="0.4">
      <c r="B87">
        <v>93</v>
      </c>
      <c r="C87">
        <f>10*B87</f>
        <v>930</v>
      </c>
      <c r="D87">
        <v>1205</v>
      </c>
      <c r="E87">
        <f>B87</f>
        <v>93</v>
      </c>
      <c r="F87" s="2">
        <v>0</v>
      </c>
      <c r="G87">
        <f>ROUND(2+2.2*B87, 0)</f>
        <v>207</v>
      </c>
      <c r="H87" s="6">
        <f>0.591+0.003*B87</f>
        <v>0.87</v>
      </c>
      <c r="I87" s="11">
        <f t="shared" si="47"/>
        <v>0.185</v>
      </c>
      <c r="J87" s="10">
        <v>2</v>
      </c>
      <c r="K87" s="10">
        <v>0</v>
      </c>
      <c r="L87" s="2">
        <v>1</v>
      </c>
      <c r="M87" s="16">
        <v>1</v>
      </c>
      <c r="N87" s="5">
        <f>(ROUND(B87*0.9,0)+18)/2</f>
        <v>51</v>
      </c>
      <c r="O87" s="9">
        <f t="shared" si="48"/>
        <v>213.40665000000001</v>
      </c>
      <c r="P87">
        <f t="shared" si="49"/>
        <v>2325.65</v>
      </c>
    </row>
    <row r="88" spans="1:20" x14ac:dyDescent="0.4">
      <c r="B88">
        <v>98</v>
      </c>
      <c r="C88">
        <f>10*B88</f>
        <v>980</v>
      </c>
      <c r="D88">
        <v>1270</v>
      </c>
      <c r="E88">
        <f>B88</f>
        <v>98</v>
      </c>
      <c r="F88" s="2">
        <v>0</v>
      </c>
      <c r="G88">
        <f>ROUND(2+2.2*B88, 0)</f>
        <v>218</v>
      </c>
      <c r="H88" s="6">
        <f>0.591+0.003*B88</f>
        <v>0.88500000000000001</v>
      </c>
      <c r="I88" s="11">
        <f t="shared" si="47"/>
        <v>0.1925</v>
      </c>
      <c r="J88" s="10">
        <v>2</v>
      </c>
      <c r="K88" s="10">
        <v>0</v>
      </c>
      <c r="L88" s="2">
        <v>1</v>
      </c>
      <c r="M88" s="16">
        <v>1</v>
      </c>
      <c r="N88" s="5">
        <f>(ROUND(B88*0.9,0)+18)/2</f>
        <v>53</v>
      </c>
      <c r="O88" s="9">
        <f t="shared" si="48"/>
        <v>230.06902499999998</v>
      </c>
      <c r="P88">
        <f t="shared" si="49"/>
        <v>2514.6</v>
      </c>
    </row>
    <row r="91" spans="1:20" ht="19.8" thickBot="1" x14ac:dyDescent="0.45">
      <c r="A91" s="13" t="s">
        <v>105</v>
      </c>
      <c r="B91" t="s">
        <v>145</v>
      </c>
    </row>
    <row r="92" spans="1:20" ht="18" thickBot="1" x14ac:dyDescent="0.45">
      <c r="A92" s="36" t="s">
        <v>19</v>
      </c>
      <c r="B92" s="36" t="s">
        <v>18</v>
      </c>
      <c r="C92" s="36" t="s">
        <v>322</v>
      </c>
      <c r="D92" s="28" t="s">
        <v>301</v>
      </c>
      <c r="E92" s="28" t="s">
        <v>302</v>
      </c>
      <c r="F92" s="40" t="s">
        <v>303</v>
      </c>
      <c r="G92" s="37" t="s">
        <v>305</v>
      </c>
      <c r="H92" s="52" t="s">
        <v>306</v>
      </c>
      <c r="I92" s="37" t="s">
        <v>307</v>
      </c>
      <c r="J92" s="37" t="s">
        <v>308</v>
      </c>
      <c r="K92" s="37" t="s">
        <v>309</v>
      </c>
      <c r="L92" s="38" t="s">
        <v>310</v>
      </c>
      <c r="M92" s="38" t="s">
        <v>312</v>
      </c>
      <c r="N92" s="38" t="s">
        <v>324</v>
      </c>
      <c r="O92" s="23" t="s">
        <v>313</v>
      </c>
      <c r="P92" s="23" t="s">
        <v>314</v>
      </c>
      <c r="Q92" s="24" t="s">
        <v>325</v>
      </c>
      <c r="R92" s="41" t="s">
        <v>326</v>
      </c>
      <c r="S92" s="41" t="s">
        <v>327</v>
      </c>
      <c r="T92" s="41" t="s">
        <v>328</v>
      </c>
    </row>
    <row r="93" spans="1:20" ht="18" thickTop="1" x14ac:dyDescent="0.4">
      <c r="A93" t="s">
        <v>106</v>
      </c>
      <c r="B93">
        <v>3</v>
      </c>
      <c r="C93">
        <f>10*B93</f>
        <v>30</v>
      </c>
      <c r="D93">
        <f>130*1.3+1</f>
        <v>170</v>
      </c>
      <c r="E93">
        <f t="shared" ref="E93:E103" si="60">E5</f>
        <v>3</v>
      </c>
      <c r="F93" s="2">
        <v>0</v>
      </c>
      <c r="G93">
        <f t="shared" ref="G93:G99" si="61">ROUND(G5*4/5, 0)</f>
        <v>5</v>
      </c>
      <c r="H93" s="6">
        <f t="shared" ref="H93:H99" si="62">H5</f>
        <v>0.60000000000000009</v>
      </c>
      <c r="I93" s="11">
        <f>0.05+0.15*(-3+B93)%</f>
        <v>0.05</v>
      </c>
      <c r="J93" s="10">
        <v>2</v>
      </c>
      <c r="K93" s="10">
        <v>0</v>
      </c>
      <c r="L93" s="2">
        <v>1</v>
      </c>
      <c r="M93" s="16">
        <v>1</v>
      </c>
      <c r="N93" s="5">
        <f t="shared" ref="N93:N102" si="63">ROUND(B93,0)+18</f>
        <v>21</v>
      </c>
      <c r="O93" s="9">
        <f t="shared" ref="O93:O119" si="64">G93*H93*(1+I93)</f>
        <v>3.1500000000000008</v>
      </c>
      <c r="P93">
        <f t="shared" ref="P93:P119" si="65">D93*(1+E93/100)</f>
        <v>175.1</v>
      </c>
      <c r="S93" t="s">
        <v>110</v>
      </c>
      <c r="T93" t="s">
        <v>109</v>
      </c>
    </row>
    <row r="94" spans="1:20" x14ac:dyDescent="0.4">
      <c r="A94" t="s">
        <v>117</v>
      </c>
      <c r="B94">
        <v>8</v>
      </c>
      <c r="C94">
        <f>10*B94</f>
        <v>80</v>
      </c>
      <c r="D94">
        <f>185*1.3-0.5</f>
        <v>240</v>
      </c>
      <c r="E94">
        <f t="shared" si="60"/>
        <v>18</v>
      </c>
      <c r="F94" s="2">
        <v>0</v>
      </c>
      <c r="G94">
        <f t="shared" si="61"/>
        <v>10</v>
      </c>
      <c r="H94" s="6">
        <f t="shared" si="62"/>
        <v>0.61599999999999999</v>
      </c>
      <c r="I94" s="11">
        <f>0.05+0.15*(-3+B94)%</f>
        <v>5.7500000000000002E-2</v>
      </c>
      <c r="J94" s="10">
        <v>2</v>
      </c>
      <c r="K94" s="10">
        <v>0</v>
      </c>
      <c r="L94" s="2">
        <v>1</v>
      </c>
      <c r="M94" s="16">
        <v>1</v>
      </c>
      <c r="N94" s="5">
        <f t="shared" si="63"/>
        <v>26</v>
      </c>
      <c r="O94" s="9">
        <f t="shared" si="64"/>
        <v>6.5142000000000007</v>
      </c>
      <c r="P94">
        <f t="shared" si="65"/>
        <v>283.2</v>
      </c>
      <c r="S94" t="s">
        <v>110</v>
      </c>
      <c r="T94" t="s">
        <v>109</v>
      </c>
    </row>
    <row r="95" spans="1:20" x14ac:dyDescent="0.4">
      <c r="A95" t="s">
        <v>107</v>
      </c>
      <c r="B95">
        <v>13</v>
      </c>
      <c r="C95">
        <f>10*B95</f>
        <v>130</v>
      </c>
      <c r="D95">
        <f>D7*1.3+2.5</f>
        <v>295</v>
      </c>
      <c r="E95">
        <f t="shared" si="60"/>
        <v>13</v>
      </c>
      <c r="F95" s="2">
        <v>0</v>
      </c>
      <c r="G95">
        <f t="shared" si="61"/>
        <v>17</v>
      </c>
      <c r="H95" s="6">
        <f t="shared" si="62"/>
        <v>0.63200000000000001</v>
      </c>
      <c r="I95" s="11">
        <f>0.05+0.15*(-3+B95)%</f>
        <v>6.5000000000000002E-2</v>
      </c>
      <c r="J95" s="10">
        <v>2</v>
      </c>
      <c r="K95" s="10">
        <v>0</v>
      </c>
      <c r="L95" s="2">
        <v>1</v>
      </c>
      <c r="M95" s="16">
        <v>1</v>
      </c>
      <c r="N95" s="5">
        <f t="shared" si="63"/>
        <v>31</v>
      </c>
      <c r="O95" s="9">
        <f t="shared" si="64"/>
        <v>11.442359999999999</v>
      </c>
      <c r="P95">
        <f t="shared" si="65"/>
        <v>333.34999999999997</v>
      </c>
      <c r="S95" t="s">
        <v>110</v>
      </c>
      <c r="T95" t="s">
        <v>109</v>
      </c>
    </row>
    <row r="96" spans="1:20" x14ac:dyDescent="0.4">
      <c r="A96" t="s">
        <v>108</v>
      </c>
      <c r="B96">
        <v>18</v>
      </c>
      <c r="C96">
        <f>10*B96</f>
        <v>180</v>
      </c>
      <c r="D96">
        <f>D8*1.3-0.5</f>
        <v>370</v>
      </c>
      <c r="E96">
        <f t="shared" si="60"/>
        <v>18</v>
      </c>
      <c r="F96" s="2">
        <v>0</v>
      </c>
      <c r="G96">
        <f t="shared" si="61"/>
        <v>22</v>
      </c>
      <c r="H96" s="6">
        <f t="shared" si="62"/>
        <v>0.64800000000000002</v>
      </c>
      <c r="I96" s="11">
        <f>0.05+0.15*(-3+B96)%</f>
        <v>7.2500000000000009E-2</v>
      </c>
      <c r="J96" s="10">
        <v>2</v>
      </c>
      <c r="K96" s="10">
        <v>0</v>
      </c>
      <c r="L96" s="2">
        <v>1</v>
      </c>
      <c r="M96" s="16">
        <v>1</v>
      </c>
      <c r="N96" s="5">
        <f t="shared" si="63"/>
        <v>36</v>
      </c>
      <c r="O96" s="9">
        <f t="shared" si="64"/>
        <v>15.28956</v>
      </c>
      <c r="P96">
        <f t="shared" si="65"/>
        <v>436.59999999999997</v>
      </c>
      <c r="S96" t="s">
        <v>110</v>
      </c>
      <c r="T96" t="s">
        <v>109</v>
      </c>
    </row>
    <row r="97" spans="1:20" x14ac:dyDescent="0.4">
      <c r="A97" t="s">
        <v>330</v>
      </c>
      <c r="B97">
        <f>B9</f>
        <v>20</v>
      </c>
      <c r="C97">
        <f>C9</f>
        <v>200</v>
      </c>
      <c r="D97">
        <f>D9*1.3-1.5</f>
        <v>395</v>
      </c>
      <c r="E97">
        <f t="shared" si="60"/>
        <v>20</v>
      </c>
      <c r="F97" s="2">
        <f>F9</f>
        <v>0</v>
      </c>
      <c r="G97">
        <f t="shared" si="61"/>
        <v>25</v>
      </c>
      <c r="H97" s="6">
        <f t="shared" si="62"/>
        <v>0.65440000000000009</v>
      </c>
      <c r="I97" s="11">
        <f t="shared" ref="I97:M98" si="66">I9</f>
        <v>7.5500000000000012E-2</v>
      </c>
      <c r="J97" s="10">
        <f t="shared" si="66"/>
        <v>2</v>
      </c>
      <c r="K97" s="10">
        <f t="shared" si="66"/>
        <v>0</v>
      </c>
      <c r="L97" s="2">
        <f t="shared" si="66"/>
        <v>1</v>
      </c>
      <c r="M97" s="16">
        <f t="shared" si="66"/>
        <v>1</v>
      </c>
      <c r="N97" s="5">
        <f t="shared" si="63"/>
        <v>38</v>
      </c>
      <c r="O97" s="9">
        <f>O9</f>
        <v>21.818023200000003</v>
      </c>
      <c r="P97">
        <f>P9</f>
        <v>366</v>
      </c>
      <c r="S97" t="s">
        <v>110</v>
      </c>
      <c r="T97" t="s">
        <v>109</v>
      </c>
    </row>
    <row r="98" spans="1:20" x14ac:dyDescent="0.4">
      <c r="A98" t="s">
        <v>331</v>
      </c>
      <c r="B98">
        <f>B10</f>
        <v>21</v>
      </c>
      <c r="C98">
        <f>C10</f>
        <v>210</v>
      </c>
      <c r="D98">
        <f>D10*1.3+2.5</f>
        <v>425</v>
      </c>
      <c r="E98">
        <f t="shared" si="60"/>
        <v>21</v>
      </c>
      <c r="F98" s="2">
        <f>F10</f>
        <v>0</v>
      </c>
      <c r="G98">
        <f t="shared" si="61"/>
        <v>26</v>
      </c>
      <c r="H98" s="6">
        <f t="shared" si="62"/>
        <v>0.65760000000000007</v>
      </c>
      <c r="I98" s="11">
        <f t="shared" si="66"/>
        <v>7.6999999999999999E-2</v>
      </c>
      <c r="J98" s="10">
        <f t="shared" si="66"/>
        <v>2</v>
      </c>
      <c r="K98" s="10">
        <f t="shared" si="66"/>
        <v>0</v>
      </c>
      <c r="L98" s="2">
        <f t="shared" si="66"/>
        <v>1</v>
      </c>
      <c r="M98" s="16">
        <f t="shared" si="66"/>
        <v>1</v>
      </c>
      <c r="N98" s="5">
        <f t="shared" si="63"/>
        <v>39</v>
      </c>
      <c r="O98" s="9">
        <f>O10</f>
        <v>23.371761599999999</v>
      </c>
      <c r="P98">
        <f>P10</f>
        <v>393.25</v>
      </c>
      <c r="S98" t="s">
        <v>110</v>
      </c>
      <c r="T98" t="s">
        <v>109</v>
      </c>
    </row>
    <row r="99" spans="1:20" x14ac:dyDescent="0.4">
      <c r="A99" t="s">
        <v>115</v>
      </c>
      <c r="B99">
        <v>23</v>
      </c>
      <c r="C99">
        <f>10*B99</f>
        <v>230</v>
      </c>
      <c r="D99">
        <v>325</v>
      </c>
      <c r="E99">
        <f t="shared" si="60"/>
        <v>23</v>
      </c>
      <c r="F99" s="2">
        <v>0</v>
      </c>
      <c r="G99">
        <f t="shared" si="61"/>
        <v>29</v>
      </c>
      <c r="H99" s="6">
        <f t="shared" si="62"/>
        <v>0.66400000000000003</v>
      </c>
      <c r="I99" s="11">
        <f>0.05+0.15*(-3+B99)%</f>
        <v>0.08</v>
      </c>
      <c r="J99" s="10">
        <v>2</v>
      </c>
      <c r="K99" s="10">
        <v>0</v>
      </c>
      <c r="L99" s="2">
        <v>1</v>
      </c>
      <c r="M99" s="16">
        <v>1</v>
      </c>
      <c r="N99" s="5">
        <f t="shared" si="63"/>
        <v>41</v>
      </c>
      <c r="O99" s="9">
        <f t="shared" si="64"/>
        <v>20.796480000000003</v>
      </c>
      <c r="P99">
        <f t="shared" si="65"/>
        <v>399.75</v>
      </c>
      <c r="Q99" t="s">
        <v>130</v>
      </c>
      <c r="S99" t="s">
        <v>114</v>
      </c>
      <c r="T99" t="s">
        <v>127</v>
      </c>
    </row>
    <row r="100" spans="1:20" x14ac:dyDescent="0.4">
      <c r="A100" t="s">
        <v>116</v>
      </c>
      <c r="B100">
        <v>28</v>
      </c>
      <c r="C100">
        <f>10*B100</f>
        <v>280</v>
      </c>
      <c r="D100">
        <v>405</v>
      </c>
      <c r="E100">
        <f t="shared" si="60"/>
        <v>28</v>
      </c>
      <c r="F100" s="2">
        <v>0</v>
      </c>
      <c r="G100">
        <f>ROUND(G12, 0)</f>
        <v>43</v>
      </c>
      <c r="H100" s="6">
        <f>H12-0.15</f>
        <v>0.53</v>
      </c>
      <c r="I100" s="11">
        <f>0.05+0.15*(-3+B100)%</f>
        <v>8.7499999999999994E-2</v>
      </c>
      <c r="J100" s="10">
        <v>2</v>
      </c>
      <c r="K100" s="10">
        <v>0</v>
      </c>
      <c r="L100" s="2">
        <v>1</v>
      </c>
      <c r="M100" s="16">
        <v>1</v>
      </c>
      <c r="N100" s="5">
        <f t="shared" si="63"/>
        <v>46</v>
      </c>
      <c r="O100" s="9">
        <f t="shared" si="64"/>
        <v>24.784125</v>
      </c>
      <c r="P100">
        <f t="shared" si="65"/>
        <v>518.4</v>
      </c>
      <c r="Q100" t="s">
        <v>112</v>
      </c>
      <c r="S100" t="s">
        <v>134</v>
      </c>
      <c r="T100" t="s">
        <v>127</v>
      </c>
    </row>
    <row r="101" spans="1:20" x14ac:dyDescent="0.4">
      <c r="A101" t="s">
        <v>113</v>
      </c>
      <c r="B101">
        <v>33</v>
      </c>
      <c r="C101">
        <f>10*B101</f>
        <v>330</v>
      </c>
      <c r="D101">
        <v>440</v>
      </c>
      <c r="E101">
        <f t="shared" si="60"/>
        <v>33</v>
      </c>
      <c r="F101" s="2">
        <v>0</v>
      </c>
      <c r="G101">
        <f>ROUND(G13*4/5, 0)</f>
        <v>41</v>
      </c>
      <c r="H101" s="6">
        <f>H13</f>
        <v>0.69600000000000006</v>
      </c>
      <c r="I101" s="11">
        <f>0.05+0.15*(-3+B101)%</f>
        <v>9.5000000000000001E-2</v>
      </c>
      <c r="J101" s="10">
        <v>2</v>
      </c>
      <c r="K101" s="10">
        <v>0</v>
      </c>
      <c r="L101" s="2">
        <v>1</v>
      </c>
      <c r="M101" s="16">
        <v>1</v>
      </c>
      <c r="N101" s="5">
        <f t="shared" si="63"/>
        <v>51</v>
      </c>
      <c r="O101" s="9">
        <f t="shared" si="64"/>
        <v>31.246919999999999</v>
      </c>
      <c r="P101">
        <f t="shared" si="65"/>
        <v>585.20000000000005</v>
      </c>
      <c r="Q101" t="s">
        <v>131</v>
      </c>
      <c r="S101" t="s">
        <v>114</v>
      </c>
      <c r="T101" t="s">
        <v>127</v>
      </c>
    </row>
    <row r="102" spans="1:20" x14ac:dyDescent="0.4">
      <c r="A102" t="s">
        <v>111</v>
      </c>
      <c r="B102">
        <v>38</v>
      </c>
      <c r="C102">
        <f>10*B102</f>
        <v>380</v>
      </c>
      <c r="D102">
        <v>520</v>
      </c>
      <c r="E102">
        <f t="shared" si="60"/>
        <v>38</v>
      </c>
      <c r="F102" s="2">
        <v>0</v>
      </c>
      <c r="G102">
        <f>ROUND(G14, 0)</f>
        <v>58</v>
      </c>
      <c r="H102" s="6">
        <f>H14-0.15</f>
        <v>0.56200000000000006</v>
      </c>
      <c r="I102" s="11">
        <f>0.05+0.15*(-3+B102)%</f>
        <v>0.10250000000000001</v>
      </c>
      <c r="J102" s="10">
        <v>2</v>
      </c>
      <c r="K102" s="10">
        <v>0</v>
      </c>
      <c r="L102" s="2">
        <v>1</v>
      </c>
      <c r="M102" s="16">
        <v>1</v>
      </c>
      <c r="N102" s="5">
        <f t="shared" si="63"/>
        <v>56</v>
      </c>
      <c r="O102" s="9">
        <f t="shared" si="64"/>
        <v>35.937090000000005</v>
      </c>
      <c r="P102">
        <f t="shared" si="65"/>
        <v>717.59999999999991</v>
      </c>
      <c r="Q102" t="s">
        <v>112</v>
      </c>
      <c r="S102" t="s">
        <v>134</v>
      </c>
      <c r="T102" t="s">
        <v>128</v>
      </c>
    </row>
    <row r="103" spans="1:20" x14ac:dyDescent="0.4">
      <c r="A103" t="s">
        <v>333</v>
      </c>
      <c r="B103">
        <f>B15</f>
        <v>40</v>
      </c>
      <c r="C103">
        <f>C15</f>
        <v>400</v>
      </c>
      <c r="D103">
        <f>D15-30</f>
        <v>470</v>
      </c>
      <c r="E103">
        <f t="shared" si="60"/>
        <v>40</v>
      </c>
      <c r="F103" s="2">
        <f>F15</f>
        <v>0</v>
      </c>
      <c r="G103">
        <f>ROUND(G15*4/5, 0)</f>
        <v>49</v>
      </c>
      <c r="H103" s="6">
        <f t="shared" ref="H103:P103" si="67">H15</f>
        <v>0.71840000000000004</v>
      </c>
      <c r="I103" s="11">
        <f t="shared" si="67"/>
        <v>0.10550000000000001</v>
      </c>
      <c r="J103" s="10">
        <f t="shared" si="67"/>
        <v>2</v>
      </c>
      <c r="K103" s="10">
        <f t="shared" si="67"/>
        <v>0</v>
      </c>
      <c r="L103" s="2">
        <f t="shared" si="67"/>
        <v>1</v>
      </c>
      <c r="M103" s="16">
        <f t="shared" si="67"/>
        <v>1</v>
      </c>
      <c r="N103" s="5">
        <f t="shared" si="67"/>
        <v>54</v>
      </c>
      <c r="O103" s="9">
        <f t="shared" si="67"/>
        <v>48.445663199999998</v>
      </c>
      <c r="P103">
        <f t="shared" si="67"/>
        <v>700</v>
      </c>
      <c r="Q103" t="s">
        <v>338</v>
      </c>
      <c r="S103" t="s">
        <v>334</v>
      </c>
      <c r="T103" t="s">
        <v>128</v>
      </c>
    </row>
    <row r="104" spans="1:20" x14ac:dyDescent="0.4">
      <c r="A104" t="s">
        <v>332</v>
      </c>
      <c r="B104">
        <f>B16</f>
        <v>41</v>
      </c>
      <c r="C104">
        <f t="shared" ref="C104:P104" si="68">C16</f>
        <v>410</v>
      </c>
      <c r="D104">
        <f t="shared" si="68"/>
        <v>520</v>
      </c>
      <c r="E104">
        <f t="shared" si="68"/>
        <v>41</v>
      </c>
      <c r="F104" s="2">
        <f t="shared" si="68"/>
        <v>0</v>
      </c>
      <c r="G104">
        <f t="shared" si="68"/>
        <v>63</v>
      </c>
      <c r="H104" s="6">
        <f>H16-0.15</f>
        <v>0.5716</v>
      </c>
      <c r="I104" s="11">
        <f t="shared" si="68"/>
        <v>0.107</v>
      </c>
      <c r="J104" s="10">
        <f t="shared" si="68"/>
        <v>2</v>
      </c>
      <c r="K104" s="10">
        <f t="shared" si="68"/>
        <v>0</v>
      </c>
      <c r="L104" s="2">
        <f t="shared" si="68"/>
        <v>1</v>
      </c>
      <c r="M104" s="16">
        <f t="shared" si="68"/>
        <v>1</v>
      </c>
      <c r="N104" s="5">
        <f t="shared" si="68"/>
        <v>55</v>
      </c>
      <c r="O104" s="9">
        <f t="shared" si="68"/>
        <v>50.325105600000001</v>
      </c>
      <c r="P104">
        <f t="shared" si="68"/>
        <v>733.19999999999993</v>
      </c>
      <c r="Q104" t="s">
        <v>112</v>
      </c>
      <c r="S104" t="s">
        <v>134</v>
      </c>
      <c r="T104" t="s">
        <v>128</v>
      </c>
    </row>
    <row r="105" spans="1:20" x14ac:dyDescent="0.4">
      <c r="A105" t="s">
        <v>118</v>
      </c>
      <c r="B105">
        <v>43</v>
      </c>
      <c r="C105">
        <f>10*B105</f>
        <v>430</v>
      </c>
      <c r="D105">
        <f>D17*1.2-1</f>
        <v>695</v>
      </c>
      <c r="E105">
        <f>E17+12</f>
        <v>55</v>
      </c>
      <c r="F105" s="2">
        <v>0</v>
      </c>
      <c r="G105">
        <f>ROUND(G17*4/5, 0)</f>
        <v>53</v>
      </c>
      <c r="H105" s="6">
        <f>H17</f>
        <v>0.72799999999999998</v>
      </c>
      <c r="I105" s="11">
        <f t="shared" ref="I105:I119" si="69">0.05+0.15*(-3+B105)%</f>
        <v>0.11</v>
      </c>
      <c r="J105" s="10">
        <v>2</v>
      </c>
      <c r="K105" s="10">
        <v>0</v>
      </c>
      <c r="L105" s="2">
        <v>1</v>
      </c>
      <c r="M105" s="16">
        <v>1</v>
      </c>
      <c r="N105" s="5">
        <f t="shared" ref="N105:N119" si="70">ROUND(B105,0)+18</f>
        <v>61</v>
      </c>
      <c r="O105" s="9">
        <f t="shared" si="64"/>
        <v>42.828240000000001</v>
      </c>
      <c r="P105">
        <f t="shared" si="65"/>
        <v>1077.25</v>
      </c>
      <c r="S105" t="s">
        <v>120</v>
      </c>
      <c r="T105" t="s">
        <v>129</v>
      </c>
    </row>
    <row r="106" spans="1:20" x14ac:dyDescent="0.4">
      <c r="A106" t="s">
        <v>119</v>
      </c>
      <c r="B106">
        <v>48</v>
      </c>
      <c r="C106">
        <f>10*B106</f>
        <v>480</v>
      </c>
      <c r="D106">
        <v>605</v>
      </c>
      <c r="E106">
        <f>E18</f>
        <v>48</v>
      </c>
      <c r="F106" s="2">
        <v>0</v>
      </c>
      <c r="G106">
        <f>ROUND(G18*4/5, 0)</f>
        <v>58</v>
      </c>
      <c r="H106" s="6">
        <f>H18</f>
        <v>0.74399999999999999</v>
      </c>
      <c r="I106" s="11">
        <f t="shared" si="69"/>
        <v>0.11750000000000001</v>
      </c>
      <c r="J106" s="10">
        <v>2</v>
      </c>
      <c r="K106" s="10">
        <v>0</v>
      </c>
      <c r="L106" s="2">
        <v>1</v>
      </c>
      <c r="M106" s="16">
        <v>1</v>
      </c>
      <c r="N106" s="5">
        <f t="shared" si="70"/>
        <v>66</v>
      </c>
      <c r="O106" s="9">
        <f t="shared" si="64"/>
        <v>48.222360000000002</v>
      </c>
      <c r="P106">
        <f t="shared" si="65"/>
        <v>895.4</v>
      </c>
      <c r="Q106" t="s">
        <v>132</v>
      </c>
      <c r="S106" t="s">
        <v>114</v>
      </c>
      <c r="T106" t="s">
        <v>109</v>
      </c>
    </row>
    <row r="107" spans="1:20" x14ac:dyDescent="0.4">
      <c r="A107" t="s">
        <v>133</v>
      </c>
      <c r="B107">
        <v>53</v>
      </c>
      <c r="C107">
        <f>10*B107</f>
        <v>530</v>
      </c>
      <c r="D107">
        <f>D19*1.15-0.75</f>
        <v>809.99999999999989</v>
      </c>
      <c r="E107">
        <f>E19-7</f>
        <v>46</v>
      </c>
      <c r="F107" s="2">
        <v>0</v>
      </c>
      <c r="G107">
        <f>ROUND(G19, 0)</f>
        <v>81</v>
      </c>
      <c r="H107" s="6">
        <f>H19-0.2</f>
        <v>0.56000000000000005</v>
      </c>
      <c r="I107" s="11">
        <f t="shared" si="69"/>
        <v>0.125</v>
      </c>
      <c r="J107" s="10">
        <v>2</v>
      </c>
      <c r="K107" s="10">
        <v>0</v>
      </c>
      <c r="L107" s="2">
        <v>1</v>
      </c>
      <c r="M107" s="16">
        <v>1</v>
      </c>
      <c r="N107" s="5">
        <f t="shared" si="70"/>
        <v>71</v>
      </c>
      <c r="O107" s="9">
        <f t="shared" si="64"/>
        <v>51.030000000000008</v>
      </c>
      <c r="P107">
        <f t="shared" si="65"/>
        <v>1182.5999999999999</v>
      </c>
      <c r="Q107" t="s">
        <v>112</v>
      </c>
      <c r="S107" t="s">
        <v>136</v>
      </c>
      <c r="T107" t="s">
        <v>192</v>
      </c>
    </row>
    <row r="108" spans="1:20" x14ac:dyDescent="0.4">
      <c r="A108" t="s">
        <v>135</v>
      </c>
      <c r="B108">
        <v>58</v>
      </c>
      <c r="C108">
        <f>10*B108*1.1+2</f>
        <v>640</v>
      </c>
      <c r="D108">
        <f>D20*1.4-1</f>
        <v>1070</v>
      </c>
      <c r="E108">
        <f>E20-13</f>
        <v>45</v>
      </c>
      <c r="F108" s="2">
        <v>0</v>
      </c>
      <c r="G108">
        <f>ROUND(G20, 0)</f>
        <v>88</v>
      </c>
      <c r="H108" s="6">
        <f>H20</f>
        <v>0.77600000000000002</v>
      </c>
      <c r="I108" s="11">
        <f t="shared" si="69"/>
        <v>0.13250000000000001</v>
      </c>
      <c r="J108" s="10">
        <v>2</v>
      </c>
      <c r="K108" s="10">
        <v>0</v>
      </c>
      <c r="L108" s="2">
        <v>1</v>
      </c>
      <c r="M108" s="16">
        <v>1</v>
      </c>
      <c r="N108" s="5">
        <f t="shared" si="70"/>
        <v>76</v>
      </c>
      <c r="O108" s="9">
        <f t="shared" si="64"/>
        <v>77.336160000000007</v>
      </c>
      <c r="P108">
        <f t="shared" si="65"/>
        <v>1551.5</v>
      </c>
      <c r="S108" t="s">
        <v>140</v>
      </c>
      <c r="T108" t="s">
        <v>192</v>
      </c>
    </row>
    <row r="109" spans="1:20" x14ac:dyDescent="0.4">
      <c r="A109" t="s">
        <v>335</v>
      </c>
      <c r="B109">
        <v>60</v>
      </c>
      <c r="C109">
        <f>10*B109</f>
        <v>600</v>
      </c>
      <c r="D109">
        <f>D21*1.15+2.25</f>
        <v>904.99999999999989</v>
      </c>
      <c r="E109">
        <f>E21-7</f>
        <v>53</v>
      </c>
      <c r="F109" s="2">
        <v>0</v>
      </c>
      <c r="G109">
        <f>ROUND(G21, 0)</f>
        <v>91</v>
      </c>
      <c r="H109" s="6">
        <f>H21-0.2</f>
        <v>0.58240000000000003</v>
      </c>
      <c r="I109" s="11">
        <f t="shared" si="69"/>
        <v>0.13550000000000001</v>
      </c>
      <c r="J109" s="10">
        <v>2</v>
      </c>
      <c r="K109" s="10">
        <v>0</v>
      </c>
      <c r="L109" s="2">
        <v>1</v>
      </c>
      <c r="M109" s="16">
        <v>1</v>
      </c>
      <c r="N109" s="5">
        <f t="shared" si="70"/>
        <v>78</v>
      </c>
      <c r="O109" s="9">
        <f t="shared" ref="O109:O110" si="71">G109*H109*(1+I109)</f>
        <v>60.179683199999999</v>
      </c>
      <c r="P109">
        <f t="shared" ref="P109:P110" si="72">D109*(1+E109/100)</f>
        <v>1384.6499999999999</v>
      </c>
      <c r="Q109" t="s">
        <v>112</v>
      </c>
      <c r="S109" t="s">
        <v>136</v>
      </c>
      <c r="T109" t="s">
        <v>192</v>
      </c>
    </row>
    <row r="110" spans="1:20" x14ac:dyDescent="0.4">
      <c r="A110" t="s">
        <v>337</v>
      </c>
      <c r="B110">
        <v>61</v>
      </c>
      <c r="C110">
        <f>10*B110*1.1+2</f>
        <v>673</v>
      </c>
      <c r="D110">
        <f>D22*1.4</f>
        <v>1127</v>
      </c>
      <c r="E110">
        <f>E22-13</f>
        <v>48</v>
      </c>
      <c r="F110" s="2">
        <v>0</v>
      </c>
      <c r="G110">
        <f>ROUND(G22, 0)</f>
        <v>93</v>
      </c>
      <c r="H110" s="6">
        <f>H22</f>
        <v>0.78560000000000008</v>
      </c>
      <c r="I110" s="11">
        <f t="shared" si="69"/>
        <v>0.13700000000000001</v>
      </c>
      <c r="J110" s="10">
        <v>2</v>
      </c>
      <c r="K110" s="10">
        <v>0</v>
      </c>
      <c r="L110" s="2">
        <v>1</v>
      </c>
      <c r="M110" s="16">
        <v>1</v>
      </c>
      <c r="N110" s="5">
        <f t="shared" si="70"/>
        <v>79</v>
      </c>
      <c r="O110" s="9">
        <f t="shared" si="71"/>
        <v>83.070129600000001</v>
      </c>
      <c r="P110">
        <f t="shared" si="72"/>
        <v>1667.96</v>
      </c>
      <c r="S110" t="s">
        <v>140</v>
      </c>
      <c r="T110" t="s">
        <v>192</v>
      </c>
    </row>
    <row r="111" spans="1:20" x14ac:dyDescent="0.4">
      <c r="A111" t="s">
        <v>137</v>
      </c>
      <c r="B111">
        <v>63</v>
      </c>
      <c r="C111">
        <f>10*B111</f>
        <v>630</v>
      </c>
      <c r="D111">
        <v>790</v>
      </c>
      <c r="E111">
        <f>E23</f>
        <v>63</v>
      </c>
      <c r="F111" s="2">
        <v>0</v>
      </c>
      <c r="G111">
        <f>ROUND(G23*4/5, 0)</f>
        <v>77</v>
      </c>
      <c r="H111" s="6">
        <f>H23</f>
        <v>0.79200000000000004</v>
      </c>
      <c r="I111" s="11">
        <f t="shared" si="69"/>
        <v>0.14000000000000001</v>
      </c>
      <c r="J111" s="10">
        <v>2</v>
      </c>
      <c r="K111" s="10">
        <v>0</v>
      </c>
      <c r="L111" s="2">
        <v>1</v>
      </c>
      <c r="M111" s="16">
        <v>2</v>
      </c>
      <c r="N111" s="5">
        <f t="shared" si="70"/>
        <v>81</v>
      </c>
      <c r="O111" s="9">
        <f t="shared" si="64"/>
        <v>69.521760000000015</v>
      </c>
      <c r="P111">
        <f t="shared" si="65"/>
        <v>1287.6999999999998</v>
      </c>
      <c r="Q111" t="s">
        <v>139</v>
      </c>
      <c r="S111" t="s">
        <v>144</v>
      </c>
      <c r="T111" t="s">
        <v>109</v>
      </c>
    </row>
    <row r="112" spans="1:20" x14ac:dyDescent="0.4">
      <c r="A112" t="s">
        <v>336</v>
      </c>
      <c r="B112">
        <v>68</v>
      </c>
      <c r="C112">
        <f>10*B112</f>
        <v>680</v>
      </c>
      <c r="D112">
        <f>890*1.4-1</f>
        <v>1245</v>
      </c>
      <c r="E112">
        <f>E24-14</f>
        <v>54</v>
      </c>
      <c r="F112" s="2">
        <v>0</v>
      </c>
      <c r="G112">
        <f>ROUND(G24, 0)</f>
        <v>103</v>
      </c>
      <c r="H112" s="6">
        <f>H24</f>
        <v>0.80800000000000005</v>
      </c>
      <c r="I112" s="11">
        <f t="shared" si="69"/>
        <v>0.14750000000000002</v>
      </c>
      <c r="J112" s="10">
        <v>2</v>
      </c>
      <c r="K112" s="10">
        <v>0</v>
      </c>
      <c r="L112" s="2">
        <v>1</v>
      </c>
      <c r="M112" s="16">
        <v>1</v>
      </c>
      <c r="N112" s="5">
        <f t="shared" si="70"/>
        <v>86</v>
      </c>
      <c r="O112" s="9">
        <f t="shared" si="64"/>
        <v>95.499539999999996</v>
      </c>
      <c r="P112">
        <f t="shared" si="65"/>
        <v>1917.3</v>
      </c>
      <c r="S112" t="s">
        <v>140</v>
      </c>
      <c r="T112" t="s">
        <v>193</v>
      </c>
    </row>
    <row r="113" spans="1:20" x14ac:dyDescent="0.4">
      <c r="A113" t="s">
        <v>142</v>
      </c>
      <c r="B113">
        <v>73</v>
      </c>
      <c r="C113">
        <f>10*B113</f>
        <v>730</v>
      </c>
      <c r="D113">
        <f>950*1.15-2.5</f>
        <v>1090</v>
      </c>
      <c r="E113">
        <f>E25-9</f>
        <v>64</v>
      </c>
      <c r="F113" s="2">
        <v>0</v>
      </c>
      <c r="G113">
        <f>ROUND(G25, 0)</f>
        <v>111</v>
      </c>
      <c r="H113" s="6">
        <f>H25-0.25</f>
        <v>0.57400000000000007</v>
      </c>
      <c r="I113" s="11">
        <f t="shared" si="69"/>
        <v>0.155</v>
      </c>
      <c r="J113" s="10">
        <v>2</v>
      </c>
      <c r="K113" s="10">
        <v>0</v>
      </c>
      <c r="L113" s="2">
        <v>1</v>
      </c>
      <c r="M113" s="16">
        <v>2</v>
      </c>
      <c r="N113" s="5">
        <f t="shared" si="70"/>
        <v>91</v>
      </c>
      <c r="O113" s="9">
        <f t="shared" si="64"/>
        <v>73.589670000000012</v>
      </c>
      <c r="P113">
        <f t="shared" si="65"/>
        <v>1787.6000000000001</v>
      </c>
      <c r="Q113" t="s">
        <v>112</v>
      </c>
      <c r="S113" t="s">
        <v>143</v>
      </c>
      <c r="T113" t="s">
        <v>128</v>
      </c>
    </row>
    <row r="114" spans="1:20" x14ac:dyDescent="0.4">
      <c r="A114" t="s">
        <v>138</v>
      </c>
      <c r="B114">
        <v>78</v>
      </c>
      <c r="C114">
        <f>10*B114+1.15-1.15</f>
        <v>780</v>
      </c>
      <c r="D114">
        <f>1015*1.5-2.5</f>
        <v>1520</v>
      </c>
      <c r="E114">
        <f>E26-20</f>
        <v>58</v>
      </c>
      <c r="F114" s="2">
        <v>0</v>
      </c>
      <c r="G114">
        <f>ROUND(G26, 0)</f>
        <v>118</v>
      </c>
      <c r="H114" s="6">
        <f>H26</f>
        <v>0.84000000000000008</v>
      </c>
      <c r="I114" s="11">
        <f t="shared" si="69"/>
        <v>0.16249999999999998</v>
      </c>
      <c r="J114" s="10">
        <v>2</v>
      </c>
      <c r="K114" s="10">
        <v>0</v>
      </c>
      <c r="L114" s="2">
        <v>1</v>
      </c>
      <c r="M114" s="16">
        <v>1</v>
      </c>
      <c r="N114" s="5">
        <f t="shared" si="70"/>
        <v>96</v>
      </c>
      <c r="O114" s="9">
        <f t="shared" si="64"/>
        <v>115.22700000000002</v>
      </c>
      <c r="P114">
        <f t="shared" si="65"/>
        <v>2401.6</v>
      </c>
      <c r="S114" t="s">
        <v>141</v>
      </c>
      <c r="T114" t="s">
        <v>192</v>
      </c>
    </row>
    <row r="115" spans="1:20" x14ac:dyDescent="0.4">
      <c r="A115" t="s">
        <v>339</v>
      </c>
      <c r="B115">
        <v>80</v>
      </c>
      <c r="C115">
        <f>10*B115</f>
        <v>800</v>
      </c>
      <c r="D115">
        <f>D27*1.15-0.25</f>
        <v>1190</v>
      </c>
      <c r="E115">
        <f>E29-9</f>
        <v>74</v>
      </c>
      <c r="F115" s="2">
        <v>0</v>
      </c>
      <c r="G115">
        <f>ROUND(G29, 0)</f>
        <v>126</v>
      </c>
      <c r="H115" s="6">
        <f>H29-0.25</f>
        <v>0.60600000000000009</v>
      </c>
      <c r="I115" s="11">
        <f t="shared" si="69"/>
        <v>0.16549999999999998</v>
      </c>
      <c r="J115" s="10">
        <v>2</v>
      </c>
      <c r="K115" s="10">
        <v>0</v>
      </c>
      <c r="L115" s="2">
        <v>1</v>
      </c>
      <c r="M115" s="16">
        <v>2</v>
      </c>
      <c r="N115" s="5">
        <f t="shared" si="70"/>
        <v>98</v>
      </c>
      <c r="O115" s="9">
        <f t="shared" ref="O115:O116" si="73">G115*H115*(1+I115)</f>
        <v>88.992918000000003</v>
      </c>
      <c r="P115">
        <f t="shared" ref="P115:P116" si="74">D115*(1+E115/100)</f>
        <v>2070.6</v>
      </c>
      <c r="Q115" t="s">
        <v>112</v>
      </c>
      <c r="S115" t="s">
        <v>143</v>
      </c>
      <c r="T115" t="s">
        <v>128</v>
      </c>
    </row>
    <row r="116" spans="1:20" x14ac:dyDescent="0.4">
      <c r="A116" t="s">
        <v>340</v>
      </c>
      <c r="B116">
        <v>81</v>
      </c>
      <c r="C116">
        <f>10*B116+1.15-1.15</f>
        <v>810</v>
      </c>
      <c r="D116">
        <f>D28*1.5</f>
        <v>1575</v>
      </c>
      <c r="E116">
        <f>E30-20</f>
        <v>68</v>
      </c>
      <c r="F116" s="2">
        <v>0</v>
      </c>
      <c r="G116">
        <f>ROUND(G30, 0)</f>
        <v>133</v>
      </c>
      <c r="H116" s="6">
        <f t="shared" ref="H116" si="75">H30</f>
        <v>0.87200000000000011</v>
      </c>
      <c r="I116" s="11">
        <f t="shared" si="69"/>
        <v>0.16699999999999998</v>
      </c>
      <c r="J116" s="10">
        <v>2</v>
      </c>
      <c r="K116" s="10">
        <v>0</v>
      </c>
      <c r="L116" s="2">
        <v>1</v>
      </c>
      <c r="M116" s="16">
        <v>1</v>
      </c>
      <c r="N116" s="5">
        <f t="shared" si="70"/>
        <v>99</v>
      </c>
      <c r="O116" s="9">
        <f t="shared" si="73"/>
        <v>135.34399200000001</v>
      </c>
      <c r="P116">
        <f t="shared" si="74"/>
        <v>2646.0000000000005</v>
      </c>
      <c r="S116" t="s">
        <v>141</v>
      </c>
      <c r="T116" t="s">
        <v>192</v>
      </c>
    </row>
    <row r="117" spans="1:20" x14ac:dyDescent="0.4">
      <c r="B117">
        <v>83</v>
      </c>
      <c r="C117">
        <f>10*B117</f>
        <v>830</v>
      </c>
      <c r="D117">
        <v>1075</v>
      </c>
      <c r="E117">
        <f>B117</f>
        <v>83</v>
      </c>
      <c r="F117" s="2">
        <v>0</v>
      </c>
      <c r="G117">
        <f>ROUND((2+2.2*B117), 0)</f>
        <v>185</v>
      </c>
      <c r="H117" s="6">
        <f>0.591+0.003*B117</f>
        <v>0.84</v>
      </c>
      <c r="I117" s="11">
        <f t="shared" si="69"/>
        <v>0.16999999999999998</v>
      </c>
      <c r="J117" s="10">
        <v>2</v>
      </c>
      <c r="K117" s="10">
        <v>0</v>
      </c>
      <c r="L117" s="2">
        <v>1</v>
      </c>
      <c r="M117" s="16">
        <v>1</v>
      </c>
      <c r="N117" s="5">
        <f t="shared" si="70"/>
        <v>101</v>
      </c>
      <c r="O117" s="9">
        <f t="shared" si="64"/>
        <v>181.81799999999998</v>
      </c>
      <c r="P117">
        <f t="shared" si="65"/>
        <v>1967.25</v>
      </c>
    </row>
    <row r="118" spans="1:20" x14ac:dyDescent="0.4">
      <c r="B118">
        <v>88</v>
      </c>
      <c r="C118">
        <f>10*B118</f>
        <v>880</v>
      </c>
      <c r="D118">
        <v>1140</v>
      </c>
      <c r="E118">
        <f>B118</f>
        <v>88</v>
      </c>
      <c r="F118" s="2">
        <v>0</v>
      </c>
      <c r="G118">
        <f>ROUND((2+2.2*B118), 0)</f>
        <v>196</v>
      </c>
      <c r="H118" s="6">
        <f>0.591+0.003*B118</f>
        <v>0.85499999999999998</v>
      </c>
      <c r="I118" s="11">
        <f t="shared" si="69"/>
        <v>0.17749999999999999</v>
      </c>
      <c r="J118" s="10">
        <v>2</v>
      </c>
      <c r="K118" s="10">
        <v>0</v>
      </c>
      <c r="L118" s="2">
        <v>1</v>
      </c>
      <c r="M118" s="16">
        <v>1</v>
      </c>
      <c r="N118" s="5">
        <f t="shared" si="70"/>
        <v>106</v>
      </c>
      <c r="O118" s="9">
        <f t="shared" si="64"/>
        <v>197.32544999999999</v>
      </c>
      <c r="P118">
        <f t="shared" si="65"/>
        <v>2143.1999999999998</v>
      </c>
    </row>
    <row r="119" spans="1:20" x14ac:dyDescent="0.4">
      <c r="B119">
        <v>93</v>
      </c>
      <c r="C119">
        <f>10*B119</f>
        <v>930</v>
      </c>
      <c r="D119">
        <v>1205</v>
      </c>
      <c r="E119">
        <f>B119</f>
        <v>93</v>
      </c>
      <c r="F119" s="2">
        <v>0</v>
      </c>
      <c r="G119">
        <f>ROUND((2+2.2*B119), 0)</f>
        <v>207</v>
      </c>
      <c r="H119" s="6">
        <f>0.591+0.003*B119</f>
        <v>0.87</v>
      </c>
      <c r="I119" s="11">
        <f t="shared" si="69"/>
        <v>0.185</v>
      </c>
      <c r="J119" s="10">
        <v>2</v>
      </c>
      <c r="K119" s="10">
        <v>0</v>
      </c>
      <c r="L119" s="2">
        <v>1</v>
      </c>
      <c r="M119" s="16">
        <v>1</v>
      </c>
      <c r="N119" s="5">
        <f t="shared" si="70"/>
        <v>111</v>
      </c>
      <c r="O119" s="9">
        <f t="shared" si="64"/>
        <v>213.40665000000001</v>
      </c>
      <c r="P119">
        <f t="shared" si="65"/>
        <v>2325.65</v>
      </c>
    </row>
    <row r="122" spans="1:20" ht="19.8" thickBot="1" x14ac:dyDescent="0.45">
      <c r="A122" s="13" t="s">
        <v>146</v>
      </c>
      <c r="B122" t="s">
        <v>147</v>
      </c>
    </row>
    <row r="123" spans="1:20" ht="18" thickBot="1" x14ac:dyDescent="0.45">
      <c r="A123" s="36" t="s">
        <v>19</v>
      </c>
      <c r="B123" s="36" t="s">
        <v>18</v>
      </c>
      <c r="C123" s="36" t="s">
        <v>322</v>
      </c>
      <c r="D123" s="28" t="s">
        <v>301</v>
      </c>
      <c r="E123" s="28" t="s">
        <v>302</v>
      </c>
      <c r="F123" s="40" t="s">
        <v>303</v>
      </c>
      <c r="G123" s="37" t="s">
        <v>305</v>
      </c>
      <c r="H123" s="52" t="s">
        <v>306</v>
      </c>
      <c r="I123" s="37" t="s">
        <v>307</v>
      </c>
      <c r="J123" s="37" t="s">
        <v>308</v>
      </c>
      <c r="K123" s="37" t="s">
        <v>309</v>
      </c>
      <c r="L123" s="38" t="s">
        <v>310</v>
      </c>
      <c r="M123" s="38" t="s">
        <v>312</v>
      </c>
      <c r="N123" s="38" t="s">
        <v>324</v>
      </c>
      <c r="O123" s="23" t="s">
        <v>313</v>
      </c>
      <c r="P123" s="23" t="s">
        <v>314</v>
      </c>
      <c r="Q123" s="24" t="s">
        <v>325</v>
      </c>
      <c r="R123" s="41" t="s">
        <v>326</v>
      </c>
      <c r="S123" s="41" t="s">
        <v>327</v>
      </c>
      <c r="T123" s="41" t="s">
        <v>328</v>
      </c>
    </row>
    <row r="124" spans="1:20" ht="18" thickTop="1" x14ac:dyDescent="0.4">
      <c r="A124" t="s">
        <v>148</v>
      </c>
      <c r="B124">
        <v>3</v>
      </c>
      <c r="C124">
        <f t="shared" ref="C124:C153" si="76">10*B124</f>
        <v>30</v>
      </c>
      <c r="D124">
        <f>130-20</f>
        <v>110</v>
      </c>
      <c r="E124">
        <f t="shared" ref="E124:E142" si="77">B124</f>
        <v>3</v>
      </c>
      <c r="F124" s="2">
        <v>0</v>
      </c>
      <c r="G124">
        <f t="shared" ref="G124:G131" si="78">G5</f>
        <v>6</v>
      </c>
      <c r="H124" s="6">
        <f t="shared" ref="H124:H131" si="79">H5</f>
        <v>0.60000000000000009</v>
      </c>
      <c r="I124" s="11">
        <f t="shared" ref="I124:I153" si="80">0.05+0.15*(-3+B124)%</f>
        <v>0.05</v>
      </c>
      <c r="J124" s="10">
        <v>2</v>
      </c>
      <c r="K124" s="10">
        <v>0</v>
      </c>
      <c r="L124" s="2">
        <v>1</v>
      </c>
      <c r="M124" s="16">
        <v>1</v>
      </c>
      <c r="N124" s="5">
        <f t="shared" ref="N124:N153" si="81">ROUND(B124,0)+19</f>
        <v>22</v>
      </c>
      <c r="O124" s="9">
        <f t="shared" ref="O124:O151" si="82">G124*H124*(1+I124)</f>
        <v>3.7800000000000007</v>
      </c>
      <c r="P124">
        <f t="shared" ref="P124:P151" si="83">D124*(1+E124/100)</f>
        <v>113.3</v>
      </c>
      <c r="Q124" t="s">
        <v>172</v>
      </c>
      <c r="S124" t="s">
        <v>177</v>
      </c>
      <c r="T124" t="s">
        <v>213</v>
      </c>
    </row>
    <row r="125" spans="1:20" x14ac:dyDescent="0.4">
      <c r="A125" t="s">
        <v>155</v>
      </c>
      <c r="B125">
        <v>8</v>
      </c>
      <c r="C125">
        <f t="shared" si="76"/>
        <v>80</v>
      </c>
      <c r="D125">
        <v>185</v>
      </c>
      <c r="E125">
        <f t="shared" si="77"/>
        <v>8</v>
      </c>
      <c r="F125" s="2">
        <v>0</v>
      </c>
      <c r="G125">
        <f t="shared" si="78"/>
        <v>13</v>
      </c>
      <c r="H125" s="6">
        <f t="shared" si="79"/>
        <v>0.61599999999999999</v>
      </c>
      <c r="I125" s="11">
        <f t="shared" si="80"/>
        <v>5.7500000000000002E-2</v>
      </c>
      <c r="J125" s="10">
        <v>2</v>
      </c>
      <c r="K125" s="10">
        <v>0</v>
      </c>
      <c r="L125" s="2">
        <v>1</v>
      </c>
      <c r="M125" s="16">
        <v>1</v>
      </c>
      <c r="N125" s="5">
        <f t="shared" si="81"/>
        <v>27</v>
      </c>
      <c r="O125" s="9">
        <f t="shared" si="82"/>
        <v>8.4684600000000003</v>
      </c>
      <c r="P125">
        <f t="shared" si="83"/>
        <v>199.8</v>
      </c>
      <c r="Q125" t="s">
        <v>185</v>
      </c>
      <c r="T125" t="s">
        <v>191</v>
      </c>
    </row>
    <row r="126" spans="1:20" x14ac:dyDescent="0.4">
      <c r="A126" t="s">
        <v>343</v>
      </c>
      <c r="B126">
        <v>13</v>
      </c>
      <c r="C126">
        <f t="shared" si="76"/>
        <v>130</v>
      </c>
      <c r="D126">
        <f>225-30</f>
        <v>195</v>
      </c>
      <c r="E126">
        <f t="shared" si="77"/>
        <v>13</v>
      </c>
      <c r="F126" s="2">
        <v>0</v>
      </c>
      <c r="G126">
        <f t="shared" si="78"/>
        <v>21</v>
      </c>
      <c r="H126" s="6">
        <f t="shared" si="79"/>
        <v>0.63200000000000001</v>
      </c>
      <c r="I126" s="11">
        <f t="shared" si="80"/>
        <v>6.5000000000000002E-2</v>
      </c>
      <c r="J126" s="10">
        <v>2</v>
      </c>
      <c r="K126" s="10">
        <v>0</v>
      </c>
      <c r="L126" s="2">
        <v>1</v>
      </c>
      <c r="M126" s="16">
        <v>1</v>
      </c>
      <c r="N126" s="5">
        <f t="shared" si="81"/>
        <v>32</v>
      </c>
      <c r="O126" s="9">
        <f t="shared" si="82"/>
        <v>14.134679999999999</v>
      </c>
      <c r="P126">
        <f t="shared" si="83"/>
        <v>220.34999999999997</v>
      </c>
      <c r="Q126" t="s">
        <v>172</v>
      </c>
      <c r="S126" t="s">
        <v>176</v>
      </c>
      <c r="T126" t="s">
        <v>213</v>
      </c>
    </row>
    <row r="127" spans="1:20" x14ac:dyDescent="0.4">
      <c r="A127" t="s">
        <v>156</v>
      </c>
      <c r="B127">
        <v>18</v>
      </c>
      <c r="C127">
        <f t="shared" si="76"/>
        <v>180</v>
      </c>
      <c r="D127">
        <v>285</v>
      </c>
      <c r="E127">
        <f t="shared" si="77"/>
        <v>18</v>
      </c>
      <c r="F127" s="2">
        <v>0</v>
      </c>
      <c r="G127">
        <f t="shared" si="78"/>
        <v>28</v>
      </c>
      <c r="H127" s="6">
        <f t="shared" si="79"/>
        <v>0.64800000000000002</v>
      </c>
      <c r="I127" s="11">
        <f t="shared" si="80"/>
        <v>7.2500000000000009E-2</v>
      </c>
      <c r="J127" s="10">
        <v>2</v>
      </c>
      <c r="K127" s="10">
        <v>0</v>
      </c>
      <c r="L127" s="2">
        <v>1</v>
      </c>
      <c r="M127" s="16">
        <v>1</v>
      </c>
      <c r="N127" s="5">
        <f t="shared" si="81"/>
        <v>37</v>
      </c>
      <c r="O127" s="9">
        <f t="shared" si="82"/>
        <v>19.459440000000001</v>
      </c>
      <c r="P127">
        <f t="shared" si="83"/>
        <v>336.29999999999995</v>
      </c>
      <c r="Q127" t="s">
        <v>186</v>
      </c>
      <c r="T127" t="s">
        <v>191</v>
      </c>
    </row>
    <row r="128" spans="1:20" x14ac:dyDescent="0.4">
      <c r="A128" t="s">
        <v>342</v>
      </c>
      <c r="B128">
        <v>20</v>
      </c>
      <c r="C128">
        <f t="shared" si="76"/>
        <v>200</v>
      </c>
      <c r="D128">
        <f>D9-30</f>
        <v>275</v>
      </c>
      <c r="E128">
        <f t="shared" si="77"/>
        <v>20</v>
      </c>
      <c r="F128" s="2">
        <v>0</v>
      </c>
      <c r="G128">
        <f t="shared" si="78"/>
        <v>31</v>
      </c>
      <c r="H128" s="6">
        <f t="shared" si="79"/>
        <v>0.65440000000000009</v>
      </c>
      <c r="I128" s="11">
        <f t="shared" si="80"/>
        <v>7.5500000000000012E-2</v>
      </c>
      <c r="J128" s="10">
        <v>2</v>
      </c>
      <c r="K128" s="10">
        <v>0</v>
      </c>
      <c r="L128" s="2">
        <v>1</v>
      </c>
      <c r="M128" s="16">
        <v>1</v>
      </c>
      <c r="N128" s="5">
        <f t="shared" si="81"/>
        <v>39</v>
      </c>
      <c r="O128" s="9">
        <f t="shared" ref="O128:O129" si="84">G128*H128*(1+I128)</f>
        <v>21.818023200000003</v>
      </c>
      <c r="P128">
        <f t="shared" ref="P128:P129" si="85">D128*(1+E128/100)</f>
        <v>330</v>
      </c>
      <c r="Q128" t="s">
        <v>172</v>
      </c>
      <c r="S128" t="s">
        <v>176</v>
      </c>
      <c r="T128" t="s">
        <v>213</v>
      </c>
    </row>
    <row r="129" spans="1:20" x14ac:dyDescent="0.4">
      <c r="A129" t="s">
        <v>341</v>
      </c>
      <c r="B129">
        <v>21</v>
      </c>
      <c r="C129">
        <f t="shared" si="76"/>
        <v>210</v>
      </c>
      <c r="D129">
        <f>D10</f>
        <v>325</v>
      </c>
      <c r="E129">
        <f t="shared" si="77"/>
        <v>21</v>
      </c>
      <c r="F129" s="2">
        <v>0</v>
      </c>
      <c r="G129">
        <f t="shared" si="78"/>
        <v>33</v>
      </c>
      <c r="H129" s="6">
        <f t="shared" si="79"/>
        <v>0.65760000000000007</v>
      </c>
      <c r="I129" s="11">
        <f t="shared" si="80"/>
        <v>7.6999999999999999E-2</v>
      </c>
      <c r="J129" s="10">
        <v>2</v>
      </c>
      <c r="K129" s="10">
        <v>0</v>
      </c>
      <c r="L129" s="2">
        <v>1</v>
      </c>
      <c r="M129" s="16">
        <v>1</v>
      </c>
      <c r="N129" s="5">
        <f t="shared" si="81"/>
        <v>40</v>
      </c>
      <c r="O129" s="9">
        <f t="shared" si="84"/>
        <v>23.371761599999999</v>
      </c>
      <c r="P129">
        <f t="shared" si="85"/>
        <v>393.25</v>
      </c>
      <c r="Q129" t="s">
        <v>185</v>
      </c>
      <c r="T129" t="s">
        <v>191</v>
      </c>
    </row>
    <row r="130" spans="1:20" x14ac:dyDescent="0.4">
      <c r="A130" t="s">
        <v>158</v>
      </c>
      <c r="B130">
        <v>23</v>
      </c>
      <c r="C130">
        <f t="shared" si="76"/>
        <v>230</v>
      </c>
      <c r="D130">
        <v>345</v>
      </c>
      <c r="E130">
        <f t="shared" si="77"/>
        <v>23</v>
      </c>
      <c r="F130" s="2">
        <v>0</v>
      </c>
      <c r="G130">
        <f t="shared" si="78"/>
        <v>36</v>
      </c>
      <c r="H130" s="6">
        <f t="shared" si="79"/>
        <v>0.66400000000000003</v>
      </c>
      <c r="I130" s="11">
        <f t="shared" si="80"/>
        <v>0.08</v>
      </c>
      <c r="J130" s="10">
        <v>2</v>
      </c>
      <c r="K130" s="10">
        <v>0</v>
      </c>
      <c r="L130" s="2">
        <v>1</v>
      </c>
      <c r="M130" s="16">
        <v>1</v>
      </c>
      <c r="N130" s="5">
        <f t="shared" si="81"/>
        <v>42</v>
      </c>
      <c r="O130" s="9">
        <f t="shared" si="82"/>
        <v>25.816320000000001</v>
      </c>
      <c r="P130">
        <f t="shared" si="83"/>
        <v>424.34999999999997</v>
      </c>
      <c r="Q130" t="s">
        <v>173</v>
      </c>
      <c r="T130" t="s">
        <v>174</v>
      </c>
    </row>
    <row r="131" spans="1:20" x14ac:dyDescent="0.4">
      <c r="A131" t="s">
        <v>344</v>
      </c>
      <c r="B131">
        <v>28</v>
      </c>
      <c r="C131">
        <f t="shared" si="76"/>
        <v>280</v>
      </c>
      <c r="D131">
        <v>405</v>
      </c>
      <c r="E131">
        <f t="shared" si="77"/>
        <v>28</v>
      </c>
      <c r="F131" s="2">
        <v>0</v>
      </c>
      <c r="G131">
        <f t="shared" si="78"/>
        <v>43</v>
      </c>
      <c r="H131" s="6">
        <f t="shared" si="79"/>
        <v>0.68</v>
      </c>
      <c r="I131" s="11">
        <f t="shared" si="80"/>
        <v>8.7499999999999994E-2</v>
      </c>
      <c r="J131" s="10">
        <v>2</v>
      </c>
      <c r="K131" s="10">
        <v>0</v>
      </c>
      <c r="L131" s="2">
        <v>1</v>
      </c>
      <c r="M131" s="16">
        <v>1</v>
      </c>
      <c r="N131" s="5">
        <f t="shared" si="81"/>
        <v>47</v>
      </c>
      <c r="O131" s="9">
        <f t="shared" si="82"/>
        <v>31.798500000000001</v>
      </c>
      <c r="P131">
        <f t="shared" si="83"/>
        <v>518.4</v>
      </c>
      <c r="Q131" t="s">
        <v>186</v>
      </c>
      <c r="T131" t="s">
        <v>191</v>
      </c>
    </row>
    <row r="132" spans="1:20" x14ac:dyDescent="0.4">
      <c r="A132" t="s">
        <v>159</v>
      </c>
      <c r="B132">
        <v>33</v>
      </c>
      <c r="C132">
        <f t="shared" si="76"/>
        <v>330</v>
      </c>
      <c r="D132">
        <v>465</v>
      </c>
      <c r="E132">
        <f t="shared" si="77"/>
        <v>33</v>
      </c>
      <c r="F132" s="2">
        <v>0</v>
      </c>
      <c r="G132">
        <f>ROUND(G13*0.8, 0)</f>
        <v>41</v>
      </c>
      <c r="H132" s="6">
        <f>H13*1.5</f>
        <v>1.044</v>
      </c>
      <c r="I132" s="11">
        <f t="shared" si="80"/>
        <v>9.5000000000000001E-2</v>
      </c>
      <c r="J132" s="10">
        <v>2</v>
      </c>
      <c r="K132" s="10">
        <v>0</v>
      </c>
      <c r="L132" s="2">
        <v>1</v>
      </c>
      <c r="M132" s="16">
        <v>1</v>
      </c>
      <c r="N132" s="5">
        <f t="shared" si="81"/>
        <v>52</v>
      </c>
      <c r="O132" s="9">
        <f t="shared" si="82"/>
        <v>46.870380000000004</v>
      </c>
      <c r="P132">
        <f t="shared" si="83"/>
        <v>618.45000000000005</v>
      </c>
      <c r="S132" t="s">
        <v>194</v>
      </c>
      <c r="T132" t="s">
        <v>195</v>
      </c>
    </row>
    <row r="133" spans="1:20" x14ac:dyDescent="0.4">
      <c r="A133" t="s">
        <v>157</v>
      </c>
      <c r="B133">
        <v>38</v>
      </c>
      <c r="C133">
        <f t="shared" si="76"/>
        <v>380</v>
      </c>
      <c r="D133">
        <f>D14</f>
        <v>485</v>
      </c>
      <c r="E133">
        <f t="shared" si="77"/>
        <v>38</v>
      </c>
      <c r="F133" s="2">
        <v>0</v>
      </c>
      <c r="G133">
        <f>G14</f>
        <v>58</v>
      </c>
      <c r="H133" s="6">
        <f>H14</f>
        <v>0.71200000000000008</v>
      </c>
      <c r="I133" s="11">
        <f t="shared" si="80"/>
        <v>0.10250000000000001</v>
      </c>
      <c r="J133" s="10">
        <v>2</v>
      </c>
      <c r="K133" s="10">
        <v>0</v>
      </c>
      <c r="L133" s="2">
        <v>1</v>
      </c>
      <c r="M133" s="16">
        <v>1</v>
      </c>
      <c r="N133" s="5">
        <f t="shared" si="81"/>
        <v>57</v>
      </c>
      <c r="O133" s="9">
        <f t="shared" si="82"/>
        <v>45.52884000000001</v>
      </c>
      <c r="P133">
        <f t="shared" si="83"/>
        <v>669.3</v>
      </c>
      <c r="Q133" t="s">
        <v>173</v>
      </c>
      <c r="T133" t="s">
        <v>174</v>
      </c>
    </row>
    <row r="134" spans="1:20" x14ac:dyDescent="0.4">
      <c r="A134" t="s">
        <v>345</v>
      </c>
      <c r="B134">
        <v>40</v>
      </c>
      <c r="C134">
        <f t="shared" si="76"/>
        <v>400</v>
      </c>
      <c r="D134">
        <f>D15</f>
        <v>500</v>
      </c>
      <c r="E134">
        <f t="shared" si="77"/>
        <v>40</v>
      </c>
      <c r="F134" s="2">
        <v>0</v>
      </c>
      <c r="G134">
        <f>ROUND(G15*0.8, 0)</f>
        <v>49</v>
      </c>
      <c r="H134" s="6">
        <f>H15*1.5</f>
        <v>1.0776000000000001</v>
      </c>
      <c r="I134" s="11">
        <f t="shared" si="80"/>
        <v>0.10550000000000001</v>
      </c>
      <c r="J134" s="10">
        <v>2</v>
      </c>
      <c r="K134" s="10">
        <v>0</v>
      </c>
      <c r="L134" s="2">
        <v>1</v>
      </c>
      <c r="M134" s="16">
        <v>1</v>
      </c>
      <c r="N134" s="5">
        <f t="shared" si="81"/>
        <v>59</v>
      </c>
      <c r="O134" s="9">
        <f t="shared" ref="O134:O135" si="86">G134*H134*(1+I134)</f>
        <v>58.373053200000001</v>
      </c>
      <c r="P134">
        <f t="shared" ref="P134:P135" si="87">D134*(1+E134/100)</f>
        <v>700</v>
      </c>
      <c r="S134" t="s">
        <v>194</v>
      </c>
      <c r="T134" t="s">
        <v>195</v>
      </c>
    </row>
    <row r="135" spans="1:20" x14ac:dyDescent="0.4">
      <c r="A135" t="s">
        <v>346</v>
      </c>
      <c r="B135">
        <v>41</v>
      </c>
      <c r="C135">
        <f t="shared" si="76"/>
        <v>410</v>
      </c>
      <c r="D135">
        <f>D16</f>
        <v>520</v>
      </c>
      <c r="E135">
        <f t="shared" si="77"/>
        <v>41</v>
      </c>
      <c r="F135" s="2">
        <v>0</v>
      </c>
      <c r="G135">
        <f>G16</f>
        <v>63</v>
      </c>
      <c r="H135" s="6">
        <f>H16</f>
        <v>0.72160000000000002</v>
      </c>
      <c r="I135" s="11">
        <f t="shared" si="80"/>
        <v>0.107</v>
      </c>
      <c r="J135" s="10">
        <v>2</v>
      </c>
      <c r="K135" s="10">
        <v>0</v>
      </c>
      <c r="L135" s="2">
        <v>1</v>
      </c>
      <c r="M135" s="16">
        <v>1</v>
      </c>
      <c r="N135" s="5">
        <f t="shared" si="81"/>
        <v>60</v>
      </c>
      <c r="O135" s="9">
        <f t="shared" si="86"/>
        <v>50.325105600000001</v>
      </c>
      <c r="P135">
        <f t="shared" si="87"/>
        <v>733.19999999999993</v>
      </c>
      <c r="Q135" t="s">
        <v>173</v>
      </c>
      <c r="T135" t="s">
        <v>174</v>
      </c>
    </row>
    <row r="136" spans="1:20" x14ac:dyDescent="0.4">
      <c r="A136" t="s">
        <v>160</v>
      </c>
      <c r="B136">
        <v>43</v>
      </c>
      <c r="C136">
        <f t="shared" si="76"/>
        <v>430</v>
      </c>
      <c r="D136">
        <v>580</v>
      </c>
      <c r="E136">
        <f t="shared" si="77"/>
        <v>43</v>
      </c>
      <c r="F136" s="2">
        <v>0</v>
      </c>
      <c r="G136">
        <f>ROUND(G17*0.8, 0)</f>
        <v>53</v>
      </c>
      <c r="H136" s="6">
        <f>H15*1.5</f>
        <v>1.0776000000000001</v>
      </c>
      <c r="I136" s="11">
        <f t="shared" si="80"/>
        <v>0.11</v>
      </c>
      <c r="J136" s="10">
        <v>2</v>
      </c>
      <c r="K136" s="10">
        <v>0</v>
      </c>
      <c r="L136" s="2">
        <v>1</v>
      </c>
      <c r="M136" s="16">
        <v>1</v>
      </c>
      <c r="N136" s="5">
        <f t="shared" si="81"/>
        <v>62</v>
      </c>
      <c r="O136" s="9">
        <f t="shared" si="82"/>
        <v>63.395208000000011</v>
      </c>
      <c r="P136">
        <f t="shared" si="83"/>
        <v>829.4</v>
      </c>
      <c r="S136" t="s">
        <v>194</v>
      </c>
      <c r="T136" t="s">
        <v>195</v>
      </c>
    </row>
    <row r="137" spans="1:20" x14ac:dyDescent="0.4">
      <c r="A137" t="s">
        <v>163</v>
      </c>
      <c r="B137">
        <v>48</v>
      </c>
      <c r="C137">
        <f t="shared" si="76"/>
        <v>480</v>
      </c>
      <c r="D137">
        <v>640</v>
      </c>
      <c r="E137">
        <f t="shared" si="77"/>
        <v>48</v>
      </c>
      <c r="F137" s="2">
        <v>0</v>
      </c>
      <c r="G137">
        <f>G18</f>
        <v>73</v>
      </c>
      <c r="H137" s="6">
        <f>H16</f>
        <v>0.72160000000000002</v>
      </c>
      <c r="I137" s="11">
        <f t="shared" si="80"/>
        <v>0.11750000000000001</v>
      </c>
      <c r="J137" s="10">
        <v>2</v>
      </c>
      <c r="K137" s="10">
        <v>0</v>
      </c>
      <c r="L137" s="2">
        <v>1</v>
      </c>
      <c r="M137" s="16">
        <v>1</v>
      </c>
      <c r="N137" s="5">
        <f t="shared" si="81"/>
        <v>67</v>
      </c>
      <c r="O137" s="9">
        <f t="shared" si="82"/>
        <v>58.866323999999999</v>
      </c>
      <c r="P137">
        <f t="shared" si="83"/>
        <v>947.2</v>
      </c>
      <c r="Q137" t="s">
        <v>173</v>
      </c>
      <c r="T137" t="s">
        <v>174</v>
      </c>
    </row>
    <row r="138" spans="1:20" x14ac:dyDescent="0.4">
      <c r="A138" t="s">
        <v>161</v>
      </c>
      <c r="B138">
        <v>53</v>
      </c>
      <c r="C138">
        <f t="shared" si="76"/>
        <v>530</v>
      </c>
      <c r="D138">
        <f>705*1.1-0.5</f>
        <v>775.00000000000011</v>
      </c>
      <c r="E138">
        <f t="shared" si="77"/>
        <v>53</v>
      </c>
      <c r="F138" s="2">
        <v>0</v>
      </c>
      <c r="G138">
        <f>G19</f>
        <v>81</v>
      </c>
      <c r="H138" s="6">
        <f>H17*1.1</f>
        <v>0.80080000000000007</v>
      </c>
      <c r="I138" s="11">
        <f t="shared" si="80"/>
        <v>0.125</v>
      </c>
      <c r="J138" s="10">
        <v>2</v>
      </c>
      <c r="K138" s="10">
        <v>0</v>
      </c>
      <c r="L138" s="2">
        <v>1</v>
      </c>
      <c r="M138" s="16">
        <v>1</v>
      </c>
      <c r="N138" s="5">
        <f t="shared" si="81"/>
        <v>72</v>
      </c>
      <c r="O138" s="9">
        <f t="shared" si="82"/>
        <v>72.97290000000001</v>
      </c>
      <c r="P138">
        <f t="shared" si="83"/>
        <v>1185.7500000000002</v>
      </c>
      <c r="S138" t="s">
        <v>196</v>
      </c>
    </row>
    <row r="139" spans="1:20" x14ac:dyDescent="0.4">
      <c r="A139" t="s">
        <v>162</v>
      </c>
      <c r="B139">
        <v>58</v>
      </c>
      <c r="C139">
        <f t="shared" si="76"/>
        <v>580</v>
      </c>
      <c r="D139">
        <f>765</f>
        <v>765</v>
      </c>
      <c r="E139">
        <f t="shared" si="77"/>
        <v>58</v>
      </c>
      <c r="F139" s="2">
        <v>0</v>
      </c>
      <c r="G139">
        <f>ROUND(G20*1.1, 0)</f>
        <v>97</v>
      </c>
      <c r="H139" s="6">
        <f>H18</f>
        <v>0.74399999999999999</v>
      </c>
      <c r="I139" s="11">
        <f t="shared" si="80"/>
        <v>0.13250000000000001</v>
      </c>
      <c r="J139" s="10">
        <v>2</v>
      </c>
      <c r="K139" s="10">
        <v>0.1</v>
      </c>
      <c r="L139" s="2">
        <v>1</v>
      </c>
      <c r="M139" s="16">
        <v>1</v>
      </c>
      <c r="N139" s="5">
        <f t="shared" si="81"/>
        <v>77</v>
      </c>
      <c r="O139" s="9">
        <f t="shared" si="82"/>
        <v>81.730260000000015</v>
      </c>
      <c r="P139">
        <f t="shared" si="83"/>
        <v>1208.7</v>
      </c>
      <c r="S139" t="s">
        <v>197</v>
      </c>
    </row>
    <row r="140" spans="1:20" x14ac:dyDescent="0.4">
      <c r="A140" t="s">
        <v>351</v>
      </c>
      <c r="B140">
        <v>60</v>
      </c>
      <c r="C140">
        <f t="shared" si="76"/>
        <v>600</v>
      </c>
      <c r="D140">
        <f>D21*1.1+1.5</f>
        <v>865.00000000000011</v>
      </c>
      <c r="E140">
        <f t="shared" si="77"/>
        <v>60</v>
      </c>
      <c r="F140" s="2">
        <v>0</v>
      </c>
      <c r="G140">
        <f>G21</f>
        <v>91</v>
      </c>
      <c r="H140" s="6">
        <f>H19*1.1</f>
        <v>0.83600000000000008</v>
      </c>
      <c r="I140" s="11">
        <f t="shared" si="80"/>
        <v>0.13550000000000001</v>
      </c>
      <c r="J140" s="10">
        <v>2</v>
      </c>
      <c r="K140" s="10">
        <v>0</v>
      </c>
      <c r="L140" s="2">
        <v>1</v>
      </c>
      <c r="M140" s="16">
        <v>1</v>
      </c>
      <c r="N140" s="5">
        <f t="shared" si="81"/>
        <v>79</v>
      </c>
      <c r="O140" s="9">
        <f t="shared" ref="O140:O141" si="88">G140*H140*(1+I140)</f>
        <v>86.384298000000001</v>
      </c>
      <c r="P140">
        <f t="shared" ref="P140:P141" si="89">D140*(1+E140/100)</f>
        <v>1384.0000000000002</v>
      </c>
      <c r="S140" t="s">
        <v>196</v>
      </c>
    </row>
    <row r="141" spans="1:20" x14ac:dyDescent="0.4">
      <c r="A141" t="s">
        <v>347</v>
      </c>
      <c r="B141">
        <v>61</v>
      </c>
      <c r="C141">
        <f t="shared" si="76"/>
        <v>610</v>
      </c>
      <c r="D141">
        <f>D22</f>
        <v>805</v>
      </c>
      <c r="E141">
        <f t="shared" si="77"/>
        <v>61</v>
      </c>
      <c r="F141" s="2">
        <v>0</v>
      </c>
      <c r="G141">
        <f>ROUND(G22*1.1, 0)</f>
        <v>102</v>
      </c>
      <c r="H141" s="6">
        <f>H20</f>
        <v>0.77600000000000002</v>
      </c>
      <c r="I141" s="11">
        <f t="shared" si="80"/>
        <v>0.13700000000000001</v>
      </c>
      <c r="J141" s="10">
        <v>2</v>
      </c>
      <c r="K141" s="10">
        <v>0.1</v>
      </c>
      <c r="L141" s="2">
        <v>1</v>
      </c>
      <c r="M141" s="16">
        <v>1</v>
      </c>
      <c r="N141" s="5">
        <f t="shared" si="81"/>
        <v>80</v>
      </c>
      <c r="O141" s="9">
        <f t="shared" si="88"/>
        <v>89.995823999999999</v>
      </c>
      <c r="P141">
        <f t="shared" si="89"/>
        <v>1296.05</v>
      </c>
      <c r="S141" t="s">
        <v>197</v>
      </c>
    </row>
    <row r="142" spans="1:20" x14ac:dyDescent="0.4">
      <c r="A142" t="s">
        <v>166</v>
      </c>
      <c r="B142">
        <v>63</v>
      </c>
      <c r="C142">
        <f t="shared" si="76"/>
        <v>630</v>
      </c>
      <c r="D142">
        <f>825*0.75+1.25</f>
        <v>620</v>
      </c>
      <c r="E142">
        <f t="shared" si="77"/>
        <v>63</v>
      </c>
      <c r="F142" s="2">
        <v>0</v>
      </c>
      <c r="G142">
        <f t="shared" ref="G142:G147" si="90">G23</f>
        <v>96</v>
      </c>
      <c r="H142" s="6">
        <f t="shared" ref="H142:H147" si="91">H19</f>
        <v>0.76</v>
      </c>
      <c r="I142" s="11">
        <f t="shared" si="80"/>
        <v>0.14000000000000001</v>
      </c>
      <c r="J142" s="10">
        <v>2</v>
      </c>
      <c r="K142" s="10">
        <v>0</v>
      </c>
      <c r="L142" s="2">
        <v>1</v>
      </c>
      <c r="M142" s="16">
        <v>1</v>
      </c>
      <c r="N142" s="5">
        <f t="shared" si="81"/>
        <v>82</v>
      </c>
      <c r="O142" s="9">
        <f t="shared" si="82"/>
        <v>83.17440000000002</v>
      </c>
      <c r="P142">
        <f t="shared" si="83"/>
        <v>1010.5999999999999</v>
      </c>
      <c r="Q142" t="s">
        <v>183</v>
      </c>
      <c r="S142" t="s">
        <v>184</v>
      </c>
      <c r="T142" t="s">
        <v>175</v>
      </c>
    </row>
    <row r="143" spans="1:20" x14ac:dyDescent="0.4">
      <c r="A143" t="s">
        <v>168</v>
      </c>
      <c r="B143">
        <v>68</v>
      </c>
      <c r="C143">
        <f t="shared" si="76"/>
        <v>680</v>
      </c>
      <c r="D143">
        <f>890*0.9-1</f>
        <v>800</v>
      </c>
      <c r="E143">
        <f>B143+18</f>
        <v>86</v>
      </c>
      <c r="F143" s="2">
        <v>0</v>
      </c>
      <c r="G143">
        <f t="shared" si="90"/>
        <v>103</v>
      </c>
      <c r="H143" s="6">
        <f t="shared" si="91"/>
        <v>0.77600000000000002</v>
      </c>
      <c r="I143" s="11">
        <f t="shared" si="80"/>
        <v>0.14750000000000002</v>
      </c>
      <c r="J143" s="10">
        <v>2</v>
      </c>
      <c r="K143" s="10">
        <v>0</v>
      </c>
      <c r="L143" s="2">
        <v>1</v>
      </c>
      <c r="M143" s="16">
        <v>3</v>
      </c>
      <c r="N143" s="5">
        <f t="shared" si="81"/>
        <v>87</v>
      </c>
      <c r="O143" s="9">
        <f t="shared" si="82"/>
        <v>91.717379999999991</v>
      </c>
      <c r="P143">
        <f t="shared" si="83"/>
        <v>1488</v>
      </c>
      <c r="Q143" t="s">
        <v>179</v>
      </c>
      <c r="S143" t="s">
        <v>180</v>
      </c>
      <c r="T143" t="s">
        <v>178</v>
      </c>
    </row>
    <row r="144" spans="1:20" x14ac:dyDescent="0.4">
      <c r="A144" t="s">
        <v>167</v>
      </c>
      <c r="B144">
        <v>73</v>
      </c>
      <c r="C144">
        <f t="shared" si="76"/>
        <v>730</v>
      </c>
      <c r="D144">
        <f>950*0.75-2.5</f>
        <v>710</v>
      </c>
      <c r="E144">
        <f>B144</f>
        <v>73</v>
      </c>
      <c r="F144" s="2">
        <v>0</v>
      </c>
      <c r="G144">
        <f t="shared" si="90"/>
        <v>111</v>
      </c>
      <c r="H144" s="6">
        <f t="shared" si="91"/>
        <v>0.78239999999999998</v>
      </c>
      <c r="I144" s="11">
        <f t="shared" si="80"/>
        <v>0.155</v>
      </c>
      <c r="J144" s="10">
        <v>2</v>
      </c>
      <c r="K144" s="10">
        <v>0</v>
      </c>
      <c r="L144" s="2">
        <v>1</v>
      </c>
      <c r="M144" s="16">
        <v>1</v>
      </c>
      <c r="N144" s="5">
        <f t="shared" si="81"/>
        <v>92</v>
      </c>
      <c r="O144" s="9">
        <f t="shared" si="82"/>
        <v>100.307592</v>
      </c>
      <c r="P144">
        <f t="shared" si="83"/>
        <v>1228.3</v>
      </c>
      <c r="Q144" t="s">
        <v>170</v>
      </c>
      <c r="S144" t="s">
        <v>184</v>
      </c>
      <c r="T144" t="s">
        <v>175</v>
      </c>
    </row>
    <row r="145" spans="1:20" x14ac:dyDescent="0.4">
      <c r="A145" t="s">
        <v>165</v>
      </c>
      <c r="B145">
        <v>78</v>
      </c>
      <c r="C145">
        <f t="shared" si="76"/>
        <v>780</v>
      </c>
      <c r="D145">
        <f>1015*0.9-3.5</f>
        <v>910</v>
      </c>
      <c r="E145">
        <f>B145+20</f>
        <v>98</v>
      </c>
      <c r="F145" s="2">
        <v>0</v>
      </c>
      <c r="G145">
        <f t="shared" si="90"/>
        <v>118</v>
      </c>
      <c r="H145" s="6">
        <f t="shared" si="91"/>
        <v>0.78560000000000008</v>
      </c>
      <c r="I145" s="11">
        <f t="shared" si="80"/>
        <v>0.16249999999999998</v>
      </c>
      <c r="J145" s="10">
        <v>2</v>
      </c>
      <c r="K145" s="10">
        <v>0</v>
      </c>
      <c r="L145" s="2">
        <v>1</v>
      </c>
      <c r="M145" s="16">
        <v>3</v>
      </c>
      <c r="N145" s="5">
        <f t="shared" si="81"/>
        <v>97</v>
      </c>
      <c r="O145" s="9">
        <f t="shared" si="82"/>
        <v>107.76468000000003</v>
      </c>
      <c r="P145">
        <f t="shared" si="83"/>
        <v>1801.8</v>
      </c>
      <c r="Q145" t="s">
        <v>179</v>
      </c>
      <c r="S145" t="s">
        <v>181</v>
      </c>
      <c r="T145" t="s">
        <v>178</v>
      </c>
    </row>
    <row r="146" spans="1:20" x14ac:dyDescent="0.4">
      <c r="A146" t="s">
        <v>348</v>
      </c>
      <c r="B146">
        <v>80</v>
      </c>
      <c r="C146">
        <f t="shared" si="76"/>
        <v>800</v>
      </c>
      <c r="D146">
        <f>D27*0.75-1.25</f>
        <v>775</v>
      </c>
      <c r="E146">
        <f>B146</f>
        <v>80</v>
      </c>
      <c r="F146" s="2">
        <v>0</v>
      </c>
      <c r="G146">
        <f t="shared" si="90"/>
        <v>121</v>
      </c>
      <c r="H146" s="6">
        <f t="shared" si="91"/>
        <v>0.79200000000000004</v>
      </c>
      <c r="I146" s="11">
        <f t="shared" si="80"/>
        <v>0.16549999999999998</v>
      </c>
      <c r="J146" s="10">
        <v>2</v>
      </c>
      <c r="K146" s="10">
        <v>0</v>
      </c>
      <c r="L146" s="2">
        <v>1</v>
      </c>
      <c r="M146" s="16">
        <v>1</v>
      </c>
      <c r="N146" s="5">
        <f t="shared" si="81"/>
        <v>99</v>
      </c>
      <c r="O146" s="9">
        <f t="shared" ref="O146:O147" si="92">G146*H146*(1+I146)</f>
        <v>111.69219600000001</v>
      </c>
      <c r="P146">
        <f t="shared" ref="P146:P147" si="93">D146*(1+E146/100)</f>
        <v>1395</v>
      </c>
      <c r="Q146" t="s">
        <v>170</v>
      </c>
      <c r="S146" t="s">
        <v>184</v>
      </c>
      <c r="T146" t="s">
        <v>175</v>
      </c>
    </row>
    <row r="147" spans="1:20" x14ac:dyDescent="0.4">
      <c r="A147" t="s">
        <v>352</v>
      </c>
      <c r="B147">
        <v>81</v>
      </c>
      <c r="C147">
        <f t="shared" si="76"/>
        <v>810</v>
      </c>
      <c r="D147">
        <f>MROUND(D28*0.9, 5)</f>
        <v>945</v>
      </c>
      <c r="E147">
        <f>B147+20</f>
        <v>101</v>
      </c>
      <c r="F147" s="2">
        <v>0</v>
      </c>
      <c r="G147">
        <f t="shared" si="90"/>
        <v>123</v>
      </c>
      <c r="H147" s="6">
        <f t="shared" si="91"/>
        <v>0.80800000000000005</v>
      </c>
      <c r="I147" s="11">
        <f t="shared" si="80"/>
        <v>0.16699999999999998</v>
      </c>
      <c r="J147" s="10">
        <v>2</v>
      </c>
      <c r="K147" s="10">
        <v>0</v>
      </c>
      <c r="L147" s="2">
        <v>1</v>
      </c>
      <c r="M147" s="16">
        <v>3</v>
      </c>
      <c r="N147" s="5">
        <f t="shared" si="81"/>
        <v>100</v>
      </c>
      <c r="O147" s="9">
        <f t="shared" si="92"/>
        <v>115.981128</v>
      </c>
      <c r="P147">
        <f t="shared" si="93"/>
        <v>1899.4499999999998</v>
      </c>
      <c r="Q147" t="s">
        <v>179</v>
      </c>
      <c r="S147" t="s">
        <v>181</v>
      </c>
      <c r="T147" t="s">
        <v>178</v>
      </c>
    </row>
    <row r="148" spans="1:20" x14ac:dyDescent="0.4">
      <c r="A148" t="s">
        <v>349</v>
      </c>
      <c r="B148">
        <v>83</v>
      </c>
      <c r="C148">
        <f t="shared" si="76"/>
        <v>830</v>
      </c>
      <c r="D148">
        <f>1075*0.75-1.25</f>
        <v>805</v>
      </c>
      <c r="E148">
        <f>B148</f>
        <v>83</v>
      </c>
      <c r="F148" s="2">
        <v>0</v>
      </c>
      <c r="G148">
        <f t="shared" ref="G148:G153" si="94">G29</f>
        <v>126</v>
      </c>
      <c r="H148" s="6">
        <f t="shared" ref="H148:H153" si="95">H23</f>
        <v>0.79200000000000004</v>
      </c>
      <c r="I148" s="11">
        <f t="shared" si="80"/>
        <v>0.16999999999999998</v>
      </c>
      <c r="J148" s="10">
        <v>2</v>
      </c>
      <c r="K148" s="10">
        <v>0</v>
      </c>
      <c r="L148" s="2">
        <v>1</v>
      </c>
      <c r="M148" s="16">
        <v>1</v>
      </c>
      <c r="N148" s="5">
        <f t="shared" si="81"/>
        <v>102</v>
      </c>
      <c r="O148" s="9">
        <f t="shared" si="82"/>
        <v>116.75663999999999</v>
      </c>
      <c r="P148">
        <f t="shared" si="83"/>
        <v>1473.15</v>
      </c>
      <c r="Q148" t="s">
        <v>170</v>
      </c>
      <c r="S148" t="s">
        <v>184</v>
      </c>
      <c r="T148" t="s">
        <v>189</v>
      </c>
    </row>
    <row r="149" spans="1:20" x14ac:dyDescent="0.4">
      <c r="A149" t="s">
        <v>169</v>
      </c>
      <c r="B149">
        <v>88</v>
      </c>
      <c r="C149">
        <f t="shared" si="76"/>
        <v>880</v>
      </c>
      <c r="D149">
        <v>1140</v>
      </c>
      <c r="E149">
        <f>B149</f>
        <v>88</v>
      </c>
      <c r="F149" s="2">
        <v>0</v>
      </c>
      <c r="G149">
        <f t="shared" si="94"/>
        <v>133</v>
      </c>
      <c r="H149" s="6">
        <f t="shared" si="95"/>
        <v>0.80800000000000005</v>
      </c>
      <c r="I149" s="11">
        <f t="shared" si="80"/>
        <v>0.17749999999999999</v>
      </c>
      <c r="J149" s="10">
        <v>2</v>
      </c>
      <c r="K149" s="10">
        <v>0</v>
      </c>
      <c r="L149" s="2">
        <v>1</v>
      </c>
      <c r="M149" s="16">
        <v>1</v>
      </c>
      <c r="N149" s="5">
        <f t="shared" si="81"/>
        <v>107</v>
      </c>
      <c r="O149" s="9">
        <f t="shared" si="82"/>
        <v>126.53886000000001</v>
      </c>
      <c r="P149">
        <f t="shared" si="83"/>
        <v>2143.1999999999998</v>
      </c>
      <c r="Q149" t="s">
        <v>188</v>
      </c>
      <c r="T149" t="s">
        <v>190</v>
      </c>
    </row>
    <row r="150" spans="1:20" x14ac:dyDescent="0.4">
      <c r="A150" t="s">
        <v>356</v>
      </c>
      <c r="B150">
        <v>93</v>
      </c>
      <c r="C150">
        <f t="shared" si="76"/>
        <v>930</v>
      </c>
      <c r="D150">
        <f>1205*0.9+0.5</f>
        <v>1085</v>
      </c>
      <c r="E150">
        <f>B150+22</f>
        <v>115</v>
      </c>
      <c r="F150" s="2">
        <v>0</v>
      </c>
      <c r="G150">
        <f t="shared" si="94"/>
        <v>141</v>
      </c>
      <c r="H150" s="6">
        <f t="shared" si="95"/>
        <v>0.82400000000000007</v>
      </c>
      <c r="I150" s="11">
        <f t="shared" si="80"/>
        <v>0.185</v>
      </c>
      <c r="J150" s="10">
        <v>2</v>
      </c>
      <c r="K150" s="10">
        <v>0</v>
      </c>
      <c r="L150" s="2">
        <v>1</v>
      </c>
      <c r="M150" s="16">
        <v>3</v>
      </c>
      <c r="N150" s="5">
        <f t="shared" si="81"/>
        <v>112</v>
      </c>
      <c r="O150" s="9">
        <f t="shared" si="82"/>
        <v>137.67804000000001</v>
      </c>
      <c r="P150">
        <f t="shared" si="83"/>
        <v>2332.75</v>
      </c>
      <c r="Q150" t="s">
        <v>179</v>
      </c>
      <c r="S150" t="s">
        <v>182</v>
      </c>
      <c r="T150" t="s">
        <v>178</v>
      </c>
    </row>
    <row r="151" spans="1:20" x14ac:dyDescent="0.4">
      <c r="A151" t="s">
        <v>357</v>
      </c>
      <c r="B151">
        <v>98</v>
      </c>
      <c r="C151">
        <f t="shared" si="76"/>
        <v>980</v>
      </c>
      <c r="D151">
        <v>1270</v>
      </c>
      <c r="E151">
        <f>B151</f>
        <v>98</v>
      </c>
      <c r="F151" s="2">
        <v>0</v>
      </c>
      <c r="G151">
        <f t="shared" si="94"/>
        <v>148</v>
      </c>
      <c r="H151" s="6">
        <f t="shared" si="95"/>
        <v>0.84000000000000008</v>
      </c>
      <c r="I151" s="11">
        <f t="shared" si="80"/>
        <v>0.1925</v>
      </c>
      <c r="J151" s="10">
        <v>2</v>
      </c>
      <c r="K151" s="10">
        <v>0</v>
      </c>
      <c r="L151" s="2">
        <v>1</v>
      </c>
      <c r="M151" s="16">
        <v>1</v>
      </c>
      <c r="N151" s="5">
        <f t="shared" si="81"/>
        <v>117</v>
      </c>
      <c r="O151" s="9">
        <f t="shared" si="82"/>
        <v>148.2516</v>
      </c>
      <c r="P151">
        <f t="shared" si="83"/>
        <v>2514.6</v>
      </c>
      <c r="Q151" t="s">
        <v>187</v>
      </c>
      <c r="T151" t="s">
        <v>210</v>
      </c>
    </row>
    <row r="152" spans="1:20" x14ac:dyDescent="0.4">
      <c r="B152">
        <v>100</v>
      </c>
      <c r="C152">
        <f t="shared" si="76"/>
        <v>1000</v>
      </c>
      <c r="D152">
        <f>MROUND(D33*0.9+0.5, 5)</f>
        <v>1170</v>
      </c>
      <c r="E152">
        <f>B152+22</f>
        <v>122</v>
      </c>
      <c r="F152" s="2">
        <v>0</v>
      </c>
      <c r="G152">
        <f t="shared" si="94"/>
        <v>151</v>
      </c>
      <c r="H152" s="6">
        <f t="shared" si="95"/>
        <v>0.84640000000000004</v>
      </c>
      <c r="I152" s="11">
        <f t="shared" si="80"/>
        <v>0.19550000000000001</v>
      </c>
      <c r="J152" s="10">
        <v>2</v>
      </c>
      <c r="K152" s="10">
        <v>0</v>
      </c>
      <c r="L152" s="2">
        <v>1</v>
      </c>
      <c r="M152" s="16">
        <v>3</v>
      </c>
      <c r="N152" s="5">
        <f t="shared" si="81"/>
        <v>119</v>
      </c>
      <c r="O152" s="9">
        <f t="shared" ref="O152:O153" si="96">G152*H152*(1+I152)</f>
        <v>152.79255120000002</v>
      </c>
      <c r="P152">
        <f t="shared" ref="P152:P153" si="97">D152*(1+E152/100)</f>
        <v>2597.3999999999996</v>
      </c>
      <c r="Q152" t="s">
        <v>179</v>
      </c>
      <c r="S152" t="s">
        <v>182</v>
      </c>
      <c r="T152" t="s">
        <v>178</v>
      </c>
    </row>
    <row r="153" spans="1:20" x14ac:dyDescent="0.4">
      <c r="B153">
        <v>101</v>
      </c>
      <c r="C153">
        <f t="shared" si="76"/>
        <v>1010</v>
      </c>
      <c r="D153">
        <f>D34</f>
        <v>1350</v>
      </c>
      <c r="E153">
        <f>B153</f>
        <v>101</v>
      </c>
      <c r="F153" s="2">
        <v>0</v>
      </c>
      <c r="G153">
        <f t="shared" si="94"/>
        <v>153</v>
      </c>
      <c r="H153" s="6">
        <f t="shared" si="95"/>
        <v>0.84960000000000002</v>
      </c>
      <c r="I153" s="11">
        <f t="shared" si="80"/>
        <v>0.19700000000000001</v>
      </c>
      <c r="J153" s="10">
        <v>2</v>
      </c>
      <c r="K153" s="10">
        <v>0</v>
      </c>
      <c r="L153" s="2">
        <v>1</v>
      </c>
      <c r="M153" s="16">
        <v>1</v>
      </c>
      <c r="N153" s="5">
        <f t="shared" si="81"/>
        <v>120</v>
      </c>
      <c r="O153" s="9">
        <f t="shared" si="96"/>
        <v>155.59659360000001</v>
      </c>
      <c r="P153">
        <f t="shared" si="97"/>
        <v>2713.4999999999995</v>
      </c>
      <c r="Q153" t="s">
        <v>350</v>
      </c>
      <c r="T153" t="s">
        <v>210</v>
      </c>
    </row>
    <row r="154" spans="1:20" x14ac:dyDescent="0.4">
      <c r="I154" s="11"/>
      <c r="J154" s="10"/>
      <c r="K154" s="10"/>
      <c r="L154" s="2"/>
      <c r="M154" s="16"/>
      <c r="N154" s="5"/>
      <c r="O154" s="9"/>
    </row>
    <row r="155" spans="1:20" x14ac:dyDescent="0.4">
      <c r="I155" s="11"/>
      <c r="J155" s="10"/>
      <c r="K155" s="10"/>
      <c r="L155" s="2"/>
      <c r="M155" s="16"/>
      <c r="N155" s="5"/>
      <c r="O155" s="9"/>
    </row>
    <row r="156" spans="1:20" x14ac:dyDescent="0.4">
      <c r="A156" t="s">
        <v>149</v>
      </c>
    </row>
    <row r="157" spans="1:20" x14ac:dyDescent="0.4">
      <c r="A157" t="s">
        <v>150</v>
      </c>
      <c r="F157"/>
      <c r="H157"/>
    </row>
    <row r="158" spans="1:20" x14ac:dyDescent="0.4">
      <c r="A158" t="s">
        <v>151</v>
      </c>
      <c r="F158"/>
      <c r="H158"/>
    </row>
    <row r="159" spans="1:20" x14ac:dyDescent="0.4">
      <c r="A159" t="s">
        <v>152</v>
      </c>
      <c r="F159"/>
      <c r="H159"/>
    </row>
    <row r="160" spans="1:20" x14ac:dyDescent="0.4">
      <c r="A160" t="s">
        <v>153</v>
      </c>
      <c r="F160"/>
      <c r="H160"/>
    </row>
    <row r="161" spans="1:8" x14ac:dyDescent="0.4">
      <c r="A161" t="s">
        <v>154</v>
      </c>
      <c r="F161"/>
      <c r="H161"/>
    </row>
  </sheetData>
  <phoneticPr fontId="1" type="noConversion"/>
  <pageMargins left="0.7" right="0.7" top="0.75" bottom="0.75" header="0.3" footer="0.3"/>
  <pageSetup paperSize="9" orientation="portrait" r:id="rId1"/>
  <ignoredErrors>
    <ignoredError sqref="C74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2F095-169F-464E-BAED-3B17F2B91FA6}">
  <dimension ref="A1:U10"/>
  <sheetViews>
    <sheetView workbookViewId="0">
      <selection activeCell="K16" sqref="K16"/>
    </sheetView>
  </sheetViews>
  <sheetFormatPr defaultRowHeight="17.399999999999999" x14ac:dyDescent="0.4"/>
  <sheetData>
    <row r="1" spans="1:21" x14ac:dyDescent="0.4">
      <c r="F1" s="2"/>
      <c r="H1" s="6"/>
    </row>
    <row r="2" spans="1:21" ht="21" x14ac:dyDescent="0.4">
      <c r="B2" s="14" t="s">
        <v>359</v>
      </c>
      <c r="E2" t="s">
        <v>362</v>
      </c>
      <c r="F2" s="2"/>
      <c r="H2" s="6"/>
    </row>
    <row r="3" spans="1:21" ht="19.8" thickBot="1" x14ac:dyDescent="0.45">
      <c r="A3" s="13" t="s">
        <v>358</v>
      </c>
      <c r="F3" s="2"/>
      <c r="H3" s="6"/>
    </row>
    <row r="4" spans="1:21" ht="18" thickBot="1" x14ac:dyDescent="0.45">
      <c r="A4" s="36" t="s">
        <v>19</v>
      </c>
      <c r="B4" s="36" t="s">
        <v>18</v>
      </c>
      <c r="C4" s="36" t="s">
        <v>322</v>
      </c>
      <c r="D4" s="28" t="s">
        <v>301</v>
      </c>
      <c r="E4" s="28" t="s">
        <v>302</v>
      </c>
      <c r="F4" s="40" t="s">
        <v>303</v>
      </c>
      <c r="G4" s="37" t="s">
        <v>305</v>
      </c>
      <c r="H4" s="52" t="s">
        <v>306</v>
      </c>
      <c r="I4" s="37" t="s">
        <v>307</v>
      </c>
      <c r="J4" s="37" t="s">
        <v>308</v>
      </c>
      <c r="K4" s="37" t="s">
        <v>309</v>
      </c>
      <c r="L4" s="38" t="s">
        <v>310</v>
      </c>
      <c r="M4" s="38" t="s">
        <v>312</v>
      </c>
      <c r="N4" s="38" t="s">
        <v>324</v>
      </c>
      <c r="O4" s="23" t="s">
        <v>313</v>
      </c>
      <c r="P4" s="23" t="s">
        <v>314</v>
      </c>
      <c r="Q4" s="24" t="s">
        <v>325</v>
      </c>
      <c r="R4" s="41" t="s">
        <v>326</v>
      </c>
      <c r="S4" s="41" t="s">
        <v>327</v>
      </c>
      <c r="T4" s="41" t="s">
        <v>364</v>
      </c>
      <c r="U4" s="41" t="s">
        <v>360</v>
      </c>
    </row>
    <row r="5" spans="1:21" ht="18" thickTop="1" x14ac:dyDescent="0.4">
      <c r="A5" t="s">
        <v>361</v>
      </c>
      <c r="B5">
        <v>25</v>
      </c>
      <c r="C5">
        <f>10*B5 * 5</f>
        <v>1250</v>
      </c>
      <c r="D5">
        <f xml:space="preserve"> 305 * 2</f>
        <v>610</v>
      </c>
      <c r="E5">
        <f>B5 + 10</f>
        <v>35</v>
      </c>
      <c r="F5" s="2">
        <v>0</v>
      </c>
      <c r="G5">
        <f>ROUND((10+2.5*B5), 0)</f>
        <v>73</v>
      </c>
      <c r="H5" s="6">
        <f>0.5904+0.0032*B5</f>
        <v>0.6704</v>
      </c>
      <c r="I5" s="11">
        <f t="shared" ref="I5:I8" si="0">0.05+0.15*(-3+B5)%</f>
        <v>8.3000000000000004E-2</v>
      </c>
      <c r="J5" s="10">
        <v>2</v>
      </c>
      <c r="K5" s="10">
        <v>0</v>
      </c>
      <c r="L5" s="2">
        <v>1</v>
      </c>
      <c r="M5" s="16">
        <v>1</v>
      </c>
      <c r="N5" s="5">
        <f>(ROUND(B5*0.9,0)+18) * 5</f>
        <v>205</v>
      </c>
      <c r="O5" s="9">
        <f t="shared" ref="O5:O8" si="1">G5*H5*(1+I5)</f>
        <v>53.001153599999995</v>
      </c>
      <c r="P5">
        <f t="shared" ref="P5:P8" si="2">D5*(1+E5/100)</f>
        <v>823.5</v>
      </c>
      <c r="T5">
        <v>1</v>
      </c>
      <c r="U5" t="s">
        <v>363</v>
      </c>
    </row>
    <row r="6" spans="1:21" x14ac:dyDescent="0.4">
      <c r="A6" t="s">
        <v>371</v>
      </c>
      <c r="B6">
        <v>45</v>
      </c>
      <c r="C6">
        <f>10*B6*5</f>
        <v>2250</v>
      </c>
      <c r="D6">
        <v>1080</v>
      </c>
      <c r="E6">
        <f>B6 +10</f>
        <v>55</v>
      </c>
      <c r="F6" s="2">
        <v>0</v>
      </c>
      <c r="G6">
        <f xml:space="preserve"> 125</f>
        <v>125</v>
      </c>
      <c r="H6" s="6">
        <f t="shared" ref="H6:H7" si="3">0.5904+0.0032*B6</f>
        <v>0.73440000000000005</v>
      </c>
      <c r="I6" s="11">
        <f t="shared" si="0"/>
        <v>0.113</v>
      </c>
      <c r="J6" s="10">
        <v>2</v>
      </c>
      <c r="K6" s="10">
        <v>0</v>
      </c>
      <c r="L6" s="2">
        <v>1</v>
      </c>
      <c r="M6" s="16">
        <v>1</v>
      </c>
      <c r="N6" s="5">
        <f>(ROUND(B6*0.9,0)+18) *5</f>
        <v>295</v>
      </c>
      <c r="O6" s="9">
        <f t="shared" si="1"/>
        <v>102.17340000000002</v>
      </c>
      <c r="P6">
        <f t="shared" si="2"/>
        <v>1674</v>
      </c>
      <c r="T6">
        <v>2</v>
      </c>
      <c r="U6" t="s">
        <v>366</v>
      </c>
    </row>
    <row r="7" spans="1:21" x14ac:dyDescent="0.4">
      <c r="A7" t="s">
        <v>367</v>
      </c>
      <c r="B7">
        <v>65</v>
      </c>
      <c r="C7">
        <f>10*B7*5</f>
        <v>3250</v>
      </c>
      <c r="D7">
        <v>1650</v>
      </c>
      <c r="E7">
        <f>B7+ 10</f>
        <v>75</v>
      </c>
      <c r="F7" s="2">
        <v>0</v>
      </c>
      <c r="G7">
        <v>188</v>
      </c>
      <c r="H7" s="6">
        <f t="shared" si="3"/>
        <v>0.7984</v>
      </c>
      <c r="I7" s="11">
        <f t="shared" si="0"/>
        <v>0.14300000000000002</v>
      </c>
      <c r="J7" s="10">
        <v>2</v>
      </c>
      <c r="K7" s="10">
        <v>0</v>
      </c>
      <c r="L7" s="2">
        <v>1</v>
      </c>
      <c r="M7" s="16">
        <v>1</v>
      </c>
      <c r="N7" s="5">
        <f>(ROUND(B7*0.9,0)+18)*5</f>
        <v>385</v>
      </c>
      <c r="O7" s="9">
        <f t="shared" si="1"/>
        <v>171.5633856</v>
      </c>
      <c r="P7">
        <f t="shared" si="2"/>
        <v>2887.5</v>
      </c>
      <c r="T7">
        <v>2</v>
      </c>
      <c r="U7" t="s">
        <v>363</v>
      </c>
    </row>
    <row r="8" spans="1:21" x14ac:dyDescent="0.4">
      <c r="A8" t="s">
        <v>369</v>
      </c>
      <c r="B8">
        <v>25</v>
      </c>
      <c r="C8">
        <f>10*B8*5</f>
        <v>1250</v>
      </c>
      <c r="D8">
        <f xml:space="preserve"> 560</f>
        <v>560</v>
      </c>
      <c r="E8">
        <f>B8 + 23</f>
        <v>48</v>
      </c>
      <c r="F8" s="2">
        <v>0</v>
      </c>
      <c r="G8">
        <f>65</f>
        <v>65</v>
      </c>
      <c r="H8" s="6">
        <f>0.6704+0.0032*B8</f>
        <v>0.75039999999999996</v>
      </c>
      <c r="I8" s="11">
        <f t="shared" si="0"/>
        <v>8.3000000000000004E-2</v>
      </c>
      <c r="J8" s="10">
        <v>2</v>
      </c>
      <c r="K8" s="10">
        <v>0</v>
      </c>
      <c r="L8" s="2">
        <v>1</v>
      </c>
      <c r="M8" s="16">
        <v>1</v>
      </c>
      <c r="N8" s="5">
        <f t="shared" ref="N8" si="4">ROUND(B8*0.9,0)+18</f>
        <v>41</v>
      </c>
      <c r="O8" s="9">
        <f t="shared" si="1"/>
        <v>52.824407999999991</v>
      </c>
      <c r="P8">
        <f t="shared" si="2"/>
        <v>828.8</v>
      </c>
      <c r="T8">
        <v>3</v>
      </c>
      <c r="U8" t="s">
        <v>370</v>
      </c>
    </row>
    <row r="9" spans="1:21" x14ac:dyDescent="0.4">
      <c r="A9" t="s">
        <v>365</v>
      </c>
      <c r="B9">
        <v>45</v>
      </c>
      <c r="C9">
        <f>10*B9*5</f>
        <v>2250</v>
      </c>
      <c r="D9">
        <v>1065</v>
      </c>
      <c r="E9">
        <f>B9 +21</f>
        <v>66</v>
      </c>
      <c r="F9" s="2">
        <v>0</v>
      </c>
      <c r="G9">
        <f xml:space="preserve"> 128</f>
        <v>128</v>
      </c>
      <c r="H9" s="6">
        <f t="shared" ref="H9:H10" si="5">0.5904+0.0032*B9</f>
        <v>0.73440000000000005</v>
      </c>
      <c r="I9" s="11">
        <f>0.1+0.15*(-3+B9)%</f>
        <v>0.16300000000000001</v>
      </c>
      <c r="J9" s="10">
        <v>2</v>
      </c>
      <c r="K9" s="10">
        <v>0</v>
      </c>
      <c r="L9" s="2">
        <v>1</v>
      </c>
      <c r="M9" s="16">
        <v>1</v>
      </c>
      <c r="N9" s="5">
        <f>(ROUND(B9*0.9,0)+18) *5</f>
        <v>295</v>
      </c>
      <c r="O9" s="9">
        <f t="shared" ref="O9:O10" si="6">G9*H9*(1+I9)</f>
        <v>109.32572160000001</v>
      </c>
      <c r="P9">
        <f t="shared" ref="P9:P10" si="7">D9*(1+E9/100)</f>
        <v>1767.9</v>
      </c>
      <c r="T9">
        <v>3</v>
      </c>
      <c r="U9" t="s">
        <v>366</v>
      </c>
    </row>
    <row r="10" spans="1:21" x14ac:dyDescent="0.4">
      <c r="A10" t="s">
        <v>368</v>
      </c>
      <c r="B10">
        <v>65</v>
      </c>
      <c r="C10">
        <f>10*B10*5</f>
        <v>3250</v>
      </c>
      <c r="D10">
        <v>1700</v>
      </c>
      <c r="E10">
        <f>B10+15</f>
        <v>80</v>
      </c>
      <c r="F10" s="2">
        <v>0</v>
      </c>
      <c r="G10">
        <v>196</v>
      </c>
      <c r="H10" s="6">
        <f t="shared" si="5"/>
        <v>0.7984</v>
      </c>
      <c r="I10" s="11">
        <f t="shared" ref="I10" si="8">0.05+0.15*(-3+B10)%</f>
        <v>0.14300000000000002</v>
      </c>
      <c r="J10" s="10">
        <v>2</v>
      </c>
      <c r="K10" s="10">
        <v>0</v>
      </c>
      <c r="L10" s="2">
        <v>1</v>
      </c>
      <c r="M10" s="16">
        <v>1</v>
      </c>
      <c r="N10" s="5">
        <f>(ROUND(B10*0.9,0)+18)*5</f>
        <v>385</v>
      </c>
      <c r="O10" s="9">
        <f t="shared" si="6"/>
        <v>178.86395519999999</v>
      </c>
      <c r="P10">
        <f t="shared" si="7"/>
        <v>3060</v>
      </c>
      <c r="T10">
        <v>3</v>
      </c>
      <c r="U10" t="s">
        <v>363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B8"/>
  <sheetViews>
    <sheetView workbookViewId="0">
      <selection activeCell="C37" sqref="C37"/>
    </sheetView>
  </sheetViews>
  <sheetFormatPr defaultRowHeight="17.399999999999999" x14ac:dyDescent="0.4"/>
  <cols>
    <col min="1" max="1" width="24" customWidth="1"/>
    <col min="2" max="2" width="33.8984375" customWidth="1"/>
  </cols>
  <sheetData>
    <row r="2" spans="1:2" ht="21" x14ac:dyDescent="0.4">
      <c r="B2" s="1" t="s">
        <v>21</v>
      </c>
    </row>
    <row r="4" spans="1:2" x14ac:dyDescent="0.4">
      <c r="A4" t="s">
        <v>22</v>
      </c>
      <c r="B4" s="12">
        <v>2</v>
      </c>
    </row>
    <row r="5" spans="1:2" x14ac:dyDescent="0.4">
      <c r="A5" t="s">
        <v>23</v>
      </c>
      <c r="B5" s="2">
        <v>0.25</v>
      </c>
    </row>
    <row r="6" spans="1:2" x14ac:dyDescent="0.4">
      <c r="A6" t="s">
        <v>24</v>
      </c>
      <c r="B6" s="12">
        <v>160</v>
      </c>
    </row>
    <row r="7" spans="1:2" x14ac:dyDescent="0.4">
      <c r="A7" t="s">
        <v>62</v>
      </c>
      <c r="B7" s="15" t="s">
        <v>61</v>
      </c>
    </row>
    <row r="8" spans="1:2" x14ac:dyDescent="0.4">
      <c r="A8" t="s">
        <v>63</v>
      </c>
      <c r="B8" s="12">
        <v>1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B5"/>
  <sheetViews>
    <sheetView workbookViewId="0">
      <selection activeCell="B5" sqref="B5"/>
    </sheetView>
  </sheetViews>
  <sheetFormatPr defaultRowHeight="17.399999999999999" x14ac:dyDescent="0.4"/>
  <sheetData>
    <row r="2" spans="2:2" ht="21" x14ac:dyDescent="0.4">
      <c r="B2" s="1" t="s">
        <v>278</v>
      </c>
    </row>
    <row r="3" spans="2:2" x14ac:dyDescent="0.4">
      <c r="B3" t="s">
        <v>171</v>
      </c>
    </row>
    <row r="4" spans="2:2" x14ac:dyDescent="0.4">
      <c r="B4" t="s">
        <v>103</v>
      </c>
    </row>
    <row r="5" spans="2:2" x14ac:dyDescent="0.4">
      <c r="B5" t="s">
        <v>240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98AC2-4149-42EF-9B4D-8CD3C42E6135}">
  <dimension ref="A2:V32"/>
  <sheetViews>
    <sheetView workbookViewId="0">
      <selection activeCell="B5" sqref="B5"/>
    </sheetView>
  </sheetViews>
  <sheetFormatPr defaultRowHeight="17.399999999999999" x14ac:dyDescent="0.4"/>
  <cols>
    <col min="2" max="2" width="20.69921875" customWidth="1"/>
    <col min="3" max="6" width="12.69921875" customWidth="1"/>
    <col min="7" max="9" width="10.69921875" customWidth="1"/>
    <col min="10" max="10" width="10.69921875" style="2" customWidth="1"/>
    <col min="11" max="12" width="10.69921875" customWidth="1"/>
    <col min="13" max="15" width="10.69921875" style="10" customWidth="1"/>
    <col min="16" max="20" width="10.69921875" customWidth="1"/>
  </cols>
  <sheetData>
    <row r="2" spans="1:22" ht="21" x14ac:dyDescent="0.4">
      <c r="B2" s="1" t="s">
        <v>248</v>
      </c>
      <c r="V2" s="19"/>
    </row>
    <row r="3" spans="1:22" x14ac:dyDescent="0.4">
      <c r="C3" s="30"/>
    </row>
    <row r="4" spans="1:22" ht="19.8" thickBot="1" x14ac:dyDescent="0.45">
      <c r="B4" s="29" t="s">
        <v>247</v>
      </c>
    </row>
    <row r="5" spans="1:22" ht="18" thickBot="1" x14ac:dyDescent="0.45">
      <c r="A5" s="20"/>
      <c r="B5" s="21" t="s">
        <v>19</v>
      </c>
      <c r="C5" s="22" t="s">
        <v>241</v>
      </c>
      <c r="D5" s="22" t="s">
        <v>242</v>
      </c>
      <c r="E5" s="22" t="s">
        <v>243</v>
      </c>
      <c r="F5" s="22" t="s">
        <v>244</v>
      </c>
      <c r="G5" s="24" t="s">
        <v>18</v>
      </c>
      <c r="H5" s="24" t="s">
        <v>0</v>
      </c>
      <c r="I5" s="24" t="s">
        <v>3</v>
      </c>
      <c r="J5" s="34" t="s">
        <v>292</v>
      </c>
      <c r="K5" s="24" t="s">
        <v>2</v>
      </c>
      <c r="L5" s="24" t="s">
        <v>8</v>
      </c>
      <c r="M5" s="25" t="s">
        <v>5</v>
      </c>
      <c r="N5" s="25" t="s">
        <v>6</v>
      </c>
      <c r="O5" s="25" t="s">
        <v>7</v>
      </c>
      <c r="P5" s="24" t="s">
        <v>4</v>
      </c>
      <c r="Q5" s="26" t="s">
        <v>40</v>
      </c>
      <c r="R5" s="27" t="s">
        <v>9</v>
      </c>
      <c r="S5" s="28" t="s">
        <v>10</v>
      </c>
    </row>
    <row r="6" spans="1:22" ht="18" thickTop="1" x14ac:dyDescent="0.4">
      <c r="A6" s="20"/>
      <c r="B6" t="s">
        <v>265</v>
      </c>
      <c r="C6" t="s">
        <v>245</v>
      </c>
      <c r="D6" t="s">
        <v>245</v>
      </c>
      <c r="E6" t="s">
        <v>245</v>
      </c>
      <c r="F6" t="s">
        <v>245</v>
      </c>
      <c r="G6">
        <v>100</v>
      </c>
      <c r="H6">
        <v>1635</v>
      </c>
      <c r="I6">
        <v>69</v>
      </c>
      <c r="J6" s="2">
        <v>0</v>
      </c>
      <c r="K6">
        <v>448</v>
      </c>
      <c r="L6">
        <v>1.73</v>
      </c>
      <c r="M6" s="10">
        <v>0.93</v>
      </c>
      <c r="N6" s="10">
        <v>2</v>
      </c>
      <c r="O6" s="10">
        <v>0.4</v>
      </c>
      <c r="P6">
        <v>1</v>
      </c>
      <c r="Q6" s="20">
        <v>1</v>
      </c>
      <c r="R6">
        <f t="shared" ref="R6:R17" si="0">K6*L6*(1+M6*(N6-1))</f>
        <v>1495.8271999999999</v>
      </c>
      <c r="S6">
        <f>H6*(1+I6/100)*(1+J6)</f>
        <v>2763.15</v>
      </c>
    </row>
    <row r="7" spans="1:22" x14ac:dyDescent="0.4">
      <c r="A7" s="20"/>
      <c r="B7" t="s">
        <v>266</v>
      </c>
      <c r="C7" t="s">
        <v>246</v>
      </c>
      <c r="D7" t="s">
        <v>246</v>
      </c>
      <c r="E7" t="s">
        <v>246</v>
      </c>
      <c r="F7" t="s">
        <v>246</v>
      </c>
      <c r="G7">
        <v>100</v>
      </c>
      <c r="H7">
        <f>1635+900*4</f>
        <v>5235</v>
      </c>
      <c r="I7">
        <f>69+4*75</f>
        <v>369</v>
      </c>
      <c r="J7" s="2">
        <v>0</v>
      </c>
      <c r="K7">
        <v>152</v>
      </c>
      <c r="L7">
        <v>0.86499999999999999</v>
      </c>
      <c r="M7" s="10">
        <f>5%</f>
        <v>0.05</v>
      </c>
      <c r="N7" s="10">
        <v>2</v>
      </c>
      <c r="O7" s="10">
        <v>0</v>
      </c>
      <c r="P7">
        <v>1</v>
      </c>
      <c r="Q7" s="20">
        <v>1</v>
      </c>
      <c r="R7">
        <f t="shared" si="0"/>
        <v>138.054</v>
      </c>
      <c r="S7">
        <f t="shared" ref="S7:S24" si="1">H7*(1+I7/100)*(1+J7)</f>
        <v>24552.149999999998</v>
      </c>
    </row>
    <row r="8" spans="1:22" x14ac:dyDescent="0.4">
      <c r="A8" s="20"/>
      <c r="B8" t="s">
        <v>267</v>
      </c>
      <c r="C8" t="s">
        <v>245</v>
      </c>
      <c r="D8" t="s">
        <v>245</v>
      </c>
      <c r="E8" t="s">
        <v>246</v>
      </c>
      <c r="F8" t="s">
        <v>246</v>
      </c>
      <c r="G8">
        <v>100</v>
      </c>
      <c r="H8">
        <f>1635+900*2</f>
        <v>3435</v>
      </c>
      <c r="I8">
        <f>69+2*75</f>
        <v>219</v>
      </c>
      <c r="J8" s="2">
        <v>0</v>
      </c>
      <c r="K8">
        <v>300</v>
      </c>
      <c r="L8">
        <f>0.865*1.5</f>
        <v>1.2974999999999999</v>
      </c>
      <c r="M8" s="10">
        <f>5%+22%*2</f>
        <v>0.49</v>
      </c>
      <c r="N8" s="10">
        <v>2</v>
      </c>
      <c r="O8" s="10">
        <v>0.2</v>
      </c>
      <c r="P8">
        <v>1</v>
      </c>
      <c r="Q8" s="20">
        <v>1</v>
      </c>
      <c r="R8">
        <f t="shared" si="0"/>
        <v>579.98249999999996</v>
      </c>
      <c r="S8">
        <f t="shared" si="1"/>
        <v>10957.65</v>
      </c>
    </row>
    <row r="9" spans="1:22" x14ac:dyDescent="0.4">
      <c r="A9" s="20"/>
      <c r="B9" t="s">
        <v>251</v>
      </c>
      <c r="C9" t="s">
        <v>246</v>
      </c>
      <c r="D9" t="s">
        <v>246</v>
      </c>
      <c r="E9" t="s">
        <v>246</v>
      </c>
      <c r="F9" t="s">
        <v>246</v>
      </c>
      <c r="G9">
        <v>100</v>
      </c>
      <c r="H9">
        <f>1635+500*4</f>
        <v>3635</v>
      </c>
      <c r="I9">
        <f>69+40*4</f>
        <v>229</v>
      </c>
      <c r="J9" s="2">
        <v>0</v>
      </c>
      <c r="K9">
        <v>152</v>
      </c>
      <c r="L9">
        <v>0.86499999999999999</v>
      </c>
      <c r="M9" s="10">
        <f>5%</f>
        <v>0.05</v>
      </c>
      <c r="N9" s="10">
        <v>2</v>
      </c>
      <c r="O9" s="10">
        <v>0</v>
      </c>
      <c r="P9">
        <v>1</v>
      </c>
      <c r="Q9" s="20">
        <v>1</v>
      </c>
      <c r="R9">
        <f t="shared" si="0"/>
        <v>138.054</v>
      </c>
      <c r="S9">
        <f t="shared" si="1"/>
        <v>11959.15</v>
      </c>
    </row>
    <row r="10" spans="1:22" x14ac:dyDescent="0.4">
      <c r="A10" s="20"/>
      <c r="B10" t="s">
        <v>252</v>
      </c>
      <c r="C10" t="s">
        <v>245</v>
      </c>
      <c r="D10" t="s">
        <v>245</v>
      </c>
      <c r="E10" t="s">
        <v>246</v>
      </c>
      <c r="F10" t="s">
        <v>246</v>
      </c>
      <c r="G10">
        <v>100</v>
      </c>
      <c r="H10">
        <f>1635+650*2</f>
        <v>2935</v>
      </c>
      <c r="I10">
        <f>69+2*40</f>
        <v>149</v>
      </c>
      <c r="J10" s="2">
        <v>0</v>
      </c>
      <c r="K10">
        <v>300</v>
      </c>
      <c r="L10">
        <f>0.865*1.5</f>
        <v>1.2974999999999999</v>
      </c>
      <c r="M10" s="10">
        <f>5%+22%*2</f>
        <v>0.49</v>
      </c>
      <c r="N10" s="10">
        <v>2</v>
      </c>
      <c r="O10" s="10">
        <v>0.2</v>
      </c>
      <c r="P10">
        <v>1</v>
      </c>
      <c r="Q10" s="20">
        <v>1</v>
      </c>
      <c r="R10">
        <f t="shared" si="0"/>
        <v>579.98249999999996</v>
      </c>
      <c r="S10">
        <f t="shared" si="1"/>
        <v>7308.1500000000005</v>
      </c>
    </row>
    <row r="11" spans="1:22" x14ac:dyDescent="0.4">
      <c r="A11" s="20"/>
      <c r="B11" t="s">
        <v>253</v>
      </c>
      <c r="C11" t="s">
        <v>246</v>
      </c>
      <c r="D11" t="s">
        <v>246</v>
      </c>
      <c r="E11" t="s">
        <v>246</v>
      </c>
      <c r="F11" t="s">
        <v>246</v>
      </c>
      <c r="G11">
        <v>100</v>
      </c>
      <c r="H11">
        <f>1635+650*4</f>
        <v>4235</v>
      </c>
      <c r="I11">
        <f>69+4*50</f>
        <v>269</v>
      </c>
      <c r="J11" s="2">
        <v>0</v>
      </c>
      <c r="K11">
        <v>152</v>
      </c>
      <c r="L11">
        <v>0.86499999999999999</v>
      </c>
      <c r="M11" s="10">
        <f>5%</f>
        <v>0.05</v>
      </c>
      <c r="N11" s="10">
        <v>2</v>
      </c>
      <c r="O11" s="10">
        <v>0</v>
      </c>
      <c r="P11">
        <v>1</v>
      </c>
      <c r="Q11" s="20">
        <v>1</v>
      </c>
      <c r="R11">
        <f t="shared" si="0"/>
        <v>138.054</v>
      </c>
      <c r="S11">
        <f t="shared" si="1"/>
        <v>15627.15</v>
      </c>
    </row>
    <row r="12" spans="1:22" x14ac:dyDescent="0.4">
      <c r="A12" s="20"/>
      <c r="B12" t="s">
        <v>254</v>
      </c>
      <c r="C12" t="s">
        <v>245</v>
      </c>
      <c r="D12" t="s">
        <v>245</v>
      </c>
      <c r="E12" t="s">
        <v>246</v>
      </c>
      <c r="F12" t="s">
        <v>246</v>
      </c>
      <c r="G12">
        <v>100</v>
      </c>
      <c r="H12">
        <f>1635+650*2</f>
        <v>2935</v>
      </c>
      <c r="I12">
        <f>69+2*50</f>
        <v>169</v>
      </c>
      <c r="J12" s="2">
        <v>0</v>
      </c>
      <c r="K12">
        <v>300</v>
      </c>
      <c r="L12">
        <f>0.865*1.5</f>
        <v>1.2974999999999999</v>
      </c>
      <c r="M12" s="10">
        <f>5%+22%*2</f>
        <v>0.49</v>
      </c>
      <c r="N12" s="10">
        <v>2</v>
      </c>
      <c r="O12" s="10">
        <v>0.2</v>
      </c>
      <c r="P12">
        <v>1</v>
      </c>
      <c r="Q12" s="20">
        <v>1</v>
      </c>
      <c r="R12">
        <f t="shared" si="0"/>
        <v>579.98249999999996</v>
      </c>
      <c r="S12">
        <f t="shared" si="1"/>
        <v>7895.15</v>
      </c>
    </row>
    <row r="13" spans="1:22" x14ac:dyDescent="0.4">
      <c r="A13" s="20"/>
      <c r="B13" t="s">
        <v>260</v>
      </c>
      <c r="F13" s="4"/>
      <c r="G13">
        <v>50</v>
      </c>
      <c r="H13">
        <v>685</v>
      </c>
      <c r="I13">
        <v>35</v>
      </c>
      <c r="J13" s="2">
        <v>0</v>
      </c>
      <c r="K13">
        <v>85</v>
      </c>
      <c r="L13">
        <v>0.76500000000000001</v>
      </c>
      <c r="M13" s="3">
        <v>0.05</v>
      </c>
      <c r="N13" s="2">
        <v>2</v>
      </c>
      <c r="O13" s="2">
        <v>0</v>
      </c>
      <c r="P13">
        <v>1</v>
      </c>
      <c r="Q13" s="20">
        <v>1</v>
      </c>
      <c r="R13">
        <f t="shared" si="0"/>
        <v>68.276250000000005</v>
      </c>
      <c r="S13">
        <f t="shared" si="1"/>
        <v>924.75000000000011</v>
      </c>
    </row>
    <row r="14" spans="1:22" x14ac:dyDescent="0.4">
      <c r="A14" s="20"/>
      <c r="B14" t="s">
        <v>262</v>
      </c>
      <c r="C14" t="str">
        <f>[1]무기!$A$26</f>
        <v>다마스커스 검</v>
      </c>
      <c r="D14" t="str">
        <f>[1]무기!$A$26</f>
        <v>다마스커스 검</v>
      </c>
      <c r="E14" t="str">
        <f>[1]무기!$A$26</f>
        <v>다마스커스 검</v>
      </c>
      <c r="F14" t="str">
        <f>[1]무기!$A$26</f>
        <v>다마스커스 검</v>
      </c>
      <c r="G14">
        <v>50</v>
      </c>
      <c r="H14">
        <v>685</v>
      </c>
      <c r="I14">
        <v>35</v>
      </c>
      <c r="J14" s="2">
        <v>0</v>
      </c>
      <c r="K14">
        <f>85+4*[1]무기!$C$26</f>
        <v>269</v>
      </c>
      <c r="L14">
        <f>0.765*(1+4*[1]무기!$E$26)</f>
        <v>1.3464</v>
      </c>
      <c r="M14" s="3">
        <f>5%+4*[1]무기!$D$26</f>
        <v>0.73000000000000009</v>
      </c>
      <c r="N14" s="2">
        <v>2</v>
      </c>
      <c r="O14" s="2">
        <v>0</v>
      </c>
      <c r="P14">
        <v>1</v>
      </c>
      <c r="Q14" s="20">
        <v>1</v>
      </c>
      <c r="R14">
        <f t="shared" si="0"/>
        <v>626.57416799999999</v>
      </c>
      <c r="S14">
        <f t="shared" si="1"/>
        <v>924.75000000000011</v>
      </c>
    </row>
    <row r="15" spans="1:22" x14ac:dyDescent="0.4">
      <c r="A15" s="20"/>
      <c r="B15" t="s">
        <v>263</v>
      </c>
      <c r="C15" t="str">
        <f>[1]방어구!$A$24</f>
        <v>모험가용 맞춤 갑옷</v>
      </c>
      <c r="D15" t="str">
        <f>[1]방어구!$A$24</f>
        <v>모험가용 맞춤 갑옷</v>
      </c>
      <c r="E15" t="str">
        <f>[1]방어구!$A$24</f>
        <v>모험가용 맞춤 갑옷</v>
      </c>
      <c r="F15" t="str">
        <f>[1]방어구!$A$24</f>
        <v>모험가용 맞춤 갑옷</v>
      </c>
      <c r="G15">
        <v>50</v>
      </c>
      <c r="H15">
        <f>685+4*[1]방어구!$C$24</f>
        <v>3085</v>
      </c>
      <c r="I15">
        <f>35+4*[1]방어구!$D$24</f>
        <v>215</v>
      </c>
      <c r="J15" s="2">
        <v>0</v>
      </c>
      <c r="K15">
        <v>85</v>
      </c>
      <c r="L15">
        <v>0.76500000000000001</v>
      </c>
      <c r="M15" s="3">
        <v>0.05</v>
      </c>
      <c r="N15" s="2">
        <v>2</v>
      </c>
      <c r="O15" s="2">
        <v>0</v>
      </c>
      <c r="P15">
        <v>1</v>
      </c>
      <c r="Q15" s="20">
        <v>1</v>
      </c>
      <c r="R15">
        <f t="shared" si="0"/>
        <v>68.276250000000005</v>
      </c>
      <c r="S15">
        <f t="shared" si="1"/>
        <v>9717.75</v>
      </c>
    </row>
    <row r="16" spans="1:22" x14ac:dyDescent="0.4">
      <c r="A16" s="20"/>
      <c r="B16" t="s">
        <v>264</v>
      </c>
      <c r="C16" t="str">
        <f>[1]무기!$A$26</f>
        <v>다마스커스 검</v>
      </c>
      <c r="D16" t="str">
        <f>[1]무기!$A$26</f>
        <v>다마스커스 검</v>
      </c>
      <c r="E16" t="str">
        <f>[1]방어구!$A$24</f>
        <v>모험가용 맞춤 갑옷</v>
      </c>
      <c r="F16" t="str">
        <f>[1]방어구!$A$24</f>
        <v>모험가용 맞춤 갑옷</v>
      </c>
      <c r="G16">
        <v>50</v>
      </c>
      <c r="H16">
        <f>685+2*[1]방어구!$C$24</f>
        <v>1885</v>
      </c>
      <c r="I16">
        <f>35+2*[1]방어구!$D$24</f>
        <v>125</v>
      </c>
      <c r="J16" s="2">
        <v>0</v>
      </c>
      <c r="K16">
        <f>85+2*[1]무기!$C$26</f>
        <v>177</v>
      </c>
      <c r="L16">
        <f>0.765*(1+2*[1]무기!$E$26)</f>
        <v>1.0556999999999999</v>
      </c>
      <c r="M16" s="3">
        <f>5%+2*[1]무기!$D$26</f>
        <v>0.39</v>
      </c>
      <c r="N16" s="2">
        <v>2</v>
      </c>
      <c r="O16" s="2">
        <v>0</v>
      </c>
      <c r="P16">
        <v>1</v>
      </c>
      <c r="Q16" s="20">
        <v>1</v>
      </c>
      <c r="R16">
        <f t="shared" si="0"/>
        <v>259.73387099999997</v>
      </c>
      <c r="S16">
        <f t="shared" si="1"/>
        <v>4241.25</v>
      </c>
    </row>
    <row r="17" spans="1:21" x14ac:dyDescent="0.4">
      <c r="A17" s="20"/>
      <c r="B17" t="s">
        <v>261</v>
      </c>
      <c r="G17">
        <v>20</v>
      </c>
      <c r="H17">
        <v>355</v>
      </c>
      <c r="I17">
        <v>26</v>
      </c>
      <c r="J17" s="2">
        <v>0</v>
      </c>
      <c r="K17">
        <v>45</v>
      </c>
      <c r="L17">
        <v>0.70500000000000007</v>
      </c>
      <c r="M17" s="10">
        <v>0.05</v>
      </c>
      <c r="N17" s="10">
        <v>2</v>
      </c>
      <c r="O17" s="10">
        <v>0</v>
      </c>
      <c r="P17">
        <v>1</v>
      </c>
      <c r="Q17" s="20">
        <v>1</v>
      </c>
      <c r="R17">
        <f t="shared" si="0"/>
        <v>33.311250000000001</v>
      </c>
      <c r="S17">
        <f t="shared" si="1"/>
        <v>447.3</v>
      </c>
    </row>
    <row r="18" spans="1:21" x14ac:dyDescent="0.4">
      <c r="A18" s="20"/>
      <c r="B18" t="s">
        <v>272</v>
      </c>
      <c r="C18" t="str">
        <f>[1]무기!$A$14</f>
        <v>모험가 표준 장검</v>
      </c>
      <c r="D18" t="str">
        <f>[1]무기!$A$14</f>
        <v>모험가 표준 장검</v>
      </c>
      <c r="E18" t="str">
        <f>[1]무기!$A$14</f>
        <v>모험가 표준 장검</v>
      </c>
      <c r="F18" t="str">
        <f>[1]무기!$A$14</f>
        <v>모험가 표준 장검</v>
      </c>
      <c r="G18">
        <v>20</v>
      </c>
      <c r="H18">
        <v>355</v>
      </c>
      <c r="I18">
        <v>26</v>
      </c>
      <c r="J18" s="2">
        <v>0</v>
      </c>
      <c r="K18">
        <f>45+4*[1]무기!$C$14</f>
        <v>117</v>
      </c>
      <c r="L18">
        <f>0.705*(1+4*[1]무기!$E$14)</f>
        <v>1.0433999999999999</v>
      </c>
      <c r="M18" s="10">
        <f>5%+4*[1]무기!$D$14</f>
        <v>0.37</v>
      </c>
      <c r="N18" s="10">
        <v>2</v>
      </c>
      <c r="O18" s="10">
        <v>0</v>
      </c>
      <c r="P18">
        <v>1</v>
      </c>
      <c r="Q18" s="20">
        <v>1</v>
      </c>
      <c r="R18">
        <f t="shared" ref="R18" si="2">K18*L18*(1+M18*(N18-1))</f>
        <v>167.24658599999998</v>
      </c>
      <c r="S18">
        <f t="shared" si="1"/>
        <v>447.3</v>
      </c>
    </row>
    <row r="19" spans="1:21" x14ac:dyDescent="0.4">
      <c r="A19" s="20"/>
      <c r="B19" t="s">
        <v>273</v>
      </c>
      <c r="C19" t="str">
        <f>[1]방어구!$A$12</f>
        <v>로리카 세그멘타타</v>
      </c>
      <c r="D19" t="str">
        <f>[1]방어구!$A$12</f>
        <v>로리카 세그멘타타</v>
      </c>
      <c r="E19" t="str">
        <f>[1]방어구!$A$12</f>
        <v>로리카 세그멘타타</v>
      </c>
      <c r="F19" t="str">
        <f>[1]방어구!$A$12</f>
        <v>로리카 세그멘타타</v>
      </c>
      <c r="G19">
        <v>20</v>
      </c>
      <c r="H19">
        <f>355+4*[1]방어구!$C$12</f>
        <v>955</v>
      </c>
      <c r="I19">
        <f>26+4*[1]방어구!$D$12</f>
        <v>166</v>
      </c>
      <c r="J19" s="2">
        <v>0</v>
      </c>
      <c r="K19">
        <v>45</v>
      </c>
      <c r="L19">
        <v>0.70500000000000007</v>
      </c>
      <c r="M19" s="10">
        <v>0.05</v>
      </c>
      <c r="N19" s="10">
        <v>2</v>
      </c>
      <c r="O19" s="10">
        <v>0</v>
      </c>
      <c r="P19">
        <v>1</v>
      </c>
      <c r="Q19" s="20">
        <v>1</v>
      </c>
      <c r="R19">
        <f t="shared" ref="R19" si="3">K19*L19*(1+M19*(N19-1))</f>
        <v>33.311250000000001</v>
      </c>
      <c r="S19">
        <f t="shared" si="1"/>
        <v>2540.3000000000002</v>
      </c>
    </row>
    <row r="20" spans="1:21" x14ac:dyDescent="0.4">
      <c r="A20" s="20"/>
      <c r="B20" t="s">
        <v>274</v>
      </c>
      <c r="C20" t="str">
        <f>[1]무기!$A$14</f>
        <v>모험가 표준 장검</v>
      </c>
      <c r="D20" t="str">
        <f>[1]무기!$A$14</f>
        <v>모험가 표준 장검</v>
      </c>
      <c r="E20" t="str">
        <f>[1]방어구!$A$12</f>
        <v>로리카 세그멘타타</v>
      </c>
      <c r="F20" t="str">
        <f>[1]방어구!$A$12</f>
        <v>로리카 세그멘타타</v>
      </c>
      <c r="G20">
        <v>20</v>
      </c>
      <c r="H20">
        <f>355+2*[1]방어구!$C$12</f>
        <v>655</v>
      </c>
      <c r="I20">
        <f>26+2*[1]방어구!$D$12</f>
        <v>96</v>
      </c>
      <c r="J20" s="2">
        <v>0</v>
      </c>
      <c r="K20">
        <f>45+2*[1]무기!$C$14</f>
        <v>81</v>
      </c>
      <c r="L20">
        <f>0.705*(1+2*[1]무기!$E$14)</f>
        <v>0.87419999999999998</v>
      </c>
      <c r="M20" s="10">
        <f>5%+2*[1]무기!$D$14</f>
        <v>0.21000000000000002</v>
      </c>
      <c r="N20" s="10">
        <v>2</v>
      </c>
      <c r="O20" s="10">
        <v>0</v>
      </c>
      <c r="P20">
        <v>1</v>
      </c>
      <c r="Q20" s="20">
        <v>1</v>
      </c>
      <c r="R20">
        <f>K20*L20*(1+M20*(N20-1))</f>
        <v>85.680341999999996</v>
      </c>
      <c r="S20">
        <f t="shared" si="1"/>
        <v>1283.8</v>
      </c>
    </row>
    <row r="21" spans="1:21" x14ac:dyDescent="0.4">
      <c r="A21" s="20"/>
      <c r="B21" t="s">
        <v>276</v>
      </c>
      <c r="C21" t="str">
        <f>[1]무기!$A$14</f>
        <v>모험가 표준 장검</v>
      </c>
      <c r="E21" t="str">
        <f>[1]방어구!$A$12</f>
        <v>로리카 세그멘타타</v>
      </c>
      <c r="G21">
        <v>20</v>
      </c>
      <c r="H21">
        <f>355+1*[1]방어구!$C$12</f>
        <v>505</v>
      </c>
      <c r="I21">
        <f>26+1*[1]방어구!$D$12</f>
        <v>61</v>
      </c>
      <c r="J21" s="2">
        <v>0</v>
      </c>
      <c r="K21">
        <f>45+1*[1]무기!$C$14</f>
        <v>63</v>
      </c>
      <c r="L21">
        <f>0.705*(1+1*[1]무기!$E$14)</f>
        <v>0.78960000000000008</v>
      </c>
      <c r="M21" s="10">
        <f>5%+1*[1]무기!$D$14</f>
        <v>0.13</v>
      </c>
      <c r="N21" s="10">
        <v>2</v>
      </c>
      <c r="O21" s="10">
        <v>0</v>
      </c>
      <c r="P21">
        <v>1</v>
      </c>
      <c r="Q21" s="20">
        <v>1</v>
      </c>
      <c r="R21">
        <f>K21*L21*(1+M21*(N21-1))</f>
        <v>56.211624</v>
      </c>
      <c r="S21">
        <f t="shared" si="1"/>
        <v>813.05</v>
      </c>
    </row>
    <row r="22" spans="1:21" x14ac:dyDescent="0.4">
      <c r="A22" s="20"/>
      <c r="B22" t="s">
        <v>275</v>
      </c>
      <c r="C22" t="str">
        <f>[1]무기!$A$26</f>
        <v>다마스커스 검</v>
      </c>
      <c r="E22" t="str">
        <f>[1]방어구!$A$24</f>
        <v>모험가용 맞춤 갑옷</v>
      </c>
      <c r="G22">
        <v>50</v>
      </c>
      <c r="H22">
        <f>685+1*[1]방어구!$C$24</f>
        <v>1285</v>
      </c>
      <c r="I22">
        <f>35+1*[1]방어구!$D$24</f>
        <v>80</v>
      </c>
      <c r="J22" s="2">
        <v>0</v>
      </c>
      <c r="K22">
        <f>85+1*[1]무기!$C$26</f>
        <v>131</v>
      </c>
      <c r="L22">
        <f>0.765*(1+1*[1]무기!$E$26)</f>
        <v>0.91034999999999999</v>
      </c>
      <c r="M22" s="3">
        <f>5%+1*[1]무기!$D$26</f>
        <v>0.22000000000000003</v>
      </c>
      <c r="N22" s="2">
        <v>2</v>
      </c>
      <c r="O22" s="2">
        <v>0</v>
      </c>
      <c r="P22">
        <v>1</v>
      </c>
      <c r="Q22" s="20">
        <v>1</v>
      </c>
      <c r="R22">
        <f t="shared" ref="R22:R23" si="4">K22*L22*(1+M22*(N22-1))</f>
        <v>145.49213699999999</v>
      </c>
      <c r="S22">
        <f t="shared" si="1"/>
        <v>2313</v>
      </c>
    </row>
    <row r="23" spans="1:21" x14ac:dyDescent="0.4">
      <c r="A23" s="20"/>
      <c r="B23" t="s">
        <v>267</v>
      </c>
      <c r="C23" t="s">
        <v>245</v>
      </c>
      <c r="D23" t="s">
        <v>245</v>
      </c>
      <c r="E23" t="s">
        <v>246</v>
      </c>
      <c r="F23" t="s">
        <v>246</v>
      </c>
      <c r="G23">
        <v>100</v>
      </c>
      <c r="H23">
        <f>1635+900*2</f>
        <v>3435</v>
      </c>
      <c r="I23">
        <f>69+2*75</f>
        <v>219</v>
      </c>
      <c r="J23" s="2">
        <v>0</v>
      </c>
      <c r="K23">
        <v>300</v>
      </c>
      <c r="L23">
        <f>0.865*1.5</f>
        <v>1.2974999999999999</v>
      </c>
      <c r="M23" s="10">
        <f>5%+22%*2</f>
        <v>0.49</v>
      </c>
      <c r="N23" s="10">
        <v>2</v>
      </c>
      <c r="O23" s="10">
        <v>0.2</v>
      </c>
      <c r="P23">
        <v>1</v>
      </c>
      <c r="Q23" s="20">
        <v>1</v>
      </c>
      <c r="R23">
        <f t="shared" si="4"/>
        <v>579.98249999999996</v>
      </c>
      <c r="S23">
        <f t="shared" si="1"/>
        <v>10957.65</v>
      </c>
    </row>
    <row r="24" spans="1:21" x14ac:dyDescent="0.4">
      <c r="A24" s="20"/>
      <c r="B24" t="s">
        <v>277</v>
      </c>
      <c r="C24" t="s">
        <v>245</v>
      </c>
      <c r="D24" t="s">
        <v>245</v>
      </c>
      <c r="E24" t="s">
        <v>246</v>
      </c>
      <c r="F24" t="s">
        <v>246</v>
      </c>
      <c r="G24">
        <v>100</v>
      </c>
      <c r="H24">
        <f>1635+900*1</f>
        <v>2535</v>
      </c>
      <c r="I24">
        <f>69+1*75</f>
        <v>144</v>
      </c>
      <c r="J24" s="2">
        <v>0</v>
      </c>
      <c r="K24">
        <f>152+74</f>
        <v>226</v>
      </c>
      <c r="L24">
        <f>0.865*1.25</f>
        <v>1.08125</v>
      </c>
      <c r="M24" s="10">
        <f>27%</f>
        <v>0.27</v>
      </c>
      <c r="N24" s="10">
        <v>2</v>
      </c>
      <c r="O24" s="10">
        <v>0.1</v>
      </c>
      <c r="P24">
        <v>1</v>
      </c>
      <c r="Q24" s="20">
        <v>1</v>
      </c>
      <c r="R24">
        <f t="shared" ref="R24" si="5">K24*L24*(1+M24*(N24-1))</f>
        <v>310.34037499999999</v>
      </c>
      <c r="S24">
        <f t="shared" si="1"/>
        <v>6185.4</v>
      </c>
    </row>
    <row r="25" spans="1:21" x14ac:dyDescent="0.4">
      <c r="A25" s="20"/>
      <c r="Q25" s="20"/>
    </row>
    <row r="26" spans="1:21" ht="19.8" thickBot="1" x14ac:dyDescent="0.45">
      <c r="A26" s="20"/>
      <c r="B26" s="18" t="s">
        <v>249</v>
      </c>
      <c r="Q26" s="20"/>
    </row>
    <row r="27" spans="1:21" ht="18" thickBot="1" x14ac:dyDescent="0.45">
      <c r="A27" s="20"/>
      <c r="B27" s="21" t="s">
        <v>19</v>
      </c>
      <c r="C27" s="22" t="s">
        <v>241</v>
      </c>
      <c r="D27" s="22" t="s">
        <v>242</v>
      </c>
      <c r="E27" s="22" t="s">
        <v>243</v>
      </c>
      <c r="F27" s="22" t="s">
        <v>244</v>
      </c>
      <c r="G27" s="24" t="s">
        <v>18</v>
      </c>
      <c r="H27" s="24" t="s">
        <v>0</v>
      </c>
      <c r="I27" s="24" t="s">
        <v>3</v>
      </c>
      <c r="J27" s="34" t="s">
        <v>292</v>
      </c>
      <c r="K27" s="24" t="s">
        <v>2</v>
      </c>
      <c r="L27" s="24" t="s">
        <v>8</v>
      </c>
      <c r="M27" s="25" t="s">
        <v>5</v>
      </c>
      <c r="N27" s="25" t="s">
        <v>6</v>
      </c>
      <c r="O27" s="25" t="s">
        <v>7</v>
      </c>
      <c r="P27" s="24" t="s">
        <v>4</v>
      </c>
      <c r="Q27" s="26" t="s">
        <v>40</v>
      </c>
      <c r="R27" s="27" t="s">
        <v>9</v>
      </c>
      <c r="S27" s="28" t="s">
        <v>259</v>
      </c>
      <c r="T27" s="19"/>
      <c r="U27" s="19"/>
    </row>
    <row r="28" spans="1:21" ht="18" thickTop="1" x14ac:dyDescent="0.4">
      <c r="A28" s="20"/>
      <c r="B28" t="s">
        <v>265</v>
      </c>
      <c r="C28" t="s">
        <v>245</v>
      </c>
      <c r="D28" t="s">
        <v>245</v>
      </c>
      <c r="E28" t="s">
        <v>245</v>
      </c>
      <c r="F28" t="s">
        <v>245</v>
      </c>
      <c r="G28">
        <v>100</v>
      </c>
      <c r="H28">
        <v>1635</v>
      </c>
      <c r="I28">
        <v>69</v>
      </c>
      <c r="J28" s="2">
        <v>0</v>
      </c>
      <c r="K28">
        <v>448</v>
      </c>
      <c r="L28">
        <v>1.73</v>
      </c>
      <c r="M28" s="10">
        <v>0.93</v>
      </c>
      <c r="N28" s="10">
        <v>2</v>
      </c>
      <c r="O28" s="10">
        <v>0.4</v>
      </c>
      <c r="P28">
        <v>1</v>
      </c>
      <c r="Q28" s="20">
        <v>1</v>
      </c>
      <c r="R28">
        <f>K28*L28*(1+M28*(N28-1))</f>
        <v>1495.8271999999999</v>
      </c>
      <c r="S28">
        <f>H28*(1+(I28*(1-O29))/100)*(1+J28)</f>
        <v>2537.52</v>
      </c>
    </row>
    <row r="29" spans="1:21" ht="18" thickBot="1" x14ac:dyDescent="0.45">
      <c r="A29" s="20"/>
      <c r="B29" t="s">
        <v>267</v>
      </c>
      <c r="C29" t="s">
        <v>245</v>
      </c>
      <c r="D29" t="s">
        <v>245</v>
      </c>
      <c r="E29" t="s">
        <v>246</v>
      </c>
      <c r="F29" t="s">
        <v>246</v>
      </c>
      <c r="G29">
        <v>100</v>
      </c>
      <c r="H29">
        <f>1635+900*2</f>
        <v>3435</v>
      </c>
      <c r="I29">
        <f>69+2*75</f>
        <v>219</v>
      </c>
      <c r="J29" s="2">
        <v>0</v>
      </c>
      <c r="K29">
        <v>300</v>
      </c>
      <c r="L29">
        <f>0.865*1.5</f>
        <v>1.2974999999999999</v>
      </c>
      <c r="M29" s="10">
        <f>5%+22%*2</f>
        <v>0.49</v>
      </c>
      <c r="N29" s="10">
        <v>2</v>
      </c>
      <c r="O29" s="10">
        <v>0.2</v>
      </c>
      <c r="P29">
        <v>1</v>
      </c>
      <c r="Q29" s="20">
        <v>1</v>
      </c>
      <c r="R29">
        <f>K29*L29*(1+M29*(N29-1))</f>
        <v>579.98249999999996</v>
      </c>
      <c r="S29">
        <f>H29*(1+(I29*(1-O28))/100)*(1+J29)</f>
        <v>7948.59</v>
      </c>
    </row>
    <row r="30" spans="1:21" ht="18" thickBot="1" x14ac:dyDescent="0.45">
      <c r="B30" s="31" t="s">
        <v>250</v>
      </c>
      <c r="C30" s="32" t="s">
        <v>255</v>
      </c>
      <c r="D30" s="32" t="s">
        <v>256</v>
      </c>
      <c r="E30" s="32" t="s">
        <v>257</v>
      </c>
      <c r="F30" s="32" t="s">
        <v>258</v>
      </c>
      <c r="G30" s="23" t="s">
        <v>268</v>
      </c>
      <c r="H30" s="23" t="s">
        <v>270</v>
      </c>
      <c r="I30" s="23" t="s">
        <v>269</v>
      </c>
      <c r="J30" s="35"/>
      <c r="K30" s="23" t="s">
        <v>271</v>
      </c>
    </row>
    <row r="31" spans="1:21" ht="18" thickTop="1" x14ac:dyDescent="0.4">
      <c r="B31">
        <f>S29/K28</f>
        <v>17.742388392857144</v>
      </c>
      <c r="C31">
        <f>ROUNDUP(B31,0)</f>
        <v>18</v>
      </c>
      <c r="D31">
        <f>ROUNDUP(S29/(K28+K28*(N28-1)*(M28)),0)</f>
        <v>10</v>
      </c>
      <c r="E31">
        <f>ROUNDUP(B31,0)/L28</f>
        <v>10.404624277456648</v>
      </c>
      <c r="F31">
        <f>D31/L28</f>
        <v>5.7803468208092488</v>
      </c>
      <c r="G31" s="33" t="str">
        <f>IF(F31&lt;F32, "WIN", " ")</f>
        <v xml:space="preserve"> </v>
      </c>
      <c r="H31" t="str">
        <f>IF(F31&lt;F32, S28-ROUNDDOWN(F31*L29, 0)*K29-ROUND(ROUNDDOWN(F31*L29, 0)*M29, 0)*(N29-1)*K29, " ")</f>
        <v xml:space="preserve"> </v>
      </c>
      <c r="I31" t="str">
        <f>IF(F31&lt;F32, H31/(I28/100+1), " ")</f>
        <v xml:space="preserve"> </v>
      </c>
      <c r="K31" s="2" t="str">
        <f>IF(F31&lt;F32, H31/S28, " ")</f>
        <v xml:space="preserve"> </v>
      </c>
    </row>
    <row r="32" spans="1:21" x14ac:dyDescent="0.4">
      <c r="B32">
        <f>S28/K29</f>
        <v>8.4583999999999993</v>
      </c>
      <c r="C32">
        <f>ROUNDUP(B32,0)</f>
        <v>9</v>
      </c>
      <c r="D32">
        <f>ROUNDUP(S28/(K29+K29*(N29-1)*(M29)),0)</f>
        <v>6</v>
      </c>
      <c r="E32">
        <f>ROUNDUP(B32,0)/L29</f>
        <v>6.9364161849710992</v>
      </c>
      <c r="F32">
        <f>D32/L29</f>
        <v>4.6242774566473992</v>
      </c>
      <c r="G32" s="33" t="str">
        <f>IF(F32&lt;F31, "WIN", " ")</f>
        <v>WIN</v>
      </c>
      <c r="H32">
        <f>IF(F32&lt;F31, S29-ROUNDDOWN(F32*L28, 0)*K28-ROUND(ROUNDDOWN(F32*L28, 0)*M28, 0)*(N28-1)*K28, " ")</f>
        <v>1228.5900000000001</v>
      </c>
      <c r="I32">
        <f>IF(F32&lt;F31, H32/(I29/100+1), " ")</f>
        <v>385.13793103448279</v>
      </c>
      <c r="K32" s="2">
        <f>IF(F32&lt;F31,H32/S29," ")</f>
        <v>0.15456703641777977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9</vt:i4>
      </vt:variant>
      <vt:variant>
        <vt:lpstr>이름 지정된 범위</vt:lpstr>
      </vt:variant>
      <vt:variant>
        <vt:i4>2</vt:i4>
      </vt:variant>
    </vt:vector>
  </HeadingPairs>
  <TitlesOfParts>
    <vt:vector size="11" baseType="lpstr">
      <vt:lpstr>일선 모험가(표준)</vt:lpstr>
      <vt:lpstr>일선 모험가(개별)</vt:lpstr>
      <vt:lpstr>관광객</vt:lpstr>
      <vt:lpstr>모험가</vt:lpstr>
      <vt:lpstr>몬스터</vt:lpstr>
      <vt:lpstr>보스 몬스터</vt:lpstr>
      <vt:lpstr>상수</vt:lpstr>
      <vt:lpstr>규칙</vt:lpstr>
      <vt:lpstr>계산기</vt:lpstr>
      <vt:lpstr>HP</vt:lpstr>
      <vt:lpstr>방어력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Melange</dc:creator>
  <cp:lastModifiedBy>김미수</cp:lastModifiedBy>
  <dcterms:created xsi:type="dcterms:W3CDTF">2016-08-04T19:03:45Z</dcterms:created>
  <dcterms:modified xsi:type="dcterms:W3CDTF">2020-06-12T20:01:58Z</dcterms:modified>
</cp:coreProperties>
</file>