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strainroblerosoto/Desktop/Summary_proyect/Data/"/>
    </mc:Choice>
  </mc:AlternateContent>
  <xr:revisionPtr revIDLastSave="0" documentId="13_ncr:1_{DEF5389E-91A4-EE4D-8D13-F52F5F63BE23}" xr6:coauthVersionLast="45" xr6:coauthVersionMax="46" xr10:uidLastSave="{00000000-0000-0000-0000-000000000000}"/>
  <bookViews>
    <workbookView xWindow="0" yWindow="460" windowWidth="35840" windowHeight="21040" firstSheet="1" activeTab="1" xr2:uid="{F56065B2-A774-C147-8E14-944EB384D476}"/>
  </bookViews>
  <sheets>
    <sheet name="Original" sheetId="1" r:id="rId1"/>
    <sheet name="calculation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9" i="2" l="1"/>
  <c r="W10" i="2"/>
  <c r="W12" i="2"/>
  <c r="W14" i="2"/>
  <c r="W15" i="2"/>
  <c r="W16" i="2"/>
  <c r="W18" i="2"/>
  <c r="W19" i="2"/>
  <c r="W5" i="2"/>
  <c r="W6" i="2"/>
  <c r="W7" i="2"/>
  <c r="W8" i="2"/>
  <c r="W4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P4" i="2"/>
  <c r="V3" i="2"/>
  <c r="P3" i="2"/>
  <c r="V2" i="2"/>
  <c r="W2" i="2" s="1"/>
  <c r="P2" i="2"/>
  <c r="E21" i="1"/>
  <c r="D21" i="1"/>
  <c r="E20" i="1"/>
  <c r="D20" i="1"/>
  <c r="E23" i="1"/>
  <c r="D23" i="1"/>
  <c r="L23" i="1"/>
  <c r="G24" i="1"/>
  <c r="G21" i="1"/>
  <c r="G31" i="1"/>
  <c r="H29" i="1"/>
  <c r="G29" i="1"/>
  <c r="I30" i="1"/>
  <c r="T24" i="1"/>
  <c r="T23" i="1"/>
  <c r="S23" i="1"/>
  <c r="S24" i="1" s="1"/>
  <c r="J23" i="1"/>
  <c r="I23" i="1"/>
  <c r="H24" i="1"/>
  <c r="H23" i="1"/>
  <c r="G23" i="1"/>
  <c r="S30" i="1"/>
  <c r="S29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" i="1"/>
  <c r="W37" i="1"/>
  <c r="V37" i="1"/>
  <c r="V36" i="1"/>
  <c r="V38" i="1" s="1"/>
  <c r="T37" i="1"/>
  <c r="U36" i="1"/>
  <c r="T36" i="1"/>
  <c r="W36" i="1" s="1"/>
  <c r="T26" i="1"/>
  <c r="T27" i="1" s="1"/>
  <c r="AB4" i="1"/>
  <c r="H34" i="1"/>
  <c r="S34" i="1"/>
  <c r="T33" i="1"/>
  <c r="T34" i="1" s="1"/>
  <c r="S33" i="1"/>
  <c r="J33" i="1"/>
  <c r="J34" i="1" s="1"/>
  <c r="I33" i="1"/>
  <c r="I34" i="1" s="1"/>
  <c r="H33" i="1"/>
  <c r="G33" i="1"/>
  <c r="G34" i="1" s="1"/>
  <c r="S26" i="1"/>
  <c r="S27" i="1" s="1"/>
  <c r="J26" i="1"/>
  <c r="J27" i="1" s="1"/>
  <c r="I26" i="1"/>
  <c r="I27" i="1" s="1"/>
  <c r="H26" i="1"/>
  <c r="H27" i="1" s="1"/>
  <c r="G26" i="1"/>
  <c r="G27" i="1" s="1"/>
  <c r="T29" i="1"/>
  <c r="T30" i="1"/>
  <c r="H30" i="1"/>
  <c r="G30" i="1"/>
  <c r="T20" i="1"/>
  <c r="T21" i="1" s="1"/>
  <c r="S20" i="1"/>
  <c r="S21" i="1" s="1"/>
  <c r="J20" i="1"/>
  <c r="I20" i="1"/>
  <c r="G20" i="1"/>
  <c r="U3" i="1"/>
  <c r="U2" i="1"/>
  <c r="AB16" i="1"/>
  <c r="H20" i="1"/>
  <c r="H21" i="1" s="1"/>
  <c r="W3" i="2" l="1"/>
  <c r="S31" i="1"/>
  <c r="I24" i="1"/>
  <c r="T31" i="1"/>
  <c r="H31" i="1"/>
  <c r="J24" i="1"/>
  <c r="J21" i="1"/>
  <c r="I21" i="1"/>
  <c r="AC17" i="1"/>
  <c r="AC18" i="1"/>
  <c r="AC19" i="1"/>
  <c r="AC16" i="1"/>
  <c r="AC13" i="1"/>
  <c r="AC11" i="1"/>
  <c r="AC10" i="1"/>
  <c r="AC5" i="1"/>
  <c r="AC6" i="1"/>
  <c r="AC7" i="1"/>
  <c r="AC8" i="1"/>
  <c r="AC4" i="1"/>
  <c r="V10" i="1"/>
  <c r="V12" i="1"/>
  <c r="V14" i="1"/>
  <c r="V15" i="1"/>
  <c r="V19" i="1"/>
  <c r="V18" i="1"/>
  <c r="V16" i="1"/>
  <c r="V5" i="1"/>
  <c r="V6" i="1"/>
  <c r="V7" i="1"/>
  <c r="V8" i="1"/>
  <c r="V9" i="1"/>
  <c r="AB19" i="1" l="1"/>
  <c r="AB18" i="1"/>
  <c r="AB17" i="1"/>
  <c r="AB13" i="1"/>
  <c r="AB11" i="1"/>
  <c r="AB10" i="1"/>
  <c r="AB5" i="1"/>
  <c r="AB6" i="1"/>
  <c r="AB7" i="1"/>
  <c r="AB8" i="1"/>
  <c r="V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Paulina Molo</author>
  </authors>
  <commentList>
    <comment ref="I1" authorId="0" shapeId="0" xr:uid="{285953BD-3EDA-486C-B79E-C90EFE625760}">
      <text>
        <r>
          <rPr>
            <b/>
            <sz val="9"/>
            <color indexed="81"/>
            <rFont val="Tahoma"/>
            <family val="2"/>
          </rPr>
          <t>Paulina Molo:</t>
        </r>
        <r>
          <rPr>
            <sz val="9"/>
            <color indexed="81"/>
            <rFont val="Tahoma"/>
            <family val="2"/>
          </rPr>
          <t xml:space="preserve">
Costo de los insecticidas únicamente (aplicación aprox 500MXN c/u)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Paulina Molo</author>
  </authors>
  <commentList>
    <comment ref="J1" authorId="0" shapeId="0" xr:uid="{7F28A3C8-12E2-4D29-9AC9-25CB4968C693}">
      <text>
        <r>
          <rPr>
            <b/>
            <sz val="9"/>
            <color rgb="FF000000"/>
            <rFont val="Tahoma"/>
            <family val="2"/>
          </rPr>
          <t>Paulina Molo: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Costo de los insecticidas únicamente (aplicación aprox 500MXN c/u)</t>
        </r>
      </text>
    </comment>
  </commentList>
</comments>
</file>

<file path=xl/sharedStrings.xml><?xml version="1.0" encoding="utf-8"?>
<sst xmlns="http://schemas.openxmlformats.org/spreadsheetml/2006/main" count="241" uniqueCount="106">
  <si>
    <t>Trial ID</t>
  </si>
  <si>
    <t>Farm Name</t>
  </si>
  <si>
    <t>Farmer Name</t>
  </si>
  <si>
    <t>Size of PFP ha</t>
  </si>
  <si>
    <t>Size of CGP ha</t>
  </si>
  <si>
    <t>Hybrids</t>
  </si>
  <si>
    <t>Spray applications PFP</t>
  </si>
  <si>
    <t>Spray applications CGP</t>
  </si>
  <si>
    <t>Cost of Sprays PFP MXN$</t>
  </si>
  <si>
    <t>Cost of Sprays CGP MXN$</t>
  </si>
  <si>
    <t>Season-long Mating Disruption %</t>
  </si>
  <si>
    <t>Reduccion Incidence % PFP-CGP</t>
  </si>
  <si>
    <t>Incidence differential  %PFP vs 20% threshold</t>
  </si>
  <si>
    <t>Incidence differential  %CGP vs 20% threshold</t>
  </si>
  <si>
    <t>Damage Reduction difference (Mode of Davis Scale)</t>
  </si>
  <si>
    <t>Manual Yield PFP kg/ha</t>
  </si>
  <si>
    <t>Manual Yield CGP kg/ha</t>
  </si>
  <si>
    <t>Combine Harvest  PFP kg/ha</t>
  </si>
  <si>
    <t>Combine Harvest CGP  kg/ha</t>
  </si>
  <si>
    <t>Yield Difference kg/ha</t>
  </si>
  <si>
    <t>Increase difference %</t>
  </si>
  <si>
    <t xml:space="preserve"> Corn Price MXN$ per kg @ Reciba</t>
  </si>
  <si>
    <t xml:space="preserve"> Corn Price Average MXN$ per Ton @ Reciba </t>
  </si>
  <si>
    <t>Discounts per Quality PFP kg/ha</t>
  </si>
  <si>
    <t>Discounts per Quality CGP kg/ha</t>
  </si>
  <si>
    <t>Differential Discounts per Quality kg/ha</t>
  </si>
  <si>
    <t>Estimated revenue MXN</t>
  </si>
  <si>
    <t>Estimated Revenue without subsidized</t>
  </si>
  <si>
    <t>Comments About Results</t>
  </si>
  <si>
    <t>20-MX-G1-WA-Sf-WC</t>
  </si>
  <si>
    <t>Las Calaveras</t>
  </si>
  <si>
    <t>Agustin Robles Jr.</t>
  </si>
  <si>
    <t>20-MX-G2-WA-Sf-WC</t>
  </si>
  <si>
    <t>Cerrito Colorado</t>
  </si>
  <si>
    <t>Tranquilino López</t>
  </si>
  <si>
    <t>20-MX-G5-WA-Sf-WC</t>
  </si>
  <si>
    <t>El Progreso</t>
  </si>
  <si>
    <t>Alfredo Santana</t>
  </si>
  <si>
    <t>PFP with dry stress by damage in water well</t>
  </si>
  <si>
    <t>20-MX-G7-WA-Sf-WC</t>
  </si>
  <si>
    <t>Sembradoras del Bajío</t>
  </si>
  <si>
    <t>Baltazar Preciado</t>
  </si>
  <si>
    <t>PFP combine harvest comparisson is with PFP Commercial</t>
  </si>
  <si>
    <t>20-MX-G8-WA-Sf-WC</t>
  </si>
  <si>
    <t>El Conde</t>
  </si>
  <si>
    <t>Adrian Vazquez</t>
  </si>
  <si>
    <t>Result is OK</t>
  </si>
  <si>
    <t>20-MX-G9-WA-Sf-WC</t>
  </si>
  <si>
    <t>San José</t>
  </si>
  <si>
    <t>Martín Pérez Heredia</t>
  </si>
  <si>
    <t>20-MX-G12-WA-Sf-WC</t>
  </si>
  <si>
    <t>La Manga</t>
  </si>
  <si>
    <t>Eli Lara</t>
  </si>
  <si>
    <t>Trial sowed two times</t>
  </si>
  <si>
    <t>20-MX-G14-WA-Sf-WC</t>
  </si>
  <si>
    <t>La Loma</t>
  </si>
  <si>
    <t>Cesar Enriquez Magaña</t>
  </si>
  <si>
    <t xml:space="preserve"> ---</t>
  </si>
  <si>
    <t>Result is OK Crop for Silage</t>
  </si>
  <si>
    <t>20-MX-G15-WA-Sf-WC</t>
  </si>
  <si>
    <t>Monte de Lara</t>
  </si>
  <si>
    <t>Ricardo Antillón</t>
  </si>
  <si>
    <t>20-MX-G16-WA-Sf-WC</t>
  </si>
  <si>
    <t>Rincón de Martínez</t>
  </si>
  <si>
    <t>Ramón Cervantes</t>
  </si>
  <si>
    <t>20-MX-G17-WA-Sf-WC</t>
  </si>
  <si>
    <t>Fracción Providencia</t>
  </si>
  <si>
    <t>Roberto Jimenez</t>
  </si>
  <si>
    <t>20-MX-G19-WA-Sf-WC</t>
  </si>
  <si>
    <t>Rancho El Tigre</t>
  </si>
  <si>
    <t>Rodolfo Mena, Gustavo García</t>
  </si>
  <si>
    <t>20-MX-G20-WA-Sf-WC</t>
  </si>
  <si>
    <t>Maravillas</t>
  </si>
  <si>
    <t>Martín Gonzalez Pérez</t>
  </si>
  <si>
    <t>20-MX-G21-WA-Sf-WC</t>
  </si>
  <si>
    <t>Pueblo Nuevo</t>
  </si>
  <si>
    <t>Jesus Ledesma</t>
  </si>
  <si>
    <t>20-MX-G22-WA-Sf-WC</t>
  </si>
  <si>
    <t>La Galera</t>
  </si>
  <si>
    <t>Roberto Nunez Cortez</t>
  </si>
  <si>
    <t>20-MX-G23-WA-Sf-WC</t>
  </si>
  <si>
    <t>La Carroza</t>
  </si>
  <si>
    <t>Alfredo Rivera Cabrera</t>
  </si>
  <si>
    <t>20-MX-G24-WA-Sf-WC</t>
  </si>
  <si>
    <t>El Copal</t>
  </si>
  <si>
    <t>José Luis Zorrilla</t>
  </si>
  <si>
    <t>20-MX-G25-WA-Sf-WC</t>
  </si>
  <si>
    <t>El Tecolote</t>
  </si>
  <si>
    <t>Fabian Velazquez</t>
  </si>
  <si>
    <t>Result is OK Crop for Industry (Sweet Corn)</t>
  </si>
  <si>
    <t>Summ</t>
  </si>
  <si>
    <t>Average</t>
  </si>
  <si>
    <t>w cost of sprays / wo silage</t>
  </si>
  <si>
    <t>+</t>
  </si>
  <si>
    <t>average</t>
  </si>
  <si>
    <t>w cost of sprays w silage</t>
  </si>
  <si>
    <t>excl silage</t>
  </si>
  <si>
    <t>#trials</t>
  </si>
  <si>
    <t>Silage Only</t>
  </si>
  <si>
    <t>Cost of Insecticide PFP MXN$</t>
  </si>
  <si>
    <t>Cost of Insecticide CGP MXN$</t>
  </si>
  <si>
    <t>reduction incidence vs 20% PFP-CGP</t>
  </si>
  <si>
    <t>Estado</t>
  </si>
  <si>
    <t>Guanajuato</t>
  </si>
  <si>
    <t>Region</t>
  </si>
  <si>
    <t>Bajio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</si>
</sst>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&quot;$&quot;* #,##0.00_-;\-&quot;$&quot;* #,##0.00_-;_-&quot;$&quot;* &quot;-&quot;??_-;_-@_-"/>
    <numFmt numFmtId="164" formatCode="_(* #,##0_);_(* \(#,##0\);_(* &quot;-&quot;_);_(@_)"/>
    <numFmt numFmtId="165" formatCode="_(* #,##0.00_);_(* \(#,##0.00\);_(* &quot;-&quot;??_);_(@_)"/>
    <numFmt numFmtId="166" formatCode="#,##0.0"/>
    <numFmt numFmtId="167" formatCode="0.0"/>
    <numFmt numFmtId="168" formatCode="_(* #,##0.0_);_(* \(#,##0.0\);_(* &quot;-&quot;??_);_(@_)"/>
    <numFmt numFmtId="169" formatCode="_-&quot;$&quot;* #,##0_-;\-&quot;$&quot;* #,##0_-;_-&quot;$&quot;* &quot;-&quot;??_-;_-@_-"/>
    <numFmt numFmtId="170" formatCode="&quot;$&quot;#,##0;[Red]&quot;$&quot;#,##0"/>
    <numFmt numFmtId="171" formatCode="_(* #,##0_);_(* \(#,##0\);_(* &quot;-&quot;??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0" fillId="0" borderId="1" xfId="1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167" fontId="0" fillId="3" borderId="1" xfId="0" applyNumberFormat="1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166" fontId="0" fillId="3" borderId="1" xfId="0" applyNumberForma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168" fontId="0" fillId="0" borderId="1" xfId="2" applyNumberFormat="1" applyFont="1" applyBorder="1" applyAlignment="1">
      <alignment horizontal="center" vertical="center"/>
    </xf>
    <xf numFmtId="169" fontId="0" fillId="0" borderId="1" xfId="1" applyNumberFormat="1" applyFon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170" fontId="0" fillId="0" borderId="0" xfId="0" applyNumberFormat="1" applyAlignment="1">
      <alignment vertical="center"/>
    </xf>
    <xf numFmtId="168" fontId="0" fillId="0" borderId="0" xfId="2" applyNumberFormat="1" applyFont="1" applyAlignment="1">
      <alignment vertical="center"/>
    </xf>
    <xf numFmtId="171" fontId="0" fillId="0" borderId="0" xfId="2" applyNumberFormat="1" applyFont="1" applyAlignment="1">
      <alignment vertical="center"/>
    </xf>
    <xf numFmtId="165" fontId="0" fillId="0" borderId="0" xfId="0" applyNumberFormat="1" applyAlignment="1">
      <alignment vertical="center"/>
    </xf>
    <xf numFmtId="169" fontId="0" fillId="0" borderId="0" xfId="1" applyNumberFormat="1" applyFont="1" applyAlignment="1">
      <alignment vertical="center"/>
    </xf>
    <xf numFmtId="3" fontId="0" fillId="0" borderId="0" xfId="0" applyNumberFormat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3" borderId="1" xfId="0" applyNumberFormat="1" applyFill="1" applyBorder="1" applyAlignment="1">
      <alignment vertical="center"/>
    </xf>
    <xf numFmtId="164" fontId="0" fillId="0" borderId="1" xfId="1" applyNumberFormat="1" applyFont="1" applyBorder="1" applyAlignment="1">
      <alignment vertical="center"/>
    </xf>
    <xf numFmtId="3" fontId="0" fillId="4" borderId="1" xfId="0" applyNumberFormat="1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3">
    <cellStyle name="Millares" xfId="2" builtinId="3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C3F72-9C56-0447-B2AF-169EBE364F72}">
  <dimension ref="A1:AF38"/>
  <sheetViews>
    <sheetView showGridLines="0" zoomScale="70" zoomScaleNormal="70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V3" sqref="V3"/>
    </sheetView>
  </sheetViews>
  <sheetFormatPr baseColWidth="10" defaultColWidth="10.83203125" defaultRowHeight="16" x14ac:dyDescent="0.2"/>
  <cols>
    <col min="1" max="1" width="24.6640625" style="1" customWidth="1"/>
    <col min="2" max="2" width="26.1640625" style="1" customWidth="1"/>
    <col min="3" max="3" width="26.33203125" style="1" bestFit="1" customWidth="1"/>
    <col min="4" max="4" width="12.6640625" style="1" bestFit="1" customWidth="1"/>
    <col min="5" max="5" width="13" style="1" bestFit="1" customWidth="1"/>
    <col min="6" max="6" width="7.1640625" style="1" bestFit="1" customWidth="1"/>
    <col min="7" max="8" width="10.83203125" style="1"/>
    <col min="9" max="10" width="11" style="1" bestFit="1" customWidth="1"/>
    <col min="11" max="11" width="10.83203125" style="1"/>
    <col min="12" max="12" width="11.83203125" style="1" bestFit="1" customWidth="1"/>
    <col min="13" max="21" width="10.83203125" style="1"/>
    <col min="22" max="22" width="13.33203125" style="1" bestFit="1" customWidth="1"/>
    <col min="23" max="27" width="10.83203125" style="1"/>
    <col min="28" max="29" width="11.1640625" style="1" bestFit="1" customWidth="1"/>
    <col min="30" max="30" width="22" style="1" customWidth="1"/>
    <col min="31" max="31" width="10.83203125" style="1"/>
    <col min="32" max="32" width="15.6640625" style="1" customWidth="1"/>
    <col min="33" max="16384" width="10.83203125" style="1"/>
  </cols>
  <sheetData>
    <row r="1" spans="1:32" ht="10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/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43" t="s">
        <v>28</v>
      </c>
      <c r="AE1" s="44"/>
      <c r="AF1" s="45"/>
    </row>
    <row r="2" spans="1:32" x14ac:dyDescent="0.2">
      <c r="A2" s="3" t="s">
        <v>29</v>
      </c>
      <c r="B2" s="3" t="s">
        <v>30</v>
      </c>
      <c r="C2" s="3" t="s">
        <v>31</v>
      </c>
      <c r="D2" s="4">
        <v>18.45</v>
      </c>
      <c r="E2" s="4">
        <v>16.32</v>
      </c>
      <c r="F2" s="3"/>
      <c r="G2" s="4">
        <v>1</v>
      </c>
      <c r="H2" s="4">
        <v>3</v>
      </c>
      <c r="I2" s="31">
        <v>605</v>
      </c>
      <c r="J2" s="31">
        <v>1365</v>
      </c>
      <c r="K2" s="7">
        <v>75.400000000000006</v>
      </c>
      <c r="L2" s="5">
        <v>-12.4</v>
      </c>
      <c r="M2" s="5">
        <v>8.4</v>
      </c>
      <c r="N2" s="5">
        <v>-4</v>
      </c>
      <c r="O2" s="5">
        <f t="shared" ref="O2:O19" si="0">M2-N2</f>
        <v>12.4</v>
      </c>
      <c r="P2" s="4">
        <v>0</v>
      </c>
      <c r="Q2" s="8">
        <v>15094</v>
      </c>
      <c r="R2" s="8">
        <v>14395</v>
      </c>
      <c r="S2" s="8">
        <v>14187</v>
      </c>
      <c r="T2" s="8">
        <v>13819</v>
      </c>
      <c r="U2" s="6">
        <f>(S2-T2)</f>
        <v>368</v>
      </c>
      <c r="V2" s="7">
        <v>2.6629999999999998</v>
      </c>
      <c r="W2" s="4">
        <v>4.5</v>
      </c>
      <c r="X2" s="4">
        <v>4.5</v>
      </c>
      <c r="Y2" s="8">
        <v>0</v>
      </c>
      <c r="Z2" s="8">
        <v>0</v>
      </c>
      <c r="AA2" s="8">
        <v>0</v>
      </c>
      <c r="AB2" s="8"/>
      <c r="AC2" s="8"/>
      <c r="AD2" s="37"/>
      <c r="AE2" s="38"/>
      <c r="AF2" s="39"/>
    </row>
    <row r="3" spans="1:32" x14ac:dyDescent="0.2">
      <c r="A3" s="3" t="s">
        <v>32</v>
      </c>
      <c r="B3" s="3" t="s">
        <v>33</v>
      </c>
      <c r="C3" s="3" t="s">
        <v>34</v>
      </c>
      <c r="D3" s="4">
        <v>34.659999999999997</v>
      </c>
      <c r="E3" s="4">
        <v>21.32</v>
      </c>
      <c r="F3" s="3"/>
      <c r="G3" s="4">
        <v>1</v>
      </c>
      <c r="H3" s="4">
        <v>2</v>
      </c>
      <c r="I3" s="31">
        <v>280</v>
      </c>
      <c r="J3" s="31">
        <v>480</v>
      </c>
      <c r="K3" s="7">
        <v>86.5</v>
      </c>
      <c r="L3" s="5">
        <v>1.01</v>
      </c>
      <c r="M3" s="5">
        <v>8.6</v>
      </c>
      <c r="N3" s="5">
        <v>9.6</v>
      </c>
      <c r="O3" s="5">
        <f t="shared" si="0"/>
        <v>-1</v>
      </c>
      <c r="P3" s="4">
        <v>0</v>
      </c>
      <c r="Q3" s="8">
        <v>13563</v>
      </c>
      <c r="R3" s="8">
        <v>13373</v>
      </c>
      <c r="S3" s="8">
        <v>13080</v>
      </c>
      <c r="T3" s="8">
        <v>12447</v>
      </c>
      <c r="U3" s="6">
        <f>(S3-T3)</f>
        <v>633</v>
      </c>
      <c r="V3" s="7">
        <v>5.0855629999999996</v>
      </c>
      <c r="W3" s="4">
        <v>4.5</v>
      </c>
      <c r="X3" s="4">
        <v>4.5</v>
      </c>
      <c r="Y3" s="8">
        <v>0</v>
      </c>
      <c r="Z3" s="8">
        <v>0</v>
      </c>
      <c r="AA3" s="8">
        <v>0</v>
      </c>
      <c r="AB3" s="8"/>
      <c r="AC3" s="8"/>
      <c r="AD3" s="37"/>
      <c r="AE3" s="38"/>
      <c r="AF3" s="39"/>
    </row>
    <row r="4" spans="1:32" x14ac:dyDescent="0.2">
      <c r="A4" s="3" t="s">
        <v>35</v>
      </c>
      <c r="B4" s="3" t="s">
        <v>36</v>
      </c>
      <c r="C4" s="3" t="s">
        <v>37</v>
      </c>
      <c r="D4" s="4">
        <v>12</v>
      </c>
      <c r="E4" s="4">
        <v>10</v>
      </c>
      <c r="F4" s="3"/>
      <c r="G4" s="4">
        <v>0</v>
      </c>
      <c r="H4" s="4">
        <v>2</v>
      </c>
      <c r="I4" s="31">
        <v>0</v>
      </c>
      <c r="J4" s="31">
        <v>855</v>
      </c>
      <c r="K4" s="7">
        <v>98.562628336755594</v>
      </c>
      <c r="L4" s="5">
        <v>-0.55444500345720993</v>
      </c>
      <c r="M4" s="5">
        <v>13.156822810590629</v>
      </c>
      <c r="N4" s="5">
        <v>12.60237780713342</v>
      </c>
      <c r="O4" s="5">
        <f t="shared" si="0"/>
        <v>0.55444500345720904</v>
      </c>
      <c r="P4" s="4">
        <v>0</v>
      </c>
      <c r="Q4" s="8">
        <v>10211</v>
      </c>
      <c r="R4" s="8">
        <v>13348</v>
      </c>
      <c r="S4" s="8">
        <v>6400</v>
      </c>
      <c r="T4" s="8">
        <v>11350</v>
      </c>
      <c r="U4" s="6">
        <v>-4950</v>
      </c>
      <c r="V4" s="9">
        <f>(U4*100)/S4</f>
        <v>-77.34375</v>
      </c>
      <c r="W4" s="4">
        <v>4.5</v>
      </c>
      <c r="X4" s="4">
        <v>4.5</v>
      </c>
      <c r="Y4" s="8">
        <v>0</v>
      </c>
      <c r="Z4" s="8">
        <v>0</v>
      </c>
      <c r="AA4" s="8">
        <v>0</v>
      </c>
      <c r="AB4" s="12">
        <f>U4*W4</f>
        <v>-22275</v>
      </c>
      <c r="AC4" s="8">
        <f>U4*X4</f>
        <v>-22275</v>
      </c>
      <c r="AD4" s="37" t="s">
        <v>38</v>
      </c>
      <c r="AE4" s="38"/>
      <c r="AF4" s="39"/>
    </row>
    <row r="5" spans="1:32" x14ac:dyDescent="0.2">
      <c r="A5" s="3" t="s">
        <v>39</v>
      </c>
      <c r="B5" s="3" t="s">
        <v>40</v>
      </c>
      <c r="C5" s="3" t="s">
        <v>41</v>
      </c>
      <c r="D5" s="4">
        <v>54.25</v>
      </c>
      <c r="E5" s="4">
        <v>21.2</v>
      </c>
      <c r="F5" s="3"/>
      <c r="G5" s="4">
        <v>4</v>
      </c>
      <c r="H5" s="4">
        <v>5</v>
      </c>
      <c r="I5" s="31">
        <v>2270.25</v>
      </c>
      <c r="J5" s="31">
        <v>2750.25</v>
      </c>
      <c r="K5" s="7">
        <v>97.108673978065795</v>
      </c>
      <c r="L5" s="5">
        <v>2.2344379585434204</v>
      </c>
      <c r="M5" s="5">
        <v>12.825112107623319</v>
      </c>
      <c r="N5" s="5">
        <v>15.059550066166739</v>
      </c>
      <c r="O5" s="5">
        <f t="shared" si="0"/>
        <v>-2.2344379585434204</v>
      </c>
      <c r="P5" s="4">
        <v>-4</v>
      </c>
      <c r="Q5" s="8">
        <v>15503</v>
      </c>
      <c r="R5" s="8">
        <v>15766</v>
      </c>
      <c r="S5" s="8">
        <v>14100</v>
      </c>
      <c r="T5" s="8">
        <v>14498</v>
      </c>
      <c r="U5" s="6">
        <v>-398</v>
      </c>
      <c r="V5" s="9">
        <f t="shared" ref="V5:V9" si="1">(U5*100)/S5</f>
        <v>-2.8226950354609928</v>
      </c>
      <c r="W5" s="4">
        <v>4.5</v>
      </c>
      <c r="X5" s="4">
        <v>4.5</v>
      </c>
      <c r="Y5" s="8">
        <v>0</v>
      </c>
      <c r="Z5" s="8">
        <v>0</v>
      </c>
      <c r="AA5" s="8">
        <v>0</v>
      </c>
      <c r="AB5" s="8">
        <f t="shared" ref="AB5:AB8" si="2">U5*W5</f>
        <v>-1791</v>
      </c>
      <c r="AC5" s="8">
        <f t="shared" ref="AC5:AC8" si="3">U5*X5</f>
        <v>-1791</v>
      </c>
      <c r="AD5" s="37" t="s">
        <v>42</v>
      </c>
      <c r="AE5" s="38"/>
      <c r="AF5" s="39"/>
    </row>
    <row r="6" spans="1:32" x14ac:dyDescent="0.2">
      <c r="A6" s="3" t="s">
        <v>43</v>
      </c>
      <c r="B6" s="3" t="s">
        <v>44</v>
      </c>
      <c r="C6" s="3" t="s">
        <v>45</v>
      </c>
      <c r="D6" s="4">
        <v>10</v>
      </c>
      <c r="E6" s="4">
        <v>4</v>
      </c>
      <c r="F6" s="3"/>
      <c r="G6" s="4">
        <v>2</v>
      </c>
      <c r="H6" s="4">
        <v>2</v>
      </c>
      <c r="I6" s="31">
        <v>1330</v>
      </c>
      <c r="J6" s="31">
        <v>1330</v>
      </c>
      <c r="K6" s="7">
        <v>97.329059829059801</v>
      </c>
      <c r="L6" s="5">
        <v>1.1297242208430198</v>
      </c>
      <c r="M6" s="5">
        <v>15.20184544405998</v>
      </c>
      <c r="N6" s="5">
        <v>16.331569664903</v>
      </c>
      <c r="O6" s="5">
        <f t="shared" si="0"/>
        <v>-1.1297242208430198</v>
      </c>
      <c r="P6" s="4">
        <v>0</v>
      </c>
      <c r="Q6" s="8">
        <v>14675</v>
      </c>
      <c r="R6" s="8">
        <v>12471</v>
      </c>
      <c r="S6" s="8">
        <v>11075</v>
      </c>
      <c r="T6" s="8">
        <v>9484</v>
      </c>
      <c r="U6" s="6">
        <v>1591</v>
      </c>
      <c r="V6" s="9">
        <f t="shared" si="1"/>
        <v>14.36568848758465</v>
      </c>
      <c r="W6" s="4">
        <v>4.5</v>
      </c>
      <c r="X6" s="4">
        <v>4.5</v>
      </c>
      <c r="Y6" s="8">
        <v>0</v>
      </c>
      <c r="Z6" s="8">
        <v>0</v>
      </c>
      <c r="AA6" s="8">
        <v>0</v>
      </c>
      <c r="AB6" s="8">
        <f t="shared" si="2"/>
        <v>7159.5</v>
      </c>
      <c r="AC6" s="8">
        <f t="shared" si="3"/>
        <v>7159.5</v>
      </c>
      <c r="AD6" s="37" t="s">
        <v>46</v>
      </c>
      <c r="AE6" s="38"/>
      <c r="AF6" s="39"/>
    </row>
    <row r="7" spans="1:32" x14ac:dyDescent="0.2">
      <c r="A7" s="3" t="s">
        <v>47</v>
      </c>
      <c r="B7" s="3" t="s">
        <v>48</v>
      </c>
      <c r="C7" s="3" t="s">
        <v>49</v>
      </c>
      <c r="D7" s="4">
        <v>31.04</v>
      </c>
      <c r="E7" s="4">
        <v>27.82</v>
      </c>
      <c r="F7" s="3"/>
      <c r="G7" s="4">
        <v>4</v>
      </c>
      <c r="H7" s="4">
        <v>4</v>
      </c>
      <c r="I7" s="31">
        <v>2333</v>
      </c>
      <c r="J7" s="31">
        <v>2333</v>
      </c>
      <c r="K7" s="7">
        <v>93.064466849984697</v>
      </c>
      <c r="L7" s="5">
        <v>-4.1274548883781392</v>
      </c>
      <c r="M7" s="5">
        <v>15.69313593539704</v>
      </c>
      <c r="N7" s="5">
        <v>11.5656810470189</v>
      </c>
      <c r="O7" s="5">
        <f t="shared" si="0"/>
        <v>4.1274548883781392</v>
      </c>
      <c r="P7" s="4">
        <v>0</v>
      </c>
      <c r="Q7" s="8">
        <v>16566</v>
      </c>
      <c r="R7" s="8">
        <v>15080</v>
      </c>
      <c r="S7" s="8">
        <v>11568</v>
      </c>
      <c r="T7" s="8">
        <v>11715</v>
      </c>
      <c r="U7" s="6">
        <v>-147</v>
      </c>
      <c r="V7" s="9">
        <f t="shared" si="1"/>
        <v>-1.2707468879668049</v>
      </c>
      <c r="W7" s="4">
        <v>4.5</v>
      </c>
      <c r="X7" s="4">
        <v>4.5</v>
      </c>
      <c r="Y7" s="8">
        <v>0</v>
      </c>
      <c r="Z7" s="8">
        <v>0</v>
      </c>
      <c r="AA7" s="8">
        <v>0</v>
      </c>
      <c r="AB7" s="8">
        <f t="shared" si="2"/>
        <v>-661.5</v>
      </c>
      <c r="AC7" s="8">
        <f t="shared" si="3"/>
        <v>-661.5</v>
      </c>
      <c r="AD7" s="37" t="s">
        <v>46</v>
      </c>
      <c r="AE7" s="38"/>
      <c r="AF7" s="39"/>
    </row>
    <row r="8" spans="1:32" x14ac:dyDescent="0.2">
      <c r="A8" s="3" t="s">
        <v>50</v>
      </c>
      <c r="B8" s="3" t="s">
        <v>51</v>
      </c>
      <c r="C8" s="3" t="s">
        <v>52</v>
      </c>
      <c r="D8" s="4">
        <v>15.33</v>
      </c>
      <c r="E8" s="4">
        <v>7.24</v>
      </c>
      <c r="F8" s="3"/>
      <c r="G8" s="4">
        <v>1</v>
      </c>
      <c r="H8" s="4">
        <v>1</v>
      </c>
      <c r="I8" s="31">
        <v>0</v>
      </c>
      <c r="J8" s="31">
        <v>260</v>
      </c>
      <c r="K8" s="7">
        <v>92.735849056603797</v>
      </c>
      <c r="L8" s="5">
        <v>1.7096774193548399</v>
      </c>
      <c r="M8" s="5">
        <v>12</v>
      </c>
      <c r="N8" s="5">
        <v>13.70967741935484</v>
      </c>
      <c r="O8" s="5">
        <f t="shared" si="0"/>
        <v>-1.7096774193548399</v>
      </c>
      <c r="P8" s="4">
        <v>0</v>
      </c>
      <c r="Q8" s="8">
        <v>12616</v>
      </c>
      <c r="R8" s="8">
        <v>9438</v>
      </c>
      <c r="S8" s="8">
        <v>12150</v>
      </c>
      <c r="T8" s="8">
        <v>8550</v>
      </c>
      <c r="U8" s="6">
        <v>3600</v>
      </c>
      <c r="V8" s="9">
        <f t="shared" si="1"/>
        <v>29.62962962962963</v>
      </c>
      <c r="W8" s="4">
        <v>4.5</v>
      </c>
      <c r="X8" s="4">
        <v>4.5</v>
      </c>
      <c r="Y8" s="8">
        <v>0</v>
      </c>
      <c r="Z8" s="8">
        <v>0</v>
      </c>
      <c r="AA8" s="8">
        <v>0</v>
      </c>
      <c r="AB8" s="8">
        <f t="shared" si="2"/>
        <v>16200</v>
      </c>
      <c r="AC8" s="8">
        <f t="shared" si="3"/>
        <v>16200</v>
      </c>
      <c r="AD8" s="37" t="s">
        <v>53</v>
      </c>
      <c r="AE8" s="38"/>
      <c r="AF8" s="39"/>
    </row>
    <row r="9" spans="1:32" x14ac:dyDescent="0.2">
      <c r="A9" s="13" t="s">
        <v>54</v>
      </c>
      <c r="B9" s="13" t="s">
        <v>55</v>
      </c>
      <c r="C9" s="13" t="s">
        <v>56</v>
      </c>
      <c r="D9" s="14">
        <v>28.59</v>
      </c>
      <c r="E9" s="14">
        <v>24.28</v>
      </c>
      <c r="F9" s="13"/>
      <c r="G9" s="14">
        <v>2</v>
      </c>
      <c r="H9" s="14">
        <v>2</v>
      </c>
      <c r="I9" s="32">
        <v>450</v>
      </c>
      <c r="J9" s="32">
        <v>450</v>
      </c>
      <c r="K9" s="19">
        <v>97.736447520184498</v>
      </c>
      <c r="L9" s="15">
        <v>-1.6051931572950373E-2</v>
      </c>
      <c r="M9" s="15">
        <v>14.03353927625772</v>
      </c>
      <c r="N9" s="15">
        <v>14.017487344684771</v>
      </c>
      <c r="O9" s="5">
        <f t="shared" si="0"/>
        <v>1.6051931572949485E-2</v>
      </c>
      <c r="P9" s="14">
        <v>-7</v>
      </c>
      <c r="Q9" s="16" t="s">
        <v>57</v>
      </c>
      <c r="R9" s="16" t="s">
        <v>57</v>
      </c>
      <c r="S9" s="16">
        <v>63653</v>
      </c>
      <c r="T9" s="16">
        <v>57791</v>
      </c>
      <c r="U9" s="17">
        <v>5862</v>
      </c>
      <c r="V9" s="18">
        <f t="shared" si="1"/>
        <v>9.2093067098172909</v>
      </c>
      <c r="W9" s="14">
        <v>0.62</v>
      </c>
      <c r="X9" s="14">
        <v>0.62</v>
      </c>
      <c r="Y9" s="16">
        <v>0</v>
      </c>
      <c r="Z9" s="16">
        <v>0</v>
      </c>
      <c r="AA9" s="16">
        <v>0</v>
      </c>
      <c r="AB9" s="16">
        <v>3634.440000000001</v>
      </c>
      <c r="AC9" s="16">
        <v>3634.440000000001</v>
      </c>
      <c r="AD9" s="40" t="s">
        <v>58</v>
      </c>
      <c r="AE9" s="41"/>
      <c r="AF9" s="42"/>
    </row>
    <row r="10" spans="1:32" x14ac:dyDescent="0.2">
      <c r="A10" s="3" t="s">
        <v>59</v>
      </c>
      <c r="B10" s="3" t="s">
        <v>60</v>
      </c>
      <c r="C10" s="3" t="s">
        <v>61</v>
      </c>
      <c r="D10" s="4">
        <v>17</v>
      </c>
      <c r="E10" s="4">
        <v>12</v>
      </c>
      <c r="F10" s="3"/>
      <c r="G10" s="4">
        <v>0</v>
      </c>
      <c r="H10" s="4">
        <v>3</v>
      </c>
      <c r="I10" s="31">
        <v>0</v>
      </c>
      <c r="J10" s="31">
        <v>1090</v>
      </c>
      <c r="K10" s="7">
        <v>94.645080946450804</v>
      </c>
      <c r="L10" s="5">
        <v>-1.3457749680658999</v>
      </c>
      <c r="M10" s="5">
        <v>9.5975232198141995</v>
      </c>
      <c r="N10" s="5">
        <v>8.2517482517482996</v>
      </c>
      <c r="O10" s="5">
        <f t="shared" si="0"/>
        <v>1.3457749680658999</v>
      </c>
      <c r="P10" s="4">
        <v>1</v>
      </c>
      <c r="Q10" s="8">
        <v>18011</v>
      </c>
      <c r="R10" s="8">
        <v>17370</v>
      </c>
      <c r="S10" s="8">
        <v>12370</v>
      </c>
      <c r="T10" s="8">
        <v>12420</v>
      </c>
      <c r="U10" s="6">
        <v>-50</v>
      </c>
      <c r="V10" s="9">
        <f>(U10*100)/S10</f>
        <v>-0.40420371867421179</v>
      </c>
      <c r="W10" s="4">
        <v>4.5</v>
      </c>
      <c r="X10" s="4">
        <v>4.5</v>
      </c>
      <c r="Y10" s="8">
        <v>0</v>
      </c>
      <c r="Z10" s="8">
        <v>0</v>
      </c>
      <c r="AA10" s="8">
        <v>0</v>
      </c>
      <c r="AB10" s="8">
        <f t="shared" ref="AB10:AB11" si="4">U10*W10</f>
        <v>-225</v>
      </c>
      <c r="AC10" s="8">
        <f>U10*X10</f>
        <v>-225</v>
      </c>
      <c r="AD10" s="37" t="s">
        <v>46</v>
      </c>
      <c r="AE10" s="38"/>
      <c r="AF10" s="39"/>
    </row>
    <row r="11" spans="1:32" x14ac:dyDescent="0.2">
      <c r="A11" s="3" t="s">
        <v>62</v>
      </c>
      <c r="B11" s="3" t="s">
        <v>63</v>
      </c>
      <c r="C11" s="3" t="s">
        <v>64</v>
      </c>
      <c r="D11" s="4">
        <v>9.91</v>
      </c>
      <c r="E11" s="4">
        <v>9.8800000000000008</v>
      </c>
      <c r="F11" s="3"/>
      <c r="G11" s="4">
        <v>1</v>
      </c>
      <c r="H11" s="4">
        <v>2</v>
      </c>
      <c r="I11" s="31">
        <v>480</v>
      </c>
      <c r="J11" s="31">
        <v>960</v>
      </c>
      <c r="K11" s="7">
        <v>84.673604541154205</v>
      </c>
      <c r="L11" s="5">
        <v>1.8136515178101407</v>
      </c>
      <c r="M11" s="5">
        <v>11.94244604316547</v>
      </c>
      <c r="N11" s="5">
        <v>13.756097560975611</v>
      </c>
      <c r="O11" s="5">
        <f t="shared" si="0"/>
        <v>-1.8136515178101416</v>
      </c>
      <c r="P11" s="4">
        <v>0</v>
      </c>
      <c r="Q11" s="8">
        <v>9089</v>
      </c>
      <c r="R11" s="8">
        <v>12427</v>
      </c>
      <c r="S11" s="8">
        <v>7632</v>
      </c>
      <c r="T11" s="8">
        <v>10247</v>
      </c>
      <c r="U11" s="6">
        <v>-2615</v>
      </c>
      <c r="V11" s="9">
        <v>-34</v>
      </c>
      <c r="W11" s="4">
        <v>4.5</v>
      </c>
      <c r="X11" s="4">
        <v>4.5</v>
      </c>
      <c r="Y11" s="8">
        <v>0</v>
      </c>
      <c r="Z11" s="8">
        <v>0</v>
      </c>
      <c r="AA11" s="8">
        <v>0</v>
      </c>
      <c r="AB11" s="8">
        <f t="shared" si="4"/>
        <v>-11767.5</v>
      </c>
      <c r="AC11" s="8">
        <f>U11*X11</f>
        <v>-11767.5</v>
      </c>
      <c r="AD11" s="37" t="s">
        <v>53</v>
      </c>
      <c r="AE11" s="38"/>
      <c r="AF11" s="39"/>
    </row>
    <row r="12" spans="1:32" x14ac:dyDescent="0.2">
      <c r="A12" s="13" t="s">
        <v>65</v>
      </c>
      <c r="B12" s="13" t="s">
        <v>66</v>
      </c>
      <c r="C12" s="13" t="s">
        <v>67</v>
      </c>
      <c r="D12" s="14">
        <v>15.6</v>
      </c>
      <c r="E12" s="14">
        <v>11.7</v>
      </c>
      <c r="F12" s="13"/>
      <c r="G12" s="14">
        <v>2</v>
      </c>
      <c r="H12" s="14">
        <v>2</v>
      </c>
      <c r="I12" s="32">
        <v>470</v>
      </c>
      <c r="J12" s="32">
        <v>470</v>
      </c>
      <c r="K12" s="19">
        <v>95.916733386709396</v>
      </c>
      <c r="L12" s="15">
        <v>-6.2374192414186993</v>
      </c>
      <c r="M12" s="15">
        <v>9.5081967213114993</v>
      </c>
      <c r="N12" s="15">
        <v>3.2707774798928</v>
      </c>
      <c r="O12" s="5">
        <f t="shared" si="0"/>
        <v>6.2374192414186993</v>
      </c>
      <c r="P12" s="14">
        <v>-1</v>
      </c>
      <c r="Q12" s="16" t="s">
        <v>57</v>
      </c>
      <c r="R12" s="16" t="s">
        <v>57</v>
      </c>
      <c r="S12" s="16">
        <v>74870</v>
      </c>
      <c r="T12" s="16">
        <v>64640</v>
      </c>
      <c r="U12" s="17">
        <v>10230</v>
      </c>
      <c r="V12" s="18">
        <f>(U12*100)/S12</f>
        <v>13.663683718445306</v>
      </c>
      <c r="W12" s="14">
        <v>0.62</v>
      </c>
      <c r="X12" s="14">
        <v>0.62</v>
      </c>
      <c r="Y12" s="16">
        <v>0</v>
      </c>
      <c r="Z12" s="16">
        <v>0</v>
      </c>
      <c r="AA12" s="16">
        <v>0</v>
      </c>
      <c r="AB12" s="16">
        <v>6342.6000000000022</v>
      </c>
      <c r="AC12" s="16">
        <v>6342.6000000000022</v>
      </c>
      <c r="AD12" s="40" t="s">
        <v>58</v>
      </c>
      <c r="AE12" s="41"/>
      <c r="AF12" s="42"/>
    </row>
    <row r="13" spans="1:32" x14ac:dyDescent="0.2">
      <c r="A13" s="3" t="s">
        <v>68</v>
      </c>
      <c r="B13" s="3" t="s">
        <v>69</v>
      </c>
      <c r="C13" s="3" t="s">
        <v>70</v>
      </c>
      <c r="D13" s="4">
        <v>35.17</v>
      </c>
      <c r="E13" s="4">
        <v>27.47</v>
      </c>
      <c r="F13" s="3"/>
      <c r="G13" s="4">
        <v>2</v>
      </c>
      <c r="H13" s="4">
        <v>2</v>
      </c>
      <c r="I13" s="31">
        <v>1390</v>
      </c>
      <c r="J13" s="31">
        <v>1390</v>
      </c>
      <c r="K13" s="7">
        <v>95.667506297229195</v>
      </c>
      <c r="L13" s="5">
        <v>1.9564447655988095</v>
      </c>
      <c r="M13" s="5">
        <v>12.84701959149646</v>
      </c>
      <c r="N13" s="5">
        <v>14.803464357095269</v>
      </c>
      <c r="O13" s="5">
        <f t="shared" si="0"/>
        <v>-1.9564447655988086</v>
      </c>
      <c r="P13" s="4">
        <v>0</v>
      </c>
      <c r="Q13" s="8">
        <v>15104</v>
      </c>
      <c r="R13" s="8">
        <v>16646</v>
      </c>
      <c r="S13" s="8">
        <v>14600</v>
      </c>
      <c r="T13" s="8">
        <v>14800</v>
      </c>
      <c r="U13" s="6">
        <v>-200</v>
      </c>
      <c r="V13" s="9">
        <v>-1.4</v>
      </c>
      <c r="W13" s="4">
        <v>4.5</v>
      </c>
      <c r="X13" s="4">
        <v>4.5</v>
      </c>
      <c r="Y13" s="8">
        <v>0</v>
      </c>
      <c r="Z13" s="8">
        <v>0</v>
      </c>
      <c r="AA13" s="8">
        <v>0</v>
      </c>
      <c r="AB13" s="8">
        <f>U13*W13</f>
        <v>-900</v>
      </c>
      <c r="AC13" s="8">
        <f>U13*X13</f>
        <v>-900</v>
      </c>
      <c r="AD13" s="37" t="s">
        <v>46</v>
      </c>
      <c r="AE13" s="38"/>
      <c r="AF13" s="39"/>
    </row>
    <row r="14" spans="1:32" x14ac:dyDescent="0.2">
      <c r="A14" s="13" t="s">
        <v>71</v>
      </c>
      <c r="B14" s="13" t="s">
        <v>72</v>
      </c>
      <c r="C14" s="13" t="s">
        <v>73</v>
      </c>
      <c r="D14" s="14">
        <v>34.75</v>
      </c>
      <c r="E14" s="14">
        <v>31.5</v>
      </c>
      <c r="F14" s="13"/>
      <c r="G14" s="14">
        <v>1</v>
      </c>
      <c r="H14" s="14">
        <v>2</v>
      </c>
      <c r="I14" s="32">
        <v>2280</v>
      </c>
      <c r="J14" s="32">
        <v>2730</v>
      </c>
      <c r="K14" s="19">
        <v>95.144508670520196</v>
      </c>
      <c r="L14" s="15">
        <v>-4.0617366910925998</v>
      </c>
      <c r="M14" s="15">
        <v>8.6868686868686993</v>
      </c>
      <c r="N14" s="15">
        <v>4.6251319957760995</v>
      </c>
      <c r="O14" s="5">
        <f t="shared" si="0"/>
        <v>4.0617366910925998</v>
      </c>
      <c r="P14" s="14">
        <v>0</v>
      </c>
      <c r="Q14" s="16" t="s">
        <v>57</v>
      </c>
      <c r="R14" s="16" t="s">
        <v>57</v>
      </c>
      <c r="S14" s="16">
        <v>56532</v>
      </c>
      <c r="T14" s="16">
        <v>51992</v>
      </c>
      <c r="U14" s="17">
        <v>4540</v>
      </c>
      <c r="V14" s="18">
        <f>(U14*100)/S14</f>
        <v>8.0308497841930233</v>
      </c>
      <c r="W14" s="14">
        <v>0.62</v>
      </c>
      <c r="X14" s="14">
        <v>0.62</v>
      </c>
      <c r="Y14" s="16">
        <v>0</v>
      </c>
      <c r="Z14" s="16">
        <v>0</v>
      </c>
      <c r="AA14" s="16">
        <v>0</v>
      </c>
      <c r="AB14" s="16">
        <v>2814.7999999999993</v>
      </c>
      <c r="AC14" s="16">
        <v>2814.7999999999993</v>
      </c>
      <c r="AD14" s="40" t="s">
        <v>58</v>
      </c>
      <c r="AE14" s="41"/>
      <c r="AF14" s="42"/>
    </row>
    <row r="15" spans="1:32" x14ac:dyDescent="0.2">
      <c r="A15" s="3" t="s">
        <v>74</v>
      </c>
      <c r="B15" s="3" t="s">
        <v>75</v>
      </c>
      <c r="C15" s="3" t="s">
        <v>76</v>
      </c>
      <c r="D15" s="4">
        <v>10.64</v>
      </c>
      <c r="E15" s="4">
        <v>9.2100000000000009</v>
      </c>
      <c r="F15" s="3"/>
      <c r="G15" s="4">
        <v>2</v>
      </c>
      <c r="H15" s="4">
        <v>2</v>
      </c>
      <c r="I15" s="31">
        <v>327.75</v>
      </c>
      <c r="J15" s="31">
        <v>327.75</v>
      </c>
      <c r="K15" s="7">
        <v>87.56038647343</v>
      </c>
      <c r="L15" s="5">
        <v>3.4919001053844099</v>
      </c>
      <c r="M15" s="5">
        <v>12.238805970149251</v>
      </c>
      <c r="N15" s="5">
        <v>15.730706075533661</v>
      </c>
      <c r="O15" s="5">
        <f t="shared" si="0"/>
        <v>-3.4919001053844099</v>
      </c>
      <c r="P15" s="4">
        <v>6</v>
      </c>
      <c r="Q15" s="8">
        <v>10359</v>
      </c>
      <c r="R15" s="8">
        <v>12397</v>
      </c>
      <c r="S15" s="8">
        <v>11700</v>
      </c>
      <c r="T15" s="8">
        <v>10500</v>
      </c>
      <c r="U15" s="4">
        <v>1200</v>
      </c>
      <c r="V15" s="9">
        <f>(U15*100)/S15</f>
        <v>10.256410256410257</v>
      </c>
      <c r="W15" s="4">
        <v>4.5</v>
      </c>
      <c r="X15" s="4">
        <v>4.5</v>
      </c>
      <c r="Y15" s="8">
        <v>0</v>
      </c>
      <c r="Z15" s="8">
        <v>0</v>
      </c>
      <c r="AA15" s="8">
        <v>0</v>
      </c>
      <c r="AB15" s="11">
        <v>5400</v>
      </c>
      <c r="AC15" s="11">
        <v>5400</v>
      </c>
      <c r="AD15" s="37" t="s">
        <v>46</v>
      </c>
      <c r="AE15" s="38"/>
      <c r="AF15" s="39"/>
    </row>
    <row r="16" spans="1:32" x14ac:dyDescent="0.2">
      <c r="A16" s="3" t="s">
        <v>77</v>
      </c>
      <c r="B16" s="3" t="s">
        <v>78</v>
      </c>
      <c r="C16" s="3" t="s">
        <v>79</v>
      </c>
      <c r="D16" s="4">
        <v>7.68</v>
      </c>
      <c r="E16" s="4">
        <v>8.1</v>
      </c>
      <c r="F16" s="3"/>
      <c r="G16" s="4">
        <v>3</v>
      </c>
      <c r="H16" s="4">
        <v>4</v>
      </c>
      <c r="I16" s="31">
        <v>792</v>
      </c>
      <c r="J16" s="31">
        <v>1342</v>
      </c>
      <c r="K16" s="7">
        <v>96.441281138790004</v>
      </c>
      <c r="L16" s="5">
        <v>2.3476957662045708</v>
      </c>
      <c r="M16" s="5">
        <v>12.352941176470591</v>
      </c>
      <c r="N16" s="5">
        <v>14.70063694267516</v>
      </c>
      <c r="O16" s="5">
        <f t="shared" si="0"/>
        <v>-2.3476957662045699</v>
      </c>
      <c r="P16" s="4">
        <v>6</v>
      </c>
      <c r="Q16" s="8">
        <v>13249</v>
      </c>
      <c r="R16" s="8">
        <v>14937</v>
      </c>
      <c r="S16" s="8">
        <v>11334</v>
      </c>
      <c r="T16" s="8">
        <v>12773</v>
      </c>
      <c r="U16" s="4">
        <v>-1439</v>
      </c>
      <c r="V16" s="9">
        <f>(U16*100)/S16</f>
        <v>-12.696311981648138</v>
      </c>
      <c r="W16" s="4">
        <v>4.5</v>
      </c>
      <c r="X16" s="4">
        <v>4.5</v>
      </c>
      <c r="Y16" s="8">
        <v>0</v>
      </c>
      <c r="Z16" s="8">
        <v>0</v>
      </c>
      <c r="AA16" s="8">
        <v>0</v>
      </c>
      <c r="AB16" s="8">
        <f>U16*W16</f>
        <v>-6475.5</v>
      </c>
      <c r="AC16" s="8">
        <f>U16*X16</f>
        <v>-6475.5</v>
      </c>
      <c r="AD16" s="37" t="s">
        <v>46</v>
      </c>
      <c r="AE16" s="38"/>
      <c r="AF16" s="39"/>
    </row>
    <row r="17" spans="1:32" x14ac:dyDescent="0.2">
      <c r="A17" s="3" t="s">
        <v>80</v>
      </c>
      <c r="B17" s="3" t="s">
        <v>81</v>
      </c>
      <c r="C17" s="3" t="s">
        <v>82</v>
      </c>
      <c r="D17" s="4">
        <v>8.07</v>
      </c>
      <c r="E17" s="4">
        <v>7.14</v>
      </c>
      <c r="F17" s="3"/>
      <c r="G17" s="4">
        <v>4</v>
      </c>
      <c r="H17" s="4">
        <v>4</v>
      </c>
      <c r="I17" s="31">
        <v>1097</v>
      </c>
      <c r="J17" s="31">
        <v>1097</v>
      </c>
      <c r="K17" s="7">
        <v>95.543175487465206</v>
      </c>
      <c r="L17" s="5">
        <v>5.559038662486941</v>
      </c>
      <c r="M17" s="5">
        <v>10.303030303030299</v>
      </c>
      <c r="N17" s="5">
        <v>15.86206896551724</v>
      </c>
      <c r="O17" s="5">
        <f t="shared" si="0"/>
        <v>-5.559038662486941</v>
      </c>
      <c r="P17" s="4">
        <v>-4</v>
      </c>
      <c r="Q17" s="8">
        <v>9041</v>
      </c>
      <c r="R17" s="8">
        <v>11417</v>
      </c>
      <c r="S17" s="8">
        <v>10850</v>
      </c>
      <c r="T17" s="8">
        <v>9745</v>
      </c>
      <c r="U17" s="4">
        <v>1105</v>
      </c>
      <c r="V17" s="10">
        <v>10</v>
      </c>
      <c r="W17" s="4">
        <v>4.5</v>
      </c>
      <c r="X17" s="4">
        <v>4.5</v>
      </c>
      <c r="Y17" s="8">
        <v>0</v>
      </c>
      <c r="Z17" s="8">
        <v>0</v>
      </c>
      <c r="AA17" s="8">
        <v>0</v>
      </c>
      <c r="AB17" s="8">
        <f t="shared" ref="AB17:AB19" si="5">U17*W17</f>
        <v>4972.5</v>
      </c>
      <c r="AC17" s="8">
        <f t="shared" ref="AC17:AC19" si="6">U17*X17</f>
        <v>4972.5</v>
      </c>
      <c r="AD17" s="37" t="s">
        <v>46</v>
      </c>
      <c r="AE17" s="38"/>
      <c r="AF17" s="39"/>
    </row>
    <row r="18" spans="1:32" x14ac:dyDescent="0.2">
      <c r="A18" s="3" t="s">
        <v>83</v>
      </c>
      <c r="B18" s="3" t="s">
        <v>84</v>
      </c>
      <c r="C18" s="3" t="s">
        <v>85</v>
      </c>
      <c r="D18" s="4">
        <v>7.34</v>
      </c>
      <c r="E18" s="4">
        <v>7.35</v>
      </c>
      <c r="F18" s="3"/>
      <c r="G18" s="4">
        <v>3</v>
      </c>
      <c r="H18" s="4">
        <v>3</v>
      </c>
      <c r="I18" s="31">
        <v>925</v>
      </c>
      <c r="J18" s="31">
        <v>925</v>
      </c>
      <c r="K18" s="7">
        <v>99.298245614035096</v>
      </c>
      <c r="L18" s="5">
        <v>1.0901620549105591</v>
      </c>
      <c r="M18" s="5">
        <v>9.7482837528604005</v>
      </c>
      <c r="N18" s="5">
        <v>10.83844580777096</v>
      </c>
      <c r="O18" s="5">
        <f t="shared" si="0"/>
        <v>-1.0901620549105591</v>
      </c>
      <c r="P18" s="4">
        <v>0</v>
      </c>
      <c r="Q18" s="8">
        <v>9561</v>
      </c>
      <c r="R18" s="8">
        <v>7704</v>
      </c>
      <c r="S18" s="8">
        <v>9020</v>
      </c>
      <c r="T18" s="8">
        <v>8823</v>
      </c>
      <c r="U18" s="6">
        <v>197</v>
      </c>
      <c r="V18" s="9">
        <f>(U18*100)/S18</f>
        <v>2.1840354767184036</v>
      </c>
      <c r="W18" s="4">
        <v>4.5</v>
      </c>
      <c r="X18" s="4">
        <v>4.5</v>
      </c>
      <c r="Y18" s="8">
        <v>0</v>
      </c>
      <c r="Z18" s="8">
        <v>0</v>
      </c>
      <c r="AA18" s="8">
        <v>0</v>
      </c>
      <c r="AB18" s="8">
        <f t="shared" si="5"/>
        <v>886.5</v>
      </c>
      <c r="AC18" s="8">
        <f t="shared" si="6"/>
        <v>886.5</v>
      </c>
      <c r="AD18" s="37" t="s">
        <v>46</v>
      </c>
      <c r="AE18" s="38"/>
      <c r="AF18" s="39"/>
    </row>
    <row r="19" spans="1:32" x14ac:dyDescent="0.2">
      <c r="A19" s="3" t="s">
        <v>86</v>
      </c>
      <c r="B19" s="3" t="s">
        <v>87</v>
      </c>
      <c r="C19" s="3" t="s">
        <v>88</v>
      </c>
      <c r="D19" s="4">
        <v>11.94</v>
      </c>
      <c r="E19" s="4">
        <v>12.07</v>
      </c>
      <c r="F19" s="3"/>
      <c r="G19" s="4">
        <v>5</v>
      </c>
      <c r="H19" s="4">
        <v>5</v>
      </c>
      <c r="I19" s="31">
        <v>5190</v>
      </c>
      <c r="J19" s="31">
        <v>5190</v>
      </c>
      <c r="K19" s="7">
        <v>88.8888888888889</v>
      </c>
      <c r="L19" s="5">
        <v>-2.769286099622299</v>
      </c>
      <c r="M19" s="5">
        <v>6.8656716417909998</v>
      </c>
      <c r="N19" s="5">
        <v>4.0963855421687008</v>
      </c>
      <c r="O19" s="5">
        <f t="shared" si="0"/>
        <v>2.769286099622299</v>
      </c>
      <c r="P19" s="4">
        <v>0</v>
      </c>
      <c r="Q19" s="8" t="s">
        <v>57</v>
      </c>
      <c r="R19" s="8" t="s">
        <v>57</v>
      </c>
      <c r="S19" s="8">
        <v>27600</v>
      </c>
      <c r="T19" s="8">
        <v>26500</v>
      </c>
      <c r="U19" s="4">
        <v>1100</v>
      </c>
      <c r="V19" s="9">
        <f>(U19*100)/S19</f>
        <v>3.9855072463768115</v>
      </c>
      <c r="W19" s="4">
        <v>2.9</v>
      </c>
      <c r="X19" s="4">
        <v>2.9</v>
      </c>
      <c r="Y19" s="8">
        <v>0</v>
      </c>
      <c r="Z19" s="8">
        <v>0</v>
      </c>
      <c r="AA19" s="8">
        <v>0</v>
      </c>
      <c r="AB19" s="8">
        <f t="shared" si="5"/>
        <v>3190</v>
      </c>
      <c r="AC19" s="8">
        <f t="shared" si="6"/>
        <v>3190</v>
      </c>
      <c r="AD19" s="37" t="s">
        <v>89</v>
      </c>
      <c r="AE19" s="38"/>
      <c r="AF19" s="39"/>
    </row>
    <row r="20" spans="1:32" x14ac:dyDescent="0.2">
      <c r="A20" s="21" t="s">
        <v>90</v>
      </c>
      <c r="B20" s="3"/>
      <c r="C20" s="3"/>
      <c r="D20" s="4">
        <f>MIN(D2:D19)</f>
        <v>7.34</v>
      </c>
      <c r="E20" s="4">
        <f>MIN(E2:E19)</f>
        <v>4</v>
      </c>
      <c r="F20" s="3"/>
      <c r="G20" s="4">
        <f>SUM(G2:G19)</f>
        <v>38</v>
      </c>
      <c r="H20" s="4">
        <f>SUM(H2:H19)</f>
        <v>50</v>
      </c>
      <c r="I20" s="33">
        <f>SUM(I2:I19)</f>
        <v>20220</v>
      </c>
      <c r="J20" s="33">
        <f>SUM(J2:J19)</f>
        <v>25345</v>
      </c>
      <c r="K20" s="7"/>
      <c r="L20" s="5"/>
      <c r="M20" s="5"/>
      <c r="N20" s="5"/>
      <c r="O20" s="5"/>
      <c r="P20" s="4"/>
      <c r="Q20" s="8"/>
      <c r="R20" s="8"/>
      <c r="S20" s="23">
        <f>SUM(S2:S19)</f>
        <v>382721</v>
      </c>
      <c r="T20" s="23">
        <f>SUM(T2:T19)</f>
        <v>362094</v>
      </c>
      <c r="U20" s="4"/>
      <c r="V20" s="9"/>
      <c r="W20" s="4"/>
      <c r="X20" s="4"/>
      <c r="Y20" s="8"/>
      <c r="Z20" s="8"/>
      <c r="AA20" s="8"/>
      <c r="AB20" s="8"/>
      <c r="AC20" s="8"/>
      <c r="AD20" s="37"/>
      <c r="AE20" s="38"/>
      <c r="AF20" s="39"/>
    </row>
    <row r="21" spans="1:32" x14ac:dyDescent="0.2">
      <c r="A21" s="21" t="s">
        <v>91</v>
      </c>
      <c r="B21" s="3"/>
      <c r="C21" s="3"/>
      <c r="D21" s="4">
        <f>MAX(D2:D20)</f>
        <v>54.25</v>
      </c>
      <c r="E21" s="4">
        <f>MAX(E2:E20)</f>
        <v>31.5</v>
      </c>
      <c r="F21" s="3"/>
      <c r="G21" s="22">
        <f>+G20/COUNT(G2:G19)</f>
        <v>2.1111111111111112</v>
      </c>
      <c r="H21" s="22">
        <f>+H20/COUNT(H2:H19)</f>
        <v>2.7777777777777777</v>
      </c>
      <c r="I21" s="31">
        <f>+I20/G20</f>
        <v>532.10526315789468</v>
      </c>
      <c r="J21" s="31">
        <f>+J20/H20</f>
        <v>506.9</v>
      </c>
      <c r="K21" s="7"/>
      <c r="L21" s="5"/>
      <c r="M21" s="5"/>
      <c r="N21" s="5"/>
      <c r="O21" s="5"/>
      <c r="P21" s="4"/>
      <c r="Q21" s="8"/>
      <c r="R21" s="8"/>
      <c r="S21" s="24">
        <f>+S20/COUNT(S2:S19)</f>
        <v>21262.277777777777</v>
      </c>
      <c r="T21" s="24">
        <f>+T20/COUNT(T2:T19)</f>
        <v>20116.333333333332</v>
      </c>
      <c r="U21" s="4"/>
      <c r="V21" s="9"/>
      <c r="W21" s="4"/>
      <c r="X21" s="4"/>
      <c r="Y21" s="8"/>
      <c r="Z21" s="8"/>
      <c r="AA21" s="8"/>
      <c r="AB21" s="8"/>
      <c r="AC21" s="8"/>
      <c r="AD21" s="37"/>
      <c r="AE21" s="38"/>
      <c r="AF21" s="39"/>
    </row>
    <row r="23" spans="1:32" x14ac:dyDescent="0.2">
      <c r="A23" s="20" t="s">
        <v>92</v>
      </c>
      <c r="D23" s="27">
        <f>+SUM(D2:D8,D10:D11,D13,D15:D19)</f>
        <v>283.47999999999996</v>
      </c>
      <c r="E23" s="27">
        <f>+SUM(E2:E8,E10:E11,E13,E15:E19)</f>
        <v>201.11999999999998</v>
      </c>
      <c r="G23" s="27">
        <f>+SUM(G2:G8,G10:G11,G13,G15:G19)</f>
        <v>33</v>
      </c>
      <c r="H23" s="27">
        <f>+SUM(H2:H8,H10:H11,H13,H15:H19)</f>
        <v>44</v>
      </c>
      <c r="I23" s="25">
        <f>+SUM(I2:I8,I10:I11,I13,I15:I19)</f>
        <v>17020</v>
      </c>
      <c r="J23" s="25">
        <f>+SUM(J2:J8,J10:J11,J13,J15:J19)</f>
        <v>21695</v>
      </c>
      <c r="K23" s="1" t="s">
        <v>93</v>
      </c>
      <c r="L23" s="1">
        <f>10/15</f>
        <v>0.66666666666666663</v>
      </c>
      <c r="S23" s="27">
        <f>+SUM(S2:S8,S10:S11,S13,S15:S19)</f>
        <v>187666</v>
      </c>
      <c r="T23" s="27">
        <f>+SUM(T2:T8,T10:T11,T13,T15:T19)</f>
        <v>187671</v>
      </c>
    </row>
    <row r="24" spans="1:32" x14ac:dyDescent="0.2">
      <c r="A24" s="1" t="s">
        <v>94</v>
      </c>
      <c r="G24" s="26">
        <f>+G23/COUNT(G2:G8,G10:G11,G13,G15:G19)</f>
        <v>2.2000000000000002</v>
      </c>
      <c r="H24" s="26">
        <f>+H23/COUNT(H2:H8,H10:H11,H13,H15:H19)</f>
        <v>2.9333333333333331</v>
      </c>
      <c r="I24" s="28">
        <f>+I23/G23</f>
        <v>515.75757575757575</v>
      </c>
      <c r="J24" s="28">
        <f>+J23/H23</f>
        <v>493.06818181818181</v>
      </c>
      <c r="S24" s="27">
        <f>+S23/COUNT(S2:S8,S10:S11,S13,S15:S19)</f>
        <v>12511.066666666668</v>
      </c>
      <c r="T24" s="27">
        <f>+T23/COUNT(T2:T8,T10:T11,T13,T15:T19)</f>
        <v>12511.4</v>
      </c>
    </row>
    <row r="26" spans="1:32" x14ac:dyDescent="0.2">
      <c r="A26" s="20" t="s">
        <v>95</v>
      </c>
      <c r="G26" s="1">
        <f>+SUM(G4:G19)</f>
        <v>36</v>
      </c>
      <c r="H26" s="1">
        <f>+SUM(H4:H19)</f>
        <v>45</v>
      </c>
      <c r="I26" s="29">
        <f>+SUM(I4:I19)</f>
        <v>19335</v>
      </c>
      <c r="J26" s="29">
        <f>+SUM(J4:J19)</f>
        <v>23500</v>
      </c>
      <c r="S26" s="27">
        <f t="shared" ref="S26" si="7">+SUM(S4:S19)</f>
        <v>355454</v>
      </c>
      <c r="T26" s="27">
        <f>+SUM(T4:T19)</f>
        <v>335828</v>
      </c>
    </row>
    <row r="27" spans="1:32" x14ac:dyDescent="0.2">
      <c r="A27" s="1" t="s">
        <v>94</v>
      </c>
      <c r="G27" s="26">
        <f>+G26/COUNT(G4:G19)</f>
        <v>2.25</v>
      </c>
      <c r="H27" s="26">
        <f>+H26/COUNT(H4:H19)</f>
        <v>2.8125</v>
      </c>
      <c r="I27" s="29">
        <f>+I26/COUNT(I4:I19)</f>
        <v>1208.4375</v>
      </c>
      <c r="J27" s="29">
        <f>+J26/COUNT(J4:J19)</f>
        <v>1468.75</v>
      </c>
      <c r="S27" s="27">
        <f t="shared" ref="S27:T27" si="8">+S26/COUNT(S4:S19)</f>
        <v>22215.875</v>
      </c>
      <c r="T27" s="27">
        <f t="shared" si="8"/>
        <v>20989.25</v>
      </c>
    </row>
    <row r="29" spans="1:32" x14ac:dyDescent="0.2">
      <c r="A29" s="20" t="s">
        <v>96</v>
      </c>
      <c r="G29" s="1">
        <f>+SUM(G2:G8,G10:G11,G13,G15:G19)</f>
        <v>33</v>
      </c>
      <c r="H29" s="1">
        <f>+SUM(H2:H8,H10:H11,H13,H15:H19)</f>
        <v>44</v>
      </c>
      <c r="S29" s="27">
        <f>+SUM(S2:S8,S10:S11,S13,S15:S19)</f>
        <v>187666</v>
      </c>
      <c r="T29" s="27">
        <f>+SUM(T2:T8,T10:T11,T13,T15:T19)</f>
        <v>187671</v>
      </c>
    </row>
    <row r="30" spans="1:32" x14ac:dyDescent="0.2">
      <c r="A30" s="1" t="s">
        <v>97</v>
      </c>
      <c r="G30" s="1">
        <f>+COUNT(G2:G8,G10:G11,G13,G15:G19)</f>
        <v>15</v>
      </c>
      <c r="H30" s="1">
        <f>+COUNT(H2:H8,H10:H11,H13,H15:H19)</f>
        <v>15</v>
      </c>
      <c r="I30" s="1">
        <f>+COUNT(I2:I8,I10:I11,I13,I15:I19)</f>
        <v>15</v>
      </c>
      <c r="S30" s="1">
        <f>+COUNT(S2:S8,S10:S11,S13,S15:S19)</f>
        <v>15</v>
      </c>
      <c r="T30" s="1">
        <f>+COUNT(T2:T8,T10:T11,T13,T15:T19)</f>
        <v>15</v>
      </c>
    </row>
    <row r="31" spans="1:32" x14ac:dyDescent="0.2">
      <c r="A31" s="1" t="s">
        <v>94</v>
      </c>
      <c r="G31" s="26">
        <f>+G29/G30</f>
        <v>2.2000000000000002</v>
      </c>
      <c r="H31" s="26">
        <f>+H29/H30</f>
        <v>2.9333333333333331</v>
      </c>
      <c r="S31" s="27">
        <f>+S29/S30</f>
        <v>12511.066666666668</v>
      </c>
      <c r="T31" s="27">
        <f>+T29/T30</f>
        <v>12511.4</v>
      </c>
    </row>
    <row r="33" spans="1:23" x14ac:dyDescent="0.2">
      <c r="A33" s="20" t="s">
        <v>98</v>
      </c>
      <c r="G33" s="1">
        <f>+SUM(G9,G12,G14)</f>
        <v>5</v>
      </c>
      <c r="H33" s="1">
        <f>+SUM(H9,H12,H14)</f>
        <v>6</v>
      </c>
      <c r="I33" s="29">
        <f t="shared" ref="I33:J33" si="9">+SUM(I9,I12,I14)</f>
        <v>3200</v>
      </c>
      <c r="J33" s="29">
        <f t="shared" si="9"/>
        <v>3650</v>
      </c>
      <c r="S33" s="27">
        <f>+SUM(S9,S12,S14)</f>
        <v>195055</v>
      </c>
      <c r="T33" s="27">
        <f>+SUM(T9,T12,T14)</f>
        <v>174423</v>
      </c>
    </row>
    <row r="34" spans="1:23" x14ac:dyDescent="0.2">
      <c r="G34" s="26">
        <f>+G33/COUNT(G9,G12,G14)</f>
        <v>1.6666666666666667</v>
      </c>
      <c r="H34" s="26">
        <f t="shared" ref="H34" si="10">+H33/COUNT(H9,H12,H14)</f>
        <v>2</v>
      </c>
      <c r="I34" s="29">
        <f t="shared" ref="I34:J34" si="11">+I33/COUNT(I9,I12,I14)</f>
        <v>1066.6666666666667</v>
      </c>
      <c r="J34" s="29">
        <f t="shared" si="11"/>
        <v>1216.6666666666667</v>
      </c>
      <c r="S34" s="27">
        <f>+S33/COUNT(S9,S12,S14)</f>
        <v>65018.333333333336</v>
      </c>
      <c r="T34" s="27">
        <f>+T33/COUNT(T9,T12,T14)</f>
        <v>58141</v>
      </c>
    </row>
    <row r="35" spans="1:23" x14ac:dyDescent="0.2">
      <c r="G35" s="26"/>
      <c r="H35" s="26"/>
      <c r="I35" s="29"/>
      <c r="J35" s="29"/>
      <c r="S35" s="27"/>
      <c r="T35" s="27"/>
    </row>
    <row r="36" spans="1:23" x14ac:dyDescent="0.2">
      <c r="A36" s="20"/>
      <c r="T36" s="30">
        <f>+SUM(T4:T8,T10:T11,T13,T15:T19)</f>
        <v>161405</v>
      </c>
      <c r="U36" s="1">
        <f>+COUNT(T4:T8,T10:T11,T13,T15:T19)</f>
        <v>13</v>
      </c>
      <c r="V36" s="27">
        <f>+U36*T36</f>
        <v>2098265</v>
      </c>
      <c r="W36" s="27">
        <f>+T36/U36</f>
        <v>12415.76923076923</v>
      </c>
    </row>
    <row r="37" spans="1:23" x14ac:dyDescent="0.2">
      <c r="T37" s="30">
        <f>+SUM(T9,T12,T14)</f>
        <v>174423</v>
      </c>
      <c r="U37" s="1">
        <v>3</v>
      </c>
      <c r="V37" s="27">
        <f>+U37*T37</f>
        <v>523269</v>
      </c>
      <c r="W37" s="27">
        <f>+T37/U37</f>
        <v>58141</v>
      </c>
    </row>
    <row r="38" spans="1:23" x14ac:dyDescent="0.2">
      <c r="V38" s="27">
        <f>+SUM(V36:V37)/SUM(U36:U37)</f>
        <v>163845.875</v>
      </c>
    </row>
  </sheetData>
  <mergeCells count="21">
    <mergeCell ref="AD20:AF20"/>
    <mergeCell ref="AD21:AF21"/>
    <mergeCell ref="AD1:AF1"/>
    <mergeCell ref="AD2:AF2"/>
    <mergeCell ref="AD3:AF3"/>
    <mergeCell ref="AD12:AF12"/>
    <mergeCell ref="AD13:AF13"/>
    <mergeCell ref="AD4:AF4"/>
    <mergeCell ref="AD5:AF5"/>
    <mergeCell ref="AD6:AF6"/>
    <mergeCell ref="AD7:AF7"/>
    <mergeCell ref="AD8:AF8"/>
    <mergeCell ref="AD9:AF9"/>
    <mergeCell ref="AD10:AF10"/>
    <mergeCell ref="AD11:AF11"/>
    <mergeCell ref="AD18:AF18"/>
    <mergeCell ref="AD19:AF19"/>
    <mergeCell ref="AD14:AF14"/>
    <mergeCell ref="AD15:AF15"/>
    <mergeCell ref="AD16:AF16"/>
    <mergeCell ref="AD17:AF1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275AE-7724-4D25-8E02-364B12A450E2}">
  <dimension ref="A1:Y19"/>
  <sheetViews>
    <sheetView tabSelected="1" workbookViewId="0">
      <pane xSplit="3" topLeftCell="D1" activePane="topRight" state="frozen"/>
      <selection pane="topRight" activeCell="J23" sqref="J23"/>
    </sheetView>
  </sheetViews>
  <sheetFormatPr baseColWidth="10" defaultColWidth="8.83203125" defaultRowHeight="16" x14ac:dyDescent="0.2"/>
  <cols>
    <col min="1" max="1" width="21.5" customWidth="1"/>
    <col min="2" max="2" width="25" customWidth="1"/>
    <col min="3" max="3" width="19.83203125" customWidth="1"/>
    <col min="4" max="4" width="19.33203125" bestFit="1" customWidth="1"/>
    <col min="5" max="5" width="26.1640625" bestFit="1" customWidth="1"/>
    <col min="20" max="20" width="9.5" bestFit="1" customWidth="1"/>
    <col min="21" max="21" width="9.6640625" customWidth="1"/>
    <col min="22" max="22" width="11" bestFit="1" customWidth="1"/>
    <col min="23" max="23" width="13.5" bestFit="1" customWidth="1"/>
  </cols>
  <sheetData>
    <row r="1" spans="1:25" ht="119" x14ac:dyDescent="0.2">
      <c r="A1" t="s">
        <v>104</v>
      </c>
      <c r="B1" t="s">
        <v>102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6</v>
      </c>
      <c r="I1" s="2" t="s">
        <v>7</v>
      </c>
      <c r="J1" s="2" t="s">
        <v>99</v>
      </c>
      <c r="K1" s="2" t="s">
        <v>100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101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 x14ac:dyDescent="0.2">
      <c r="A2" t="s">
        <v>105</v>
      </c>
      <c r="B2" t="s">
        <v>103</v>
      </c>
      <c r="C2" s="3" t="s">
        <v>29</v>
      </c>
      <c r="D2" s="3" t="s">
        <v>30</v>
      </c>
      <c r="E2" s="3" t="s">
        <v>31</v>
      </c>
      <c r="F2" s="4">
        <v>18.45</v>
      </c>
      <c r="G2" s="4">
        <v>16.32</v>
      </c>
      <c r="H2" s="4">
        <v>1</v>
      </c>
      <c r="I2" s="4">
        <v>3</v>
      </c>
      <c r="J2" s="31">
        <v>605</v>
      </c>
      <c r="K2" s="31">
        <v>1365</v>
      </c>
      <c r="L2" s="7">
        <v>75.400000000000006</v>
      </c>
      <c r="M2" s="5">
        <v>-12.4</v>
      </c>
      <c r="N2" s="5">
        <v>8.4</v>
      </c>
      <c r="O2" s="5">
        <v>-4</v>
      </c>
      <c r="P2" s="5">
        <f t="shared" ref="P2:P19" si="0">N2-O2</f>
        <v>12.4</v>
      </c>
      <c r="Q2" s="4">
        <v>0</v>
      </c>
      <c r="R2" s="8">
        <v>15094</v>
      </c>
      <c r="S2" s="8">
        <v>14395</v>
      </c>
      <c r="T2" s="8">
        <v>14187</v>
      </c>
      <c r="U2" s="8">
        <v>13819</v>
      </c>
      <c r="V2" s="8">
        <f>(T2-U2)</f>
        <v>368</v>
      </c>
      <c r="W2" s="35">
        <f>V2/T2</f>
        <v>2.593924014943258E-2</v>
      </c>
      <c r="X2" s="4">
        <v>4.5</v>
      </c>
      <c r="Y2" s="4">
        <v>4500</v>
      </c>
    </row>
    <row r="3" spans="1:25" x14ac:dyDescent="0.2">
      <c r="A3" t="s">
        <v>105</v>
      </c>
      <c r="B3" t="s">
        <v>103</v>
      </c>
      <c r="C3" s="3" t="s">
        <v>32</v>
      </c>
      <c r="D3" s="3" t="s">
        <v>33</v>
      </c>
      <c r="E3" s="3" t="s">
        <v>34</v>
      </c>
      <c r="F3" s="4">
        <v>34.659999999999997</v>
      </c>
      <c r="G3" s="4">
        <v>21.32</v>
      </c>
      <c r="H3" s="4">
        <v>1</v>
      </c>
      <c r="I3" s="4">
        <v>2</v>
      </c>
      <c r="J3" s="31">
        <v>280</v>
      </c>
      <c r="K3" s="31">
        <v>480</v>
      </c>
      <c r="L3" s="7">
        <v>86.5</v>
      </c>
      <c r="M3" s="5">
        <v>1.01</v>
      </c>
      <c r="N3" s="5">
        <v>8.6</v>
      </c>
      <c r="O3" s="5">
        <v>9.6</v>
      </c>
      <c r="P3" s="5">
        <f t="shared" si="0"/>
        <v>-1</v>
      </c>
      <c r="Q3" s="4">
        <v>0</v>
      </c>
      <c r="R3" s="8">
        <v>13563</v>
      </c>
      <c r="S3" s="8">
        <v>13373</v>
      </c>
      <c r="T3" s="8">
        <v>13080</v>
      </c>
      <c r="U3" s="8">
        <v>12447</v>
      </c>
      <c r="V3" s="8">
        <f>(T3-U3)</f>
        <v>633</v>
      </c>
      <c r="W3" s="36">
        <f>V3/T3</f>
        <v>4.8394495412844039E-2</v>
      </c>
      <c r="X3" s="4">
        <v>4.5</v>
      </c>
      <c r="Y3" s="4">
        <v>4500</v>
      </c>
    </row>
    <row r="4" spans="1:25" x14ac:dyDescent="0.2">
      <c r="A4" t="s">
        <v>105</v>
      </c>
      <c r="B4" t="s">
        <v>103</v>
      </c>
      <c r="C4" s="3" t="s">
        <v>35</v>
      </c>
      <c r="D4" s="3" t="s">
        <v>36</v>
      </c>
      <c r="E4" s="3" t="s">
        <v>37</v>
      </c>
      <c r="F4" s="4">
        <v>12</v>
      </c>
      <c r="G4" s="4">
        <v>10</v>
      </c>
      <c r="H4" s="4">
        <v>0</v>
      </c>
      <c r="I4" s="4">
        <v>2</v>
      </c>
      <c r="J4" s="31">
        <v>0</v>
      </c>
      <c r="K4" s="31">
        <v>855</v>
      </c>
      <c r="L4" s="7">
        <v>98.562628336755594</v>
      </c>
      <c r="M4" s="5">
        <v>-0.55444500345720993</v>
      </c>
      <c r="N4" s="5">
        <v>13.156822810590629</v>
      </c>
      <c r="O4" s="5">
        <v>12.60237780713342</v>
      </c>
      <c r="P4" s="5">
        <f t="shared" si="0"/>
        <v>0.55444500345720904</v>
      </c>
      <c r="Q4" s="4">
        <v>0</v>
      </c>
      <c r="R4" s="8">
        <v>10211</v>
      </c>
      <c r="S4" s="8">
        <v>13348</v>
      </c>
      <c r="T4" s="34">
        <v>6400</v>
      </c>
      <c r="U4" s="34">
        <v>11350</v>
      </c>
      <c r="V4" s="34">
        <v>-4950</v>
      </c>
      <c r="W4" s="35">
        <f>V4/T4</f>
        <v>-0.7734375</v>
      </c>
      <c r="X4" s="4">
        <v>4.5</v>
      </c>
      <c r="Y4" s="4">
        <v>4500</v>
      </c>
    </row>
    <row r="5" spans="1:25" x14ac:dyDescent="0.2">
      <c r="A5" t="s">
        <v>105</v>
      </c>
      <c r="B5" t="s">
        <v>103</v>
      </c>
      <c r="C5" s="3" t="s">
        <v>39</v>
      </c>
      <c r="D5" s="3" t="s">
        <v>40</v>
      </c>
      <c r="E5" s="3" t="s">
        <v>41</v>
      </c>
      <c r="F5" s="4">
        <v>54.25</v>
      </c>
      <c r="G5" s="4">
        <v>21.2</v>
      </c>
      <c r="H5" s="4">
        <v>4</v>
      </c>
      <c r="I5" s="4">
        <v>5</v>
      </c>
      <c r="J5" s="31">
        <v>2270.25</v>
      </c>
      <c r="K5" s="31">
        <v>2750.25</v>
      </c>
      <c r="L5" s="7">
        <v>97.108673978065795</v>
      </c>
      <c r="M5" s="5">
        <v>2.2344379585434204</v>
      </c>
      <c r="N5" s="5">
        <v>12.825112107623319</v>
      </c>
      <c r="O5" s="5">
        <v>15.059550066166739</v>
      </c>
      <c r="P5" s="5">
        <f t="shared" si="0"/>
        <v>-2.2344379585434204</v>
      </c>
      <c r="Q5" s="4">
        <v>-4</v>
      </c>
      <c r="R5" s="8">
        <v>15503</v>
      </c>
      <c r="S5" s="8">
        <v>15766</v>
      </c>
      <c r="T5" s="8">
        <v>14100</v>
      </c>
      <c r="U5" s="8">
        <v>14498</v>
      </c>
      <c r="V5" s="8">
        <v>-398</v>
      </c>
      <c r="W5" s="36">
        <f t="shared" ref="W5:W8" si="1">V5/T5</f>
        <v>-2.8226950354609929E-2</v>
      </c>
      <c r="X5" s="4">
        <v>4.5</v>
      </c>
      <c r="Y5" s="4">
        <v>4500</v>
      </c>
    </row>
    <row r="6" spans="1:25" x14ac:dyDescent="0.2">
      <c r="A6" t="s">
        <v>105</v>
      </c>
      <c r="B6" t="s">
        <v>103</v>
      </c>
      <c r="C6" s="3" t="s">
        <v>43</v>
      </c>
      <c r="D6" s="3" t="s">
        <v>44</v>
      </c>
      <c r="E6" s="3" t="s">
        <v>45</v>
      </c>
      <c r="F6" s="4">
        <v>10</v>
      </c>
      <c r="G6" s="4">
        <v>4</v>
      </c>
      <c r="H6" s="4">
        <v>2</v>
      </c>
      <c r="I6" s="4">
        <v>2</v>
      </c>
      <c r="J6" s="31">
        <v>1330</v>
      </c>
      <c r="K6" s="31">
        <v>1330</v>
      </c>
      <c r="L6" s="7">
        <v>97.329059829059801</v>
      </c>
      <c r="M6" s="5">
        <v>1.1297242208430198</v>
      </c>
      <c r="N6" s="5">
        <v>15.20184544405998</v>
      </c>
      <c r="O6" s="5">
        <v>16.331569664903</v>
      </c>
      <c r="P6" s="5">
        <f t="shared" si="0"/>
        <v>-1.1297242208430198</v>
      </c>
      <c r="Q6" s="4">
        <v>0</v>
      </c>
      <c r="R6" s="8">
        <v>14675</v>
      </c>
      <c r="S6" s="8">
        <v>12471</v>
      </c>
      <c r="T6" s="8">
        <v>11075</v>
      </c>
      <c r="U6" s="8">
        <v>9484</v>
      </c>
      <c r="V6" s="8">
        <v>1591</v>
      </c>
      <c r="W6" s="36">
        <f t="shared" si="1"/>
        <v>0.14365688487584649</v>
      </c>
      <c r="X6" s="4">
        <v>4.5</v>
      </c>
      <c r="Y6" s="4">
        <v>4500</v>
      </c>
    </row>
    <row r="7" spans="1:25" x14ac:dyDescent="0.2">
      <c r="A7" t="s">
        <v>105</v>
      </c>
      <c r="B7" t="s">
        <v>103</v>
      </c>
      <c r="C7" s="3" t="s">
        <v>47</v>
      </c>
      <c r="D7" s="3" t="s">
        <v>48</v>
      </c>
      <c r="E7" s="3" t="s">
        <v>49</v>
      </c>
      <c r="F7" s="4">
        <v>31.04</v>
      </c>
      <c r="G7" s="4">
        <v>27.82</v>
      </c>
      <c r="H7" s="4">
        <v>4</v>
      </c>
      <c r="I7" s="4">
        <v>4</v>
      </c>
      <c r="J7" s="31">
        <v>2333</v>
      </c>
      <c r="K7" s="31">
        <v>2333</v>
      </c>
      <c r="L7" s="7">
        <v>93.064466849984697</v>
      </c>
      <c r="M7" s="5">
        <v>-4.1274548883781392</v>
      </c>
      <c r="N7" s="5">
        <v>15.69313593539704</v>
      </c>
      <c r="O7" s="5">
        <v>11.5656810470189</v>
      </c>
      <c r="P7" s="5">
        <f t="shared" si="0"/>
        <v>4.1274548883781392</v>
      </c>
      <c r="Q7" s="4">
        <v>0</v>
      </c>
      <c r="R7" s="8">
        <v>16566</v>
      </c>
      <c r="S7" s="8">
        <v>15080</v>
      </c>
      <c r="T7" s="8">
        <v>11568</v>
      </c>
      <c r="U7" s="8">
        <v>11715</v>
      </c>
      <c r="V7" s="8">
        <v>-147</v>
      </c>
      <c r="W7" s="36">
        <f t="shared" si="1"/>
        <v>-1.270746887966805E-2</v>
      </c>
      <c r="X7" s="4">
        <v>4.5</v>
      </c>
      <c r="Y7" s="4">
        <v>4500</v>
      </c>
    </row>
    <row r="8" spans="1:25" x14ac:dyDescent="0.2">
      <c r="A8" t="s">
        <v>105</v>
      </c>
      <c r="B8" t="s">
        <v>103</v>
      </c>
      <c r="C8" s="3" t="s">
        <v>50</v>
      </c>
      <c r="D8" s="3" t="s">
        <v>51</v>
      </c>
      <c r="E8" s="3" t="s">
        <v>52</v>
      </c>
      <c r="F8" s="4">
        <v>15.33</v>
      </c>
      <c r="G8" s="4">
        <v>7.24</v>
      </c>
      <c r="H8" s="4">
        <v>1</v>
      </c>
      <c r="I8" s="4">
        <v>1</v>
      </c>
      <c r="J8" s="31">
        <v>0</v>
      </c>
      <c r="K8" s="31">
        <v>260</v>
      </c>
      <c r="L8" s="7">
        <v>92.735849056603797</v>
      </c>
      <c r="M8" s="5">
        <v>1.7096774193548399</v>
      </c>
      <c r="N8" s="5">
        <v>12</v>
      </c>
      <c r="O8" s="5">
        <v>13.70967741935484</v>
      </c>
      <c r="P8" s="5">
        <f t="shared" si="0"/>
        <v>-1.7096774193548399</v>
      </c>
      <c r="Q8" s="4">
        <v>0</v>
      </c>
      <c r="R8" s="8">
        <v>12616</v>
      </c>
      <c r="S8" s="8">
        <v>9438</v>
      </c>
      <c r="T8" s="8">
        <v>12150</v>
      </c>
      <c r="U8" s="8">
        <v>8550</v>
      </c>
      <c r="V8" s="8">
        <v>3600</v>
      </c>
      <c r="W8" s="36">
        <f t="shared" si="1"/>
        <v>0.29629629629629628</v>
      </c>
      <c r="X8" s="4">
        <v>4.5</v>
      </c>
      <c r="Y8" s="4">
        <v>4500</v>
      </c>
    </row>
    <row r="9" spans="1:25" x14ac:dyDescent="0.2">
      <c r="A9" t="s">
        <v>105</v>
      </c>
      <c r="B9" t="s">
        <v>103</v>
      </c>
      <c r="C9" s="13" t="s">
        <v>54</v>
      </c>
      <c r="D9" s="13" t="s">
        <v>55</v>
      </c>
      <c r="E9" s="13" t="s">
        <v>56</v>
      </c>
      <c r="F9" s="14">
        <v>28.59</v>
      </c>
      <c r="G9" s="14">
        <v>24.28</v>
      </c>
      <c r="H9" s="14">
        <v>2</v>
      </c>
      <c r="I9" s="14">
        <v>2</v>
      </c>
      <c r="J9" s="32">
        <v>450</v>
      </c>
      <c r="K9" s="32">
        <v>450</v>
      </c>
      <c r="L9" s="19">
        <v>97.736447520184498</v>
      </c>
      <c r="M9" s="15">
        <v>-1.6051931572950373E-2</v>
      </c>
      <c r="N9" s="15">
        <v>14.03353927625772</v>
      </c>
      <c r="O9" s="15">
        <v>14.017487344684771</v>
      </c>
      <c r="P9" s="5">
        <f t="shared" si="0"/>
        <v>1.6051931572949485E-2</v>
      </c>
      <c r="Q9" s="14">
        <v>-7</v>
      </c>
      <c r="R9" s="16" t="s">
        <v>57</v>
      </c>
      <c r="S9" s="16" t="s">
        <v>57</v>
      </c>
      <c r="T9" s="34">
        <v>63653</v>
      </c>
      <c r="U9" s="34">
        <v>57791</v>
      </c>
      <c r="V9" s="34">
        <v>5862</v>
      </c>
      <c r="W9" s="18">
        <f t="shared" ref="W9" si="2">(V9*100)/T9</f>
        <v>9.2093067098172909</v>
      </c>
      <c r="X9" s="14">
        <v>0.62</v>
      </c>
      <c r="Y9" s="14">
        <v>620</v>
      </c>
    </row>
    <row r="10" spans="1:25" x14ac:dyDescent="0.2">
      <c r="A10" t="s">
        <v>105</v>
      </c>
      <c r="B10" t="s">
        <v>103</v>
      </c>
      <c r="C10" s="3" t="s">
        <v>59</v>
      </c>
      <c r="D10" s="3" t="s">
        <v>60</v>
      </c>
      <c r="E10" s="3" t="s">
        <v>61</v>
      </c>
      <c r="F10" s="4">
        <v>17</v>
      </c>
      <c r="G10" s="4">
        <v>12</v>
      </c>
      <c r="H10" s="4">
        <v>0</v>
      </c>
      <c r="I10" s="4">
        <v>3</v>
      </c>
      <c r="J10" s="31">
        <v>0</v>
      </c>
      <c r="K10" s="31">
        <v>1090</v>
      </c>
      <c r="L10" s="7">
        <v>94.645080946450804</v>
      </c>
      <c r="M10" s="5">
        <v>-1.3457749680658999</v>
      </c>
      <c r="N10" s="5">
        <v>9.5975232198141995</v>
      </c>
      <c r="O10" s="5">
        <v>8.2517482517482996</v>
      </c>
      <c r="P10" s="5">
        <f t="shared" si="0"/>
        <v>1.3457749680658999</v>
      </c>
      <c r="Q10" s="4">
        <v>1</v>
      </c>
      <c r="R10" s="8">
        <v>18011</v>
      </c>
      <c r="S10" s="8">
        <v>17370</v>
      </c>
      <c r="T10" s="8">
        <v>12370</v>
      </c>
      <c r="U10" s="8">
        <v>12420</v>
      </c>
      <c r="V10" s="8">
        <v>-50</v>
      </c>
      <c r="W10" s="9">
        <f>(V10*100)/T10</f>
        <v>-0.40420371867421179</v>
      </c>
      <c r="X10" s="4">
        <v>4.5</v>
      </c>
      <c r="Y10" s="4">
        <v>4500</v>
      </c>
    </row>
    <row r="11" spans="1:25" x14ac:dyDescent="0.2">
      <c r="A11" t="s">
        <v>105</v>
      </c>
      <c r="B11" t="s">
        <v>103</v>
      </c>
      <c r="C11" s="3" t="s">
        <v>62</v>
      </c>
      <c r="D11" s="3" t="s">
        <v>63</v>
      </c>
      <c r="E11" s="3" t="s">
        <v>64</v>
      </c>
      <c r="F11" s="4">
        <v>9.91</v>
      </c>
      <c r="G11" s="4">
        <v>9.8800000000000008</v>
      </c>
      <c r="H11" s="4">
        <v>1</v>
      </c>
      <c r="I11" s="4">
        <v>2</v>
      </c>
      <c r="J11" s="31">
        <v>480</v>
      </c>
      <c r="K11" s="31">
        <v>960</v>
      </c>
      <c r="L11" s="7">
        <v>84.673604541154205</v>
      </c>
      <c r="M11" s="5">
        <v>1.8136515178101407</v>
      </c>
      <c r="N11" s="5">
        <v>11.94244604316547</v>
      </c>
      <c r="O11" s="5">
        <v>13.756097560975611</v>
      </c>
      <c r="P11" s="5">
        <f t="shared" si="0"/>
        <v>-1.8136515178101416</v>
      </c>
      <c r="Q11" s="4">
        <v>0</v>
      </c>
      <c r="R11" s="8">
        <v>9089</v>
      </c>
      <c r="S11" s="8">
        <v>12427</v>
      </c>
      <c r="T11" s="8">
        <v>7632</v>
      </c>
      <c r="U11" s="8">
        <v>10247</v>
      </c>
      <c r="V11" s="8">
        <v>-2615</v>
      </c>
      <c r="W11" s="9">
        <v>-34</v>
      </c>
      <c r="X11" s="4">
        <v>4.5</v>
      </c>
      <c r="Y11" s="4">
        <v>4500</v>
      </c>
    </row>
    <row r="12" spans="1:25" x14ac:dyDescent="0.2">
      <c r="A12" t="s">
        <v>105</v>
      </c>
      <c r="B12" t="s">
        <v>103</v>
      </c>
      <c r="C12" s="13" t="s">
        <v>65</v>
      </c>
      <c r="D12" s="13" t="s">
        <v>66</v>
      </c>
      <c r="E12" s="13" t="s">
        <v>67</v>
      </c>
      <c r="F12" s="14">
        <v>15.6</v>
      </c>
      <c r="G12" s="14">
        <v>11.7</v>
      </c>
      <c r="H12" s="14">
        <v>2</v>
      </c>
      <c r="I12" s="14">
        <v>2</v>
      </c>
      <c r="J12" s="32">
        <v>470</v>
      </c>
      <c r="K12" s="32">
        <v>470</v>
      </c>
      <c r="L12" s="19">
        <v>95.916733386709396</v>
      </c>
      <c r="M12" s="15">
        <v>-6.2374192414186993</v>
      </c>
      <c r="N12" s="15">
        <v>9.5081967213114993</v>
      </c>
      <c r="O12" s="15">
        <v>3.2707774798928</v>
      </c>
      <c r="P12" s="5">
        <f t="shared" si="0"/>
        <v>6.2374192414186993</v>
      </c>
      <c r="Q12" s="14">
        <v>-1</v>
      </c>
      <c r="R12" s="16" t="s">
        <v>57</v>
      </c>
      <c r="S12" s="16" t="s">
        <v>57</v>
      </c>
      <c r="T12" s="34">
        <v>74870</v>
      </c>
      <c r="U12" s="34">
        <v>64640</v>
      </c>
      <c r="V12" s="34">
        <v>10230</v>
      </c>
      <c r="W12" s="18">
        <f>(V12*100)/T12</f>
        <v>13.663683718445306</v>
      </c>
      <c r="X12" s="14">
        <v>0.62</v>
      </c>
      <c r="Y12" s="14">
        <v>620</v>
      </c>
    </row>
    <row r="13" spans="1:25" x14ac:dyDescent="0.2">
      <c r="A13" t="s">
        <v>105</v>
      </c>
      <c r="B13" t="s">
        <v>103</v>
      </c>
      <c r="C13" s="3" t="s">
        <v>68</v>
      </c>
      <c r="D13" s="3" t="s">
        <v>69</v>
      </c>
      <c r="E13" s="3" t="s">
        <v>70</v>
      </c>
      <c r="F13" s="4">
        <v>35.17</v>
      </c>
      <c r="G13" s="4">
        <v>27.47</v>
      </c>
      <c r="H13" s="4">
        <v>2</v>
      </c>
      <c r="I13" s="4">
        <v>2</v>
      </c>
      <c r="J13" s="31">
        <v>1390</v>
      </c>
      <c r="K13" s="31">
        <v>1390</v>
      </c>
      <c r="L13" s="7">
        <v>95.667506297229195</v>
      </c>
      <c r="M13" s="5">
        <v>1.9564447655988095</v>
      </c>
      <c r="N13" s="5">
        <v>12.84701959149646</v>
      </c>
      <c r="O13" s="5">
        <v>14.803464357095269</v>
      </c>
      <c r="P13" s="5">
        <f t="shared" si="0"/>
        <v>-1.9564447655988086</v>
      </c>
      <c r="Q13" s="4">
        <v>0</v>
      </c>
      <c r="R13" s="8">
        <v>15104</v>
      </c>
      <c r="S13" s="8">
        <v>16646</v>
      </c>
      <c r="T13" s="8">
        <v>14600</v>
      </c>
      <c r="U13" s="8">
        <v>14800</v>
      </c>
      <c r="V13" s="8">
        <v>-200</v>
      </c>
      <c r="W13" s="9">
        <v>-1.4</v>
      </c>
      <c r="X13" s="4">
        <v>4.5</v>
      </c>
      <c r="Y13" s="4">
        <v>4500</v>
      </c>
    </row>
    <row r="14" spans="1:25" x14ac:dyDescent="0.2">
      <c r="A14" t="s">
        <v>105</v>
      </c>
      <c r="B14" t="s">
        <v>103</v>
      </c>
      <c r="C14" s="13" t="s">
        <v>71</v>
      </c>
      <c r="D14" s="13" t="s">
        <v>72</v>
      </c>
      <c r="E14" s="13" t="s">
        <v>73</v>
      </c>
      <c r="F14" s="14">
        <v>34.75</v>
      </c>
      <c r="G14" s="14">
        <v>31.5</v>
      </c>
      <c r="H14" s="14">
        <v>1</v>
      </c>
      <c r="I14" s="14">
        <v>2</v>
      </c>
      <c r="J14" s="32">
        <v>2280</v>
      </c>
      <c r="K14" s="32">
        <v>2730</v>
      </c>
      <c r="L14" s="19">
        <v>95.144508670520196</v>
      </c>
      <c r="M14" s="15">
        <v>-4.0617366910925998</v>
      </c>
      <c r="N14" s="15">
        <v>8.6868686868686993</v>
      </c>
      <c r="O14" s="15">
        <v>4.6251319957760995</v>
      </c>
      <c r="P14" s="5">
        <f t="shared" si="0"/>
        <v>4.0617366910925998</v>
      </c>
      <c r="Q14" s="14">
        <v>0</v>
      </c>
      <c r="R14" s="16" t="s">
        <v>57</v>
      </c>
      <c r="S14" s="16" t="s">
        <v>57</v>
      </c>
      <c r="T14" s="34">
        <v>56532</v>
      </c>
      <c r="U14" s="34">
        <v>51992</v>
      </c>
      <c r="V14" s="34">
        <v>4540</v>
      </c>
      <c r="W14" s="18">
        <f>(V14*100)/T14</f>
        <v>8.0308497841930233</v>
      </c>
      <c r="X14" s="14">
        <v>0.62</v>
      </c>
      <c r="Y14" s="14">
        <v>620</v>
      </c>
    </row>
    <row r="15" spans="1:25" x14ac:dyDescent="0.2">
      <c r="A15" t="s">
        <v>105</v>
      </c>
      <c r="B15" t="s">
        <v>103</v>
      </c>
      <c r="C15" s="3" t="s">
        <v>74</v>
      </c>
      <c r="D15" s="3" t="s">
        <v>75</v>
      </c>
      <c r="E15" s="3" t="s">
        <v>76</v>
      </c>
      <c r="F15" s="4">
        <v>10.64</v>
      </c>
      <c r="G15" s="4">
        <v>9.2100000000000009</v>
      </c>
      <c r="H15" s="4">
        <v>2</v>
      </c>
      <c r="I15" s="4">
        <v>2</v>
      </c>
      <c r="J15" s="31">
        <v>327.75</v>
      </c>
      <c r="K15" s="31">
        <v>327.75</v>
      </c>
      <c r="L15" s="7">
        <v>87.56038647343</v>
      </c>
      <c r="M15" s="5">
        <v>3.4919001053844099</v>
      </c>
      <c r="N15" s="5">
        <v>12.238805970149251</v>
      </c>
      <c r="O15" s="5">
        <v>15.730706075533661</v>
      </c>
      <c r="P15" s="5">
        <f t="shared" si="0"/>
        <v>-3.4919001053844099</v>
      </c>
      <c r="Q15" s="4">
        <v>6</v>
      </c>
      <c r="R15" s="8">
        <v>10359</v>
      </c>
      <c r="S15" s="8">
        <v>12397</v>
      </c>
      <c r="T15" s="8">
        <v>11700</v>
      </c>
      <c r="U15" s="8">
        <v>10500</v>
      </c>
      <c r="V15" s="8">
        <v>1200</v>
      </c>
      <c r="W15" s="9">
        <f>(V15*100)/T15</f>
        <v>10.256410256410257</v>
      </c>
      <c r="X15" s="4">
        <v>4.5</v>
      </c>
      <c r="Y15" s="4">
        <v>4500</v>
      </c>
    </row>
    <row r="16" spans="1:25" x14ac:dyDescent="0.2">
      <c r="A16" t="s">
        <v>105</v>
      </c>
      <c r="B16" t="s">
        <v>103</v>
      </c>
      <c r="C16" s="3" t="s">
        <v>77</v>
      </c>
      <c r="D16" s="3" t="s">
        <v>78</v>
      </c>
      <c r="E16" s="3" t="s">
        <v>79</v>
      </c>
      <c r="F16" s="4">
        <v>7.68</v>
      </c>
      <c r="G16" s="4">
        <v>8.1</v>
      </c>
      <c r="H16" s="4">
        <v>3</v>
      </c>
      <c r="I16" s="4">
        <v>4</v>
      </c>
      <c r="J16" s="31">
        <v>792</v>
      </c>
      <c r="K16" s="31">
        <v>1342</v>
      </c>
      <c r="L16" s="7">
        <v>96.441281138790004</v>
      </c>
      <c r="M16" s="5">
        <v>2.3476957662045708</v>
      </c>
      <c r="N16" s="5">
        <v>12.352941176470591</v>
      </c>
      <c r="O16" s="5">
        <v>14.70063694267516</v>
      </c>
      <c r="P16" s="5">
        <f t="shared" si="0"/>
        <v>-2.3476957662045699</v>
      </c>
      <c r="Q16" s="4">
        <v>6</v>
      </c>
      <c r="R16" s="8">
        <v>13249</v>
      </c>
      <c r="S16" s="8">
        <v>14937</v>
      </c>
      <c r="T16" s="8">
        <v>11334</v>
      </c>
      <c r="U16" s="8">
        <v>12773</v>
      </c>
      <c r="V16" s="8">
        <v>-1439</v>
      </c>
      <c r="W16" s="9">
        <f>(V16*100)/T16</f>
        <v>-12.696311981648138</v>
      </c>
      <c r="X16" s="4">
        <v>4.5</v>
      </c>
      <c r="Y16" s="4">
        <v>4500</v>
      </c>
    </row>
    <row r="17" spans="1:25" x14ac:dyDescent="0.2">
      <c r="A17" t="s">
        <v>105</v>
      </c>
      <c r="B17" t="s">
        <v>103</v>
      </c>
      <c r="C17" s="3" t="s">
        <v>80</v>
      </c>
      <c r="D17" s="3" t="s">
        <v>81</v>
      </c>
      <c r="E17" s="3" t="s">
        <v>82</v>
      </c>
      <c r="F17" s="4">
        <v>8.07</v>
      </c>
      <c r="G17" s="4">
        <v>7.14</v>
      </c>
      <c r="H17" s="4">
        <v>4</v>
      </c>
      <c r="I17" s="4">
        <v>4</v>
      </c>
      <c r="J17" s="31">
        <v>1097</v>
      </c>
      <c r="K17" s="31">
        <v>1097</v>
      </c>
      <c r="L17" s="7">
        <v>95.543175487465206</v>
      </c>
      <c r="M17" s="5">
        <v>5.559038662486941</v>
      </c>
      <c r="N17" s="5">
        <v>10.303030303030299</v>
      </c>
      <c r="O17" s="5">
        <v>15.86206896551724</v>
      </c>
      <c r="P17" s="5">
        <f t="shared" si="0"/>
        <v>-5.559038662486941</v>
      </c>
      <c r="Q17" s="4">
        <v>-4</v>
      </c>
      <c r="R17" s="8">
        <v>9041</v>
      </c>
      <c r="S17" s="8">
        <v>11417</v>
      </c>
      <c r="T17" s="8">
        <v>10850</v>
      </c>
      <c r="U17" s="8">
        <v>9745</v>
      </c>
      <c r="V17" s="8">
        <v>1105</v>
      </c>
      <c r="W17" s="10">
        <v>10</v>
      </c>
      <c r="X17" s="4">
        <v>4.5</v>
      </c>
      <c r="Y17" s="4">
        <v>4500</v>
      </c>
    </row>
    <row r="18" spans="1:25" x14ac:dyDescent="0.2">
      <c r="A18" t="s">
        <v>105</v>
      </c>
      <c r="B18" t="s">
        <v>103</v>
      </c>
      <c r="C18" s="3" t="s">
        <v>83</v>
      </c>
      <c r="D18" s="3" t="s">
        <v>84</v>
      </c>
      <c r="E18" s="3" t="s">
        <v>85</v>
      </c>
      <c r="F18" s="4">
        <v>7.34</v>
      </c>
      <c r="G18" s="4">
        <v>7.35</v>
      </c>
      <c r="H18" s="4">
        <v>3</v>
      </c>
      <c r="I18" s="4">
        <v>3</v>
      </c>
      <c r="J18" s="31">
        <v>925</v>
      </c>
      <c r="K18" s="31">
        <v>925</v>
      </c>
      <c r="L18" s="7">
        <v>99.298245614035096</v>
      </c>
      <c r="M18" s="5">
        <v>1.0901620549105591</v>
      </c>
      <c r="N18" s="5">
        <v>9.7482837528604005</v>
      </c>
      <c r="O18" s="5">
        <v>10.83844580777096</v>
      </c>
      <c r="P18" s="5">
        <f t="shared" si="0"/>
        <v>-1.0901620549105591</v>
      </c>
      <c r="Q18" s="4">
        <v>0</v>
      </c>
      <c r="R18" s="8">
        <v>9561</v>
      </c>
      <c r="S18" s="8">
        <v>7704</v>
      </c>
      <c r="T18" s="8">
        <v>9020</v>
      </c>
      <c r="U18" s="8">
        <v>8823</v>
      </c>
      <c r="V18" s="8">
        <v>197</v>
      </c>
      <c r="W18" s="9">
        <f>(V18*100)/T18</f>
        <v>2.1840354767184036</v>
      </c>
      <c r="X18" s="4">
        <v>4.5</v>
      </c>
      <c r="Y18" s="4">
        <v>4500</v>
      </c>
    </row>
    <row r="19" spans="1:25" x14ac:dyDescent="0.2">
      <c r="A19" t="s">
        <v>105</v>
      </c>
      <c r="B19" t="s">
        <v>103</v>
      </c>
      <c r="C19" s="3" t="s">
        <v>86</v>
      </c>
      <c r="D19" s="3" t="s">
        <v>87</v>
      </c>
      <c r="E19" s="3" t="s">
        <v>88</v>
      </c>
      <c r="F19" s="4">
        <v>11.94</v>
      </c>
      <c r="G19" s="4">
        <v>12.07</v>
      </c>
      <c r="H19" s="4">
        <v>5</v>
      </c>
      <c r="I19" s="4">
        <v>5</v>
      </c>
      <c r="J19" s="31">
        <v>5190</v>
      </c>
      <c r="K19" s="31">
        <v>5190</v>
      </c>
      <c r="L19" s="7">
        <v>88.8888888888889</v>
      </c>
      <c r="M19" s="5">
        <v>-2.769286099622299</v>
      </c>
      <c r="N19" s="5">
        <v>6.8656716417909998</v>
      </c>
      <c r="O19" s="5">
        <v>4.0963855421687008</v>
      </c>
      <c r="P19" s="5">
        <f t="shared" si="0"/>
        <v>2.769286099622299</v>
      </c>
      <c r="Q19" s="4">
        <v>0</v>
      </c>
      <c r="R19" s="8" t="s">
        <v>57</v>
      </c>
      <c r="S19" s="8" t="s">
        <v>57</v>
      </c>
      <c r="T19" s="34">
        <v>27600</v>
      </c>
      <c r="U19" s="34">
        <v>26500</v>
      </c>
      <c r="V19" s="34">
        <v>1100</v>
      </c>
      <c r="W19" s="9">
        <f>(V19*100)/T19</f>
        <v>3.9855072463768115</v>
      </c>
      <c r="X19" s="4">
        <v>2.9</v>
      </c>
      <c r="Y19" s="4">
        <v>2900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FED1E39DB31A41A41C4D0407258F73" ma:contentTypeVersion="47" ma:contentTypeDescription="Create a new document." ma:contentTypeScope="" ma:versionID="22d51091c7a1f26693b333c116f4040f">
  <xsd:schema xmlns:xsd="http://www.w3.org/2001/XMLSchema" xmlns:xs="http://www.w3.org/2001/XMLSchema" xmlns:p="http://schemas.microsoft.com/office/2006/metadata/properties" xmlns:ns1="http://schemas.microsoft.com/sharepoint/v3" xmlns:ns2="a074a9e9-fd56-45d8-ad33-f1331489acf4" xmlns:ns3="1e609abb-ec28-40ae-bc91-8818a25a13a2" targetNamespace="http://schemas.microsoft.com/office/2006/metadata/properties" ma:root="true" ma:fieldsID="7538e7a08cef982130661a860fe2cabb" ns1:_="" ns2:_="" ns3:_="">
    <xsd:import namespace="http://schemas.microsoft.com/sharepoint/v3"/>
    <xsd:import namespace="a074a9e9-fd56-45d8-ad33-f1331489acf4"/>
    <xsd:import namespace="1e609abb-ec28-40ae-bc91-8818a25a13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3:SharedWithUsers" minOccurs="0"/>
                <xsd:element ref="ns3:SharedWithDetails" minOccurs="0"/>
                <xsd:element ref="ns1:_dlc_ExpireDateSaved" minOccurs="0"/>
                <xsd:element ref="ns1:_dlc_ExpireDate" minOccurs="0"/>
                <xsd:element ref="ns1:_dlc_Exempt" minOccurs="0"/>
                <xsd:element ref="ns3:_dlc_DocId" minOccurs="0"/>
                <xsd:element ref="ns3:_dlc_DocIdUrl" minOccurs="0"/>
                <xsd:element ref="ns3:_dlc_DocIdPersistId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pireDateSaved" ma:index="15" nillable="true" ma:displayName="Original Expiration Date" ma:description="" ma:hidden="true" ma:internalName="_dlc_ExpireDateSaved" ma:readOnly="true">
      <xsd:simpleType>
        <xsd:restriction base="dms:DateTime"/>
      </xsd:simpleType>
    </xsd:element>
    <xsd:element name="_dlc_ExpireDate" ma:index="16" nillable="true" ma:displayName="Expiration Date" ma:description="" ma:hidden="true" ma:internalName="_dlc_ExpireDate" ma:readOnly="true">
      <xsd:simpleType>
        <xsd:restriction base="dms:DateTime"/>
      </xsd:simpleType>
    </xsd:element>
    <xsd:element name="_dlc_Exempt" ma:index="17" nillable="true" ma:displayName="Exempt from Policy" ma:description="" ma:hidden="true" ma:internalName="_dlc_Exempt" ma:readOnly="true">
      <xsd:simpleType>
        <xsd:restriction base="dms:Unknown"/>
      </xsd:simpleType>
    </xsd:element>
    <xsd:element name="_ip_UnifiedCompliancePolicyProperties" ma:index="2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74a9e9-fd56-45d8-ad33-f1331489ac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2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Comment" ma:index="28" nillable="true" ma:displayName="Comment" ma:format="Dropdown" ma:internalName="Comment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609abb-ec28-40ae-bc91-8818a25a13a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Comment xmlns="a074a9e9-fd56-45d8-ad33-f1331489acf4" xsi:nil="true"/>
    <_dlc_DocId xmlns="1e609abb-ec28-40ae-bc91-8818a25a13a2">CF5ZZCCHCT5H-1279335852-975352</_dlc_DocId>
    <_dlc_DocIdUrl xmlns="1e609abb-ec28-40ae-bc91-8818a25a13a2">
      <Url>https://provivi.sharepoint.com/_layouts/15/DocIdRedir.aspx?ID=CF5ZZCCHCT5H-1279335852-975352</Url>
      <Description>CF5ZZCCHCT5H-1279335852-975352</Description>
    </_dlc_DocIdUrl>
    <SharedWithUsers xmlns="1e609abb-ec28-40ae-bc91-8818a25a13a2">
      <UserInfo>
        <DisplayName>Miguel Serrano</DisplayName>
        <AccountId>1559</AccountId>
        <AccountType/>
      </UserInfo>
      <UserInfo>
        <DisplayName>Esteban Gamino</DisplayName>
        <AccountId>929</AccountId>
        <AccountType/>
      </UserInfo>
    </SharedWithUsers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4E8DBA-470B-4BB7-90D7-EA922302250C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AF6C0617-7877-4AFA-A7C0-71CD5F7D6F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074a9e9-fd56-45d8-ad33-f1331489acf4"/>
    <ds:schemaRef ds:uri="1e609abb-ec28-40ae-bc91-8818a25a13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B0A05A9-273A-4672-8F43-81A3276DCAD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a074a9e9-fd56-45d8-ad33-f1331489acf4"/>
    <ds:schemaRef ds:uri="1e609abb-ec28-40ae-bc91-8818a25a13a2"/>
  </ds:schemaRefs>
</ds:datastoreItem>
</file>

<file path=customXml/itemProps4.xml><?xml version="1.0" encoding="utf-8"?>
<ds:datastoreItem xmlns:ds="http://schemas.openxmlformats.org/officeDocument/2006/customXml" ds:itemID="{81E9B460-E270-4B1C-843D-9ADB72BA1F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Original</vt:lpstr>
      <vt:lpstr>calculations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 Serrano</dc:creator>
  <cp:keywords/>
  <dc:description/>
  <cp:lastModifiedBy>Eustrain Roblero</cp:lastModifiedBy>
  <cp:revision/>
  <dcterms:created xsi:type="dcterms:W3CDTF">2020-11-18T21:14:57Z</dcterms:created>
  <dcterms:modified xsi:type="dcterms:W3CDTF">2021-03-14T23:58:07Z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0x01010013FED1E39DB31A41A41C4D0407258F73</vt:lpwstr>
  </property>
  <property fmtid="{D5CDD505-2E9C-101B-9397-08002B2CF9AE}" pid="3" name="_dlc_policyId">
    <vt:lpwstr/>
  </property>
  <property fmtid="{D5CDD505-2E9C-101B-9397-08002B2CF9AE}" pid="4" name="ItemRetentionFormula">
    <vt:lpwstr/>
  </property>
  <property fmtid="{D5CDD505-2E9C-101B-9397-08002B2CF9AE}" pid="5" name="_dlc_DocIdItemGuid">
    <vt:lpwstr>f65f58bd-0fd4-4826-bc2c-082962c83443</vt:lpwstr>
  </property>
</Properties>
</file>