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小工具\cursor\"/>
    </mc:Choice>
  </mc:AlternateContent>
  <xr:revisionPtr revIDLastSave="0" documentId="13_ncr:1_{0AD26B01-F564-419E-B53A-7F51DF0A2ED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低空经济成本" sheetId="1" r:id="rId1"/>
    <sheet name="阶梯成本设置" sheetId="2" r:id="rId2"/>
    <sheet name="敏感度分析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E6" i="1"/>
  <c r="C6" i="1" l="1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B34" i="1"/>
  <c r="B33" i="1"/>
  <c r="B32" i="1"/>
  <c r="B23" i="1"/>
  <c r="B22" i="1"/>
  <c r="B21" i="1"/>
  <c r="E15" i="1"/>
  <c r="E14" i="1"/>
  <c r="E13" i="1"/>
  <c r="E12" i="1"/>
  <c r="B9" i="1"/>
  <c r="B6" i="1"/>
  <c r="E9" i="1" l="1"/>
  <c r="E17" i="1" l="1"/>
</calcChain>
</file>

<file path=xl/sharedStrings.xml><?xml version="1.0" encoding="utf-8"?>
<sst xmlns="http://schemas.openxmlformats.org/spreadsheetml/2006/main" count="48" uniqueCount="43">
  <si>
    <t>低空经济成本计算表</t>
  </si>
  <si>
    <t>飞机数量：</t>
  </si>
  <si>
    <t>成本项目</t>
  </si>
  <si>
    <t>数量/面积</t>
  </si>
  <si>
    <t>单价（万）</t>
  </si>
  <si>
    <t>备注/计算公式</t>
  </si>
  <si>
    <t>小计（万）</t>
  </si>
  <si>
    <t>A. 飞机【EVTOL】</t>
  </si>
  <si>
    <t>飞机数量</t>
  </si>
  <si>
    <t>根据数量自动梯次定价</t>
  </si>
  <si>
    <t>B. 起降点+机库</t>
  </si>
  <si>
    <t>机场+跑道+集控成本</t>
  </si>
  <si>
    <t>查【阶梯成本设置】获取对应单价</t>
  </si>
  <si>
    <t>C. 候厅大楼</t>
  </si>
  <si>
    <t>接待室</t>
  </si>
  <si>
    <t>休息、餐饮、商店等功能</t>
  </si>
  <si>
    <t>展示厅</t>
  </si>
  <si>
    <t>飞机飞行展示和研学</t>
  </si>
  <si>
    <t>活动室</t>
  </si>
  <si>
    <t>婚庆、路演等活动</t>
  </si>
  <si>
    <t>调控中心</t>
  </si>
  <si>
    <t>管理指挥调度系统</t>
  </si>
  <si>
    <t>合计成本</t>
  </si>
  <si>
    <t>飞机数量统计（简单模拟）</t>
  </si>
  <si>
    <t>飞机数量（台）</t>
  </si>
  <si>
    <t>总成本（万）</t>
  </si>
  <si>
    <t>备注说明</t>
  </si>
  <si>
    <t>模拟计算</t>
  </si>
  <si>
    <t>飞机数量统计（Data Table 模拟）</t>
  </si>
  <si>
    <t>自动计算5台成本</t>
  </si>
  <si>
    <t>自动计算10台成本</t>
  </si>
  <si>
    <t>自动计算15台成本</t>
  </si>
  <si>
    <t>阶梯成本设置（机场+跑道+集控单价）</t>
  </si>
  <si>
    <t>飞机数量上限</t>
  </si>
  <si>
    <t>单价（万/架）</t>
  </si>
  <si>
    <t>成本敏感度分析矩阵</t>
  </si>
  <si>
    <t>调整变量：飞机数量和飞机单价调整因子</t>
  </si>
  <si>
    <t>单价调整因子 \ 飞机数量</t>
  </si>
  <si>
    <t>-20%</t>
  </si>
  <si>
    <t>-10%</t>
  </si>
  <si>
    <t>0%</t>
  </si>
  <si>
    <t>10%</t>
  </si>
  <si>
    <t>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</si>
</sst>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b/>
      <sz val="11"/>
      <name val="宋体"/>
      <family val="3"/>
      <charset val="134"/>
    </font>
    <font>
      <b/>
      <sz val="14"/>
      <name val="宋体"/>
      <family val="3"/>
      <charset val="134"/>
    </font>
    <font>
      <i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9" sqref="D9"/>
    </sheetView>
  </sheetViews>
  <sheetFormatPr defaultRowHeight="14" x14ac:dyDescent="0.25"/>
  <cols>
    <col min="1" max="1" width="45.453125" bestFit="1" customWidth="1"/>
    <col min="2" max="2" width="14.08984375" bestFit="1" customWidth="1"/>
    <col min="3" max="3" width="17.90625" bestFit="1" customWidth="1"/>
    <col min="4" max="4" width="33" bestFit="1" customWidth="1"/>
    <col min="5" max="5" width="11.90625" bestFit="1" customWidth="1"/>
  </cols>
  <sheetData>
    <row r="1" spans="1:5" ht="21" x14ac:dyDescent="0.4">
      <c r="A1" s="6" t="s">
        <v>0</v>
      </c>
      <c r="B1" s="7"/>
      <c r="C1" s="7"/>
      <c r="D1" s="7"/>
      <c r="E1" s="7"/>
    </row>
    <row r="2" spans="1:5" x14ac:dyDescent="0.25">
      <c r="A2" t="s">
        <v>1</v>
      </c>
      <c r="B2" s="1">
        <v>14</v>
      </c>
    </row>
    <row r="4" spans="1: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5">
      <c r="A5" s="3" t="s">
        <v>7</v>
      </c>
    </row>
    <row r="6" spans="1:5" x14ac:dyDescent="0.25">
      <c r="A6" t="s">
        <v>8</v>
      </c>
      <c r="B6">
        <f>$B$2</f>
        <v>14</v>
      </c>
      <c r="C6">
        <f>IF($B$2&gt;10,229,239)</f>
        <v>229</v>
      </c>
      <c r="D6" t="s">
        <v>9</v>
      </c>
      <c r="E6">
        <f>B6*C6</f>
        <v>3206</v>
      </c>
    </row>
    <row r="8" spans="1:5" x14ac:dyDescent="0.25">
      <c r="A8" s="3" t="s">
        <v>10</v>
      </c>
    </row>
    <row r="9" spans="1:5" x14ac:dyDescent="0.25">
      <c r="A9" t="s">
        <v>11</v>
      </c>
      <c r="B9">
        <f>$B$2</f>
        <v>14</v>
      </c>
      <c r="C9">
        <f>IFERROR(VLOOKUP($B$2, 阶梯成本设置!$A$2:$B$10, 2, TRUE), 0)</f>
        <v>210</v>
      </c>
      <c r="D9" t="s">
        <v>12</v>
      </c>
      <c r="E9">
        <f>B9*C9</f>
        <v>2940</v>
      </c>
    </row>
    <row r="11" spans="1:5" x14ac:dyDescent="0.25">
      <c r="A11" s="3" t="s">
        <v>13</v>
      </c>
    </row>
    <row r="12" spans="1:5" x14ac:dyDescent="0.25">
      <c r="A12" t="s">
        <v>14</v>
      </c>
      <c r="B12">
        <v>1</v>
      </c>
      <c r="C12">
        <v>10</v>
      </c>
      <c r="D12" t="s">
        <v>15</v>
      </c>
      <c r="E12">
        <f>B12*C12</f>
        <v>10</v>
      </c>
    </row>
    <row r="13" spans="1:5" x14ac:dyDescent="0.25">
      <c r="A13" t="s">
        <v>16</v>
      </c>
      <c r="B13">
        <v>1</v>
      </c>
      <c r="C13">
        <v>8</v>
      </c>
      <c r="D13" t="s">
        <v>17</v>
      </c>
      <c r="E13">
        <f>B13*C13</f>
        <v>8</v>
      </c>
    </row>
    <row r="14" spans="1:5" x14ac:dyDescent="0.25">
      <c r="A14" t="s">
        <v>18</v>
      </c>
      <c r="B14">
        <v>1</v>
      </c>
      <c r="C14">
        <v>6</v>
      </c>
      <c r="D14" t="s">
        <v>19</v>
      </c>
      <c r="E14">
        <f>B14*C14</f>
        <v>6</v>
      </c>
    </row>
    <row r="15" spans="1:5" x14ac:dyDescent="0.25">
      <c r="A15" t="s">
        <v>20</v>
      </c>
      <c r="B15">
        <v>1</v>
      </c>
      <c r="C15">
        <v>12</v>
      </c>
      <c r="D15" t="s">
        <v>21</v>
      </c>
      <c r="E15">
        <f>B15*C15</f>
        <v>12</v>
      </c>
    </row>
    <row r="17" spans="1:5" x14ac:dyDescent="0.25">
      <c r="A17" s="3" t="s">
        <v>22</v>
      </c>
      <c r="E17">
        <f>SUM(E6,E9,E12,E13,E14,E15)</f>
        <v>6182</v>
      </c>
    </row>
    <row r="19" spans="1:5" ht="17.5" x14ac:dyDescent="0.3">
      <c r="A19" s="4" t="s">
        <v>23</v>
      </c>
    </row>
    <row r="20" spans="1:5" x14ac:dyDescent="0.25">
      <c r="A20" s="2" t="s">
        <v>24</v>
      </c>
      <c r="B20" s="2" t="s">
        <v>25</v>
      </c>
      <c r="C20" s="2" t="s">
        <v>26</v>
      </c>
    </row>
    <row r="21" spans="1:5" x14ac:dyDescent="0.25">
      <c r="A21">
        <v>5</v>
      </c>
      <c r="B21">
        <f>(IF(A21&gt;10, A21*229, A21*239)) + (A21*VLOOKUP(A21, 阶梯成本设置!$A$2:$B$10, 2, TRUE)) + 36</f>
        <v>2426</v>
      </c>
      <c r="C21" t="s">
        <v>27</v>
      </c>
    </row>
    <row r="22" spans="1:5" x14ac:dyDescent="0.25">
      <c r="A22">
        <v>10</v>
      </c>
      <c r="B22">
        <f>(IF(A22&gt;10, A22*229, A22*239)) + (A22*VLOOKUP(A22, 阶梯成本设置!$A$2:$B$10, 2, TRUE)) + 36</f>
        <v>4716</v>
      </c>
      <c r="C22" t="s">
        <v>27</v>
      </c>
    </row>
    <row r="23" spans="1:5" x14ac:dyDescent="0.25">
      <c r="A23">
        <v>15</v>
      </c>
      <c r="B23">
        <f>(IF(A23&gt;10, A23*229, A23*239)) + (A23*VLOOKUP(A23, 阶梯成本设置!$A$2:$B$10, 2, TRUE)) + 36</f>
        <v>6321</v>
      </c>
      <c r="C23" t="s">
        <v>27</v>
      </c>
    </row>
    <row r="30" spans="1:5" ht="17.5" x14ac:dyDescent="0.3">
      <c r="A30" s="4" t="s">
        <v>28</v>
      </c>
    </row>
    <row r="31" spans="1:5" x14ac:dyDescent="0.25">
      <c r="A31" s="2" t="s">
        <v>24</v>
      </c>
      <c r="B31" s="2" t="s">
        <v>25</v>
      </c>
      <c r="C31" s="2" t="s">
        <v>26</v>
      </c>
    </row>
    <row r="32" spans="1:5" x14ac:dyDescent="0.25">
      <c r="A32">
        <v>5</v>
      </c>
      <c r="B32">
        <f>IF(A32&gt;10, A32*229, A32*239) + A32*VLOOKUP(A32, 阶梯成本设置!$A$2:$B$10, 2, TRUE) + 36</f>
        <v>2426</v>
      </c>
      <c r="C32" t="s">
        <v>29</v>
      </c>
    </row>
    <row r="33" spans="1:3" x14ac:dyDescent="0.25">
      <c r="A33">
        <v>10</v>
      </c>
      <c r="B33">
        <f>IF(A33&gt;10, A33*229, A33*239) + A33*VLOOKUP(A33, 阶梯成本设置!$A$2:$B$10, 2, TRUE) + 36</f>
        <v>4716</v>
      </c>
      <c r="C33" t="s">
        <v>30</v>
      </c>
    </row>
    <row r="34" spans="1:3" x14ac:dyDescent="0.25">
      <c r="A34">
        <v>15</v>
      </c>
      <c r="B34">
        <f>IF(A34&gt;10, A34*229, A34*239) + A34*VLOOKUP(A34, 阶梯成本设置!$A$2:$B$10, 2, TRUE) + 36</f>
        <v>6321</v>
      </c>
      <c r="C34" t="s">
        <v>31</v>
      </c>
    </row>
  </sheetData>
  <mergeCells count="1">
    <mergeCell ref="A1:E1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"/>
    </sheetView>
  </sheetViews>
  <sheetFormatPr defaultRowHeight="14" x14ac:dyDescent="0.25"/>
  <cols>
    <col min="1" max="1" width="18.90625" customWidth="1"/>
    <col min="2" max="2" width="34.7265625" customWidth="1"/>
  </cols>
  <sheetData>
    <row r="1" spans="1:2" ht="17.5" x14ac:dyDescent="0.3">
      <c r="A1" s="8" t="s">
        <v>32</v>
      </c>
      <c r="B1" s="7"/>
    </row>
    <row r="2" spans="1:2" x14ac:dyDescent="0.25">
      <c r="A2" s="3" t="s">
        <v>33</v>
      </c>
      <c r="B2" s="3" t="s">
        <v>34</v>
      </c>
    </row>
    <row r="3" spans="1:2" x14ac:dyDescent="0.25">
      <c r="A3">
        <v>1</v>
      </c>
      <c r="B3">
        <v>239</v>
      </c>
    </row>
    <row r="4" spans="1:2" x14ac:dyDescent="0.25">
      <c r="A4">
        <v>6</v>
      </c>
      <c r="B4">
        <v>229</v>
      </c>
    </row>
    <row r="5" spans="1:2" x14ac:dyDescent="0.25">
      <c r="A5">
        <v>11</v>
      </c>
      <c r="B5">
        <v>210</v>
      </c>
    </row>
    <row r="6" spans="1:2" x14ac:dyDescent="0.25">
      <c r="A6">
        <v>15</v>
      </c>
      <c r="B6">
        <v>190</v>
      </c>
    </row>
  </sheetData>
  <mergeCells count="1">
    <mergeCell ref="A1:B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B5" sqref="B5"/>
    </sheetView>
  </sheetViews>
  <sheetFormatPr defaultRowHeight="14" x14ac:dyDescent="0.25"/>
  <cols>
    <col min="2" max="2" width="7.26953125" bestFit="1" customWidth="1"/>
  </cols>
  <sheetData>
    <row r="1" spans="1:6" ht="21" x14ac:dyDescent="0.4">
      <c r="A1" s="6" t="s">
        <v>35</v>
      </c>
      <c r="B1" s="7"/>
      <c r="C1" s="7"/>
      <c r="D1" s="7"/>
      <c r="E1" s="7"/>
      <c r="F1" s="7"/>
    </row>
    <row r="2" spans="1:6" x14ac:dyDescent="0.25">
      <c r="A2" s="5" t="s">
        <v>36</v>
      </c>
    </row>
    <row r="4" spans="1:6" x14ac:dyDescent="0.25">
      <c r="A4" s="3" t="s">
        <v>37</v>
      </c>
      <c r="B4" s="2">
        <v>5</v>
      </c>
      <c r="C4" s="2">
        <v>10</v>
      </c>
      <c r="D4" s="2">
        <v>15</v>
      </c>
      <c r="E4" s="2">
        <v>20</v>
      </c>
    </row>
    <row r="5" spans="1:6" x14ac:dyDescent="0.25">
      <c r="A5" s="2" t="s">
        <v>38</v>
      </c>
      <c r="B5">
        <f>(5*IF(5&gt;10,229*(1+-0.2),239*(1+-0.2)))+(5*VLOOKUP(5, 阶梯成本设置!$A$2:$B$10, 2, TRUE))+36</f>
        <v>2187</v>
      </c>
      <c r="C5">
        <f>(10*IF(10&gt;10,229*(1+-0.2),239*(1+-0.2)))+(10*VLOOKUP(10, 阶梯成本设置!$A$2:$B$10, 2, TRUE))+36</f>
        <v>4238</v>
      </c>
      <c r="D5">
        <f>(15*IF(15&gt;10,229*(1+-0.2),239*(1+-0.2)))+(15*VLOOKUP(15, 阶梯成本设置!$A$2:$B$10, 2, TRUE))+36</f>
        <v>5634</v>
      </c>
      <c r="E5">
        <f>(20*IF(20&gt;10,229*(1+-0.2),239*(1+-0.2)))+(20*VLOOKUP(20, 阶梯成本设置!$A$2:$B$10, 2, TRUE))+36</f>
        <v>7500</v>
      </c>
    </row>
    <row r="6" spans="1:6" x14ac:dyDescent="0.25">
      <c r="A6" s="2" t="s">
        <v>39</v>
      </c>
      <c r="B6">
        <f>(5*IF(5&gt;10,229*(1+-0.1),239*(1+-0.1)))+(5*VLOOKUP(5, 阶梯成本设置!$A$2:$B$10, 2, TRUE))+36</f>
        <v>2306.5</v>
      </c>
      <c r="C6">
        <f>(10*IF(10&gt;10,229*(1+-0.1),239*(1+-0.1)))+(10*VLOOKUP(10, 阶梯成本设置!$A$2:$B$10, 2, TRUE))+36</f>
        <v>4477</v>
      </c>
      <c r="D6">
        <f>(15*IF(15&gt;10,229*(1+-0.1),239*(1+-0.1)))+(15*VLOOKUP(15, 阶梯成本设置!$A$2:$B$10, 2, TRUE))+36</f>
        <v>5977.5</v>
      </c>
      <c r="E6">
        <f>(20*IF(20&gt;10,229*(1+-0.1),239*(1+-0.1)))+(20*VLOOKUP(20, 阶梯成本设置!$A$2:$B$10, 2, TRUE))+36</f>
        <v>7958</v>
      </c>
    </row>
    <row r="7" spans="1:6" x14ac:dyDescent="0.25">
      <c r="A7" s="2" t="s">
        <v>40</v>
      </c>
      <c r="B7">
        <f>(5*IF(5&gt;10,229*(1+0),239*(1+0)))+(5*VLOOKUP(5, 阶梯成本设置!$A$2:$B$10, 2, TRUE))+36</f>
        <v>2426</v>
      </c>
      <c r="C7">
        <f>(10*IF(10&gt;10,229*(1+0),239*(1+0)))+(10*VLOOKUP(10, 阶梯成本设置!$A$2:$B$10, 2, TRUE))+36</f>
        <v>4716</v>
      </c>
      <c r="D7">
        <f>(15*IF(15&gt;10,229*(1+0),239*(1+0)))+(15*VLOOKUP(15, 阶梯成本设置!$A$2:$B$10, 2, TRUE))+36</f>
        <v>6321</v>
      </c>
      <c r="E7">
        <f>(20*IF(20&gt;10,229*(1+0),239*(1+0)))+(20*VLOOKUP(20, 阶梯成本设置!$A$2:$B$10, 2, TRUE))+36</f>
        <v>8416</v>
      </c>
    </row>
    <row r="8" spans="1:6" x14ac:dyDescent="0.25">
      <c r="A8" s="2" t="s">
        <v>41</v>
      </c>
      <c r="B8">
        <f>(5*IF(5&gt;10,229*(1+0.1),239*(1+0.1)))+(5*VLOOKUP(5, 阶梯成本设置!$A$2:$B$10, 2, TRUE))+36</f>
        <v>2545.5</v>
      </c>
      <c r="C8">
        <f>(10*IF(10&gt;10,229*(1+0.1),239*(1+0.1)))+(10*VLOOKUP(10, 阶梯成本设置!$A$2:$B$10, 2, TRUE))+36</f>
        <v>4955</v>
      </c>
      <c r="D8">
        <f>(15*IF(15&gt;10,229*(1+0.1),239*(1+0.1)))+(15*VLOOKUP(15, 阶梯成本设置!$A$2:$B$10, 2, TRUE))+36</f>
        <v>6664.5</v>
      </c>
      <c r="E8">
        <f>(20*IF(20&gt;10,229*(1+0.1),239*(1+0.1)))+(20*VLOOKUP(20, 阶梯成本设置!$A$2:$B$10, 2, TRUE))+36</f>
        <v>8874</v>
      </c>
    </row>
    <row r="9" spans="1:6" x14ac:dyDescent="0.25">
      <c r="A9" s="2" t="s">
        <v>42</v>
      </c>
      <c r="B9">
        <f>(5*IF(5&gt;10,229*(1+0.2),239*(1+0.2)))+(5*VLOOKUP(5, 阶梯成本设置!$A$2:$B$10, 2, TRUE))+36</f>
        <v>2665</v>
      </c>
      <c r="C9">
        <f>(10*IF(10&gt;10,229*(1+0.2),239*(1+0.2)))+(10*VLOOKUP(10, 阶梯成本设置!$A$2:$B$10, 2, TRUE))+36</f>
        <v>5194</v>
      </c>
      <c r="D9">
        <f>(15*IF(15&gt;10,229*(1+0.2),239*(1+0.2)))+(15*VLOOKUP(15, 阶梯成本设置!$A$2:$B$10, 2, TRUE))+36</f>
        <v>7008</v>
      </c>
      <c r="E9">
        <f>(20*IF(20&gt;10,229*(1+0.2),239*(1+0.2)))+(20*VLOOKUP(20, 阶梯成本设置!$A$2:$B$10, 2, TRUE))+36</f>
        <v>9332</v>
      </c>
    </row>
  </sheetData>
  <mergeCells count="1">
    <mergeCell ref="A1:F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低空经济成本</vt:lpstr>
      <vt:lpstr>阶梯成本设置</vt:lpstr>
      <vt:lpstr>敏感度分析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enyin hu</cp:lastModifiedBy>
  <dcterms:created xsi:type="dcterms:W3CDTF">2025-03-21T10:29:20Z</dcterms:created>
  <dcterms:modified xsi:type="dcterms:W3CDTF">2025-03-22T05:12:20Z</dcterms:modified>
</cp:coreProperties>
</file>