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增强版成本模板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飞机架数（1-999）：</t>
        </is>
      </c>
      <c r="B1" t="n">
        <v>15</v>
      </c>
    </row>
    <row r="3">
      <c r="A3" t="inlineStr">
        <is>
          <t>一、飞机采购成本（动态梯次模型）</t>
        </is>
      </c>
    </row>
    <row r="4">
      <c r="A4" t="inlineStr">
        <is>
          <t>项目</t>
        </is>
      </c>
      <c r="B4" t="inlineStr">
        <is>
          <t>公式/数值</t>
        </is>
      </c>
    </row>
    <row r="5">
      <c r="A5" t="inlineStr">
        <is>
          <t>采购单价（万元）</t>
        </is>
      </c>
      <c r="B5">
        <f>IF($B$1&lt;10,239,IF($B$1&lt;20,229,219))</f>
        <v/>
      </c>
    </row>
    <row r="6">
      <c r="A6" t="inlineStr">
        <is>
          <t>采购总成本（万元）</t>
        </is>
      </c>
      <c r="B6">
        <f>$B$1*IF($B$1&lt;10,239,IF($B$1&lt;20,229,219))</f>
        <v/>
      </c>
    </row>
    <row r="8">
      <c r="A8" t="inlineStr">
        <is>
          <t>二、机场基础设施成本（边际成本池）</t>
        </is>
      </c>
    </row>
    <row r="9">
      <c r="A9" t="inlineStr">
        <is>
          <t>设施类型</t>
        </is>
      </c>
      <c r="B9" t="inlineStr">
        <is>
          <t>触发条件</t>
        </is>
      </c>
      <c r="C9" t="inlineStr">
        <is>
          <t>单位成本（万元）</t>
        </is>
      </c>
      <c r="D9" t="inlineStr">
        <is>
          <t>总成本</t>
        </is>
      </c>
    </row>
    <row r="10">
      <c r="A10" t="inlineStr">
        <is>
          <t>基础机场包</t>
        </is>
      </c>
      <c r="B10" t="inlineStr">
        <is>
          <t>≥1架</t>
        </is>
      </c>
      <c r="C10" t="n">
        <v>500</v>
      </c>
      <c r="D10">
        <f>IF($B$1&gt;=1,500,0)</f>
        <v/>
      </c>
    </row>
    <row r="11">
      <c r="A11" t="inlineStr">
        <is>
          <t>扩容包A</t>
        </is>
      </c>
      <c r="B11" t="inlineStr">
        <is>
          <t>≥5架</t>
        </is>
      </c>
      <c r="C11" t="n">
        <v>200</v>
      </c>
      <c r="D11">
        <f>IF($B$1&gt;=5,200,0)</f>
        <v/>
      </c>
    </row>
    <row r="12">
      <c r="A12" t="inlineStr">
        <is>
          <t>扩容包B</t>
        </is>
      </c>
      <c r="B12" t="inlineStr">
        <is>
          <t>≥10架</t>
        </is>
      </c>
      <c r="C12" t="n">
        <v>150</v>
      </c>
      <c r="D12">
        <f>IF($B$1&gt;=10,150,0)</f>
        <v/>
      </c>
    </row>
    <row r="13">
      <c r="A13" t="inlineStr">
        <is>
          <t>智能调度系统</t>
        </is>
      </c>
      <c r="B13" t="inlineStr">
        <is>
          <t>≥15架</t>
        </is>
      </c>
      <c r="C13" t="n">
        <v>300</v>
      </c>
      <c r="D13">
        <f>IF($B$1&gt;=15,300,0)</f>
        <v/>
      </c>
    </row>
    <row r="14">
      <c r="A14" t="inlineStr">
        <is>
          <t>基础设施总成本</t>
        </is>
      </c>
      <c r="D14">
        <f>SUM(D10:D13)</f>
        <v/>
      </c>
    </row>
    <row r="16">
      <c r="A16" t="inlineStr">
        <is>
          <t>三、候机楼模块化成本</t>
        </is>
      </c>
    </row>
    <row r="17">
      <c r="A17" t="inlineStr">
        <is>
          <t>功能区</t>
        </is>
      </c>
      <c r="B17" t="inlineStr">
        <is>
          <t>面积系数</t>
        </is>
      </c>
      <c r="C17" t="inlineStr">
        <is>
          <t>基础成本（万元）</t>
        </is>
      </c>
      <c r="D17" t="inlineStr">
        <is>
          <t>边际成本率</t>
        </is>
      </c>
      <c r="E17" t="inlineStr">
        <is>
          <t>总成本</t>
        </is>
      </c>
    </row>
    <row r="18">
      <c r="A18" t="inlineStr">
        <is>
          <t>调控中心</t>
        </is>
      </c>
      <c r="B18" t="inlineStr">
        <is>
          <t>固定</t>
        </is>
      </c>
      <c r="C18" t="n">
        <v>80</v>
      </c>
      <c r="D18" t="inlineStr">
        <is>
          <t>0%</t>
        </is>
      </c>
      <c r="E18" t="n">
        <v>80</v>
      </c>
    </row>
    <row r="19">
      <c r="A19" t="inlineStr">
        <is>
          <t>接待区</t>
        </is>
      </c>
      <c r="B19" t="inlineStr">
        <is>
          <t>1.2</t>
        </is>
      </c>
      <c r="C19" t="n">
        <v>100</v>
      </c>
      <c r="D19" t="inlineStr">
        <is>
          <t>5%/5架</t>
        </is>
      </c>
      <c r="E19">
        <f>100+INT($B$1/5)*0.05*100</f>
        <v/>
      </c>
    </row>
    <row r="20">
      <c r="A20" t="inlineStr">
        <is>
          <t>展示厅</t>
        </is>
      </c>
      <c r="B20" t="inlineStr">
        <is>
          <t>1.5</t>
        </is>
      </c>
      <c r="C20" t="n">
        <v>150</v>
      </c>
      <c r="D20" t="inlineStr">
        <is>
          <t>3%/架</t>
        </is>
      </c>
      <c r="E20">
        <f>150*(1+0.03*$B$1)</f>
        <v/>
      </c>
    </row>
    <row r="21">
      <c r="A21" t="inlineStr">
        <is>
          <t>活动中心</t>
        </is>
      </c>
      <c r="B21" t="inlineStr">
        <is>
          <t>动态</t>
        </is>
      </c>
      <c r="C21" t="n">
        <v>200</v>
      </c>
      <c r="D21" t="inlineStr">
        <is>
          <t>10%/10架</t>
        </is>
      </c>
      <c r="E21">
        <f>200*CEILING($B$1/10,1)</f>
        <v/>
      </c>
    </row>
    <row r="22">
      <c r="A22" t="inlineStr">
        <is>
          <t>候机楼总成本</t>
        </is>
      </c>
      <c r="E22">
        <f>SUM(E19:E22)</f>
        <v/>
      </c>
    </row>
    <row r="24">
      <c r="A24" t="inlineStr">
        <is>
          <t>四、动态成本池（核心算法区）</t>
        </is>
      </c>
    </row>
    <row r="25">
      <c r="A25" t="inlineStr">
        <is>
          <t>动态成本系数</t>
        </is>
      </c>
      <c r="B25">
        <f>LOOKUP($B$1, {0,5,10,15}, {1,0.9,0.85,0.8})</f>
        <v/>
      </c>
    </row>
    <row r="26">
      <c r="A26" t="inlineStr">
        <is>
          <t>最终总成本（万元）</t>
        </is>
      </c>
      <c r="B26">
        <f>($B$1*IF($B$1&lt;10,239,IF($B$1&lt;20,229,219)) + D15+E20)*B24</f>
        <v/>
      </c>
    </row>
    <row r="28">
      <c r="A28" t="inlineStr">
        <is>
          <t>【规模对照】</t>
        </is>
      </c>
    </row>
    <row r="29">
      <c r="A29" t="inlineStr">
        <is>
          <t>对比规模</t>
        </is>
      </c>
      <c r="B29" t="inlineStr">
        <is>
          <t>采购成本</t>
        </is>
      </c>
      <c r="C29" t="inlineStr">
        <is>
          <t>基础设施</t>
        </is>
      </c>
      <c r="D29" t="inlineStr">
        <is>
          <t>候机楼成本</t>
        </is>
      </c>
      <c r="E29" t="inlineStr">
        <is>
          <t>总成本</t>
        </is>
      </c>
      <c r="F29" t="inlineStr">
        <is>
          <t>成本区间提示</t>
        </is>
      </c>
    </row>
    <row r="30">
      <c r="A30" t="inlineStr">
        <is>
          <t>5架</t>
        </is>
      </c>
      <c r="B30">
        <f>5*IF(5&lt;10,239,IF(5&lt;20,229,219))</f>
        <v/>
      </c>
      <c r="C30">
        <f>IF(5&gt;=1,500,0)+IF(5&gt;=5,200,0)+IF(5&gt;=10,150,0)+IF(5&gt;=15,300,0)</f>
        <v/>
      </c>
      <c r="D30">
        <f>80+(100+INT(5/5)*0.05*100)+150*(1+0.03*5)+200*CEILING(5/10,1)</f>
        <v/>
      </c>
      <c r="E30">
        <f>(5*IF(5&lt;10,239,IF(5&lt;20,229,219)) + (IF(5&gt;=1,500,0)+IF(5&gt;=5,200,0)+IF(5&gt;=10,150,0)+IF(5&gt;=15,300,0)) + (80+(100+INT(5/5)*0.05*100)+150*(1+0.03*5)+200*CEILING(5/10,1)))*LOOKUP(5,{0,5,10,15},{1,0.9,0.85,0.8})</f>
        <v/>
      </c>
      <c r="F30">
        <f>IF(E30&lt;3000,"规模不经济","优化区间")</f>
        <v/>
      </c>
    </row>
    <row r="31">
      <c r="A31" t="inlineStr">
        <is>
          <t>10架</t>
        </is>
      </c>
      <c r="B31">
        <f>10*IF(10&lt;10,239,IF(10&lt;20,229,219))</f>
        <v/>
      </c>
      <c r="C31">
        <f>IF(10&gt;=1,500,0)+IF(10&gt;=5,200,0)+IF(10&gt;=10,150,0)+IF(10&gt;=15,300,0)</f>
        <v/>
      </c>
      <c r="D31">
        <f>80+(100+INT(10/5)*0.05*100)+150*(1+0.03*10)+200*CEILING(10/10,1)</f>
        <v/>
      </c>
      <c r="E31">
        <f>(10*IF(10&lt;10,239,IF(10&lt;20,229,219)) + (IF(10&gt;=1,500,0)+IF(10&gt;=5,200,0)+IF(10&gt;=10,150,0)+IF(10&gt;=15,300,0)) + (80+(100+INT(10/5)*0.05*100)+150*(1+0.03*10)+200*CEILING(10/10,1)))*LOOKUP(10,{0,5,10,15},{1,0.9,0.85,0.8})</f>
        <v/>
      </c>
      <c r="F31">
        <f>IF(E31&lt;3000,"规模不经济","优化区间")</f>
        <v/>
      </c>
    </row>
    <row r="32">
      <c r="A32" t="inlineStr">
        <is>
          <t>15架</t>
        </is>
      </c>
      <c r="B32">
        <f>15*IF(15&lt;10,239,IF(15&lt;20,229,219))</f>
        <v/>
      </c>
      <c r="C32">
        <f>IF(15&gt;=1,500,0)+IF(15&gt;=5,200,0)+IF(15&gt;=10,150,0)+IF(15&gt;=15,300,0)</f>
        <v/>
      </c>
      <c r="D32">
        <f>80+(100+INT(15/5)*0.05*100)+150*(1+0.03*15)+200*CEILING(15/10,1)</f>
        <v/>
      </c>
      <c r="E32">
        <f>(15*IF(15&lt;10,239,IF(15&lt;20,229,219)) + (IF(15&gt;=1,500,0)+IF(15&gt;=5,200,0)+IF(15&gt;=10,150,0)+IF(15&gt;=15,300,0)) + (80+(100+INT(15/5)*0.05*100)+150*(1+0.03*15)+200*CEILING(15/10,1)))*LOOKUP(15,{0,5,10,15},{1,0.9,0.85,0.8})</f>
        <v/>
      </c>
      <c r="F32">
        <f>IF(E32&lt;3000,"规模不经济","优化区间")</f>
        <v/>
      </c>
    </row>
    <row r="34">
      <c r="A34" t="inlineStr">
        <is>
          <t>【敏感度分析矩阵】</t>
        </is>
      </c>
    </row>
    <row r="35">
      <c r="A35" t="inlineStr">
        <is>
          <t>规模\单价波动</t>
        </is>
      </c>
      <c r="B35" t="inlineStr">
        <is>
          <t>+15%单价</t>
        </is>
      </c>
      <c r="C35" t="inlineStr">
        <is>
          <t>+10%单价</t>
        </is>
      </c>
      <c r="D35" t="inlineStr">
        <is>
          <t>基准值</t>
        </is>
      </c>
      <c r="E35" t="inlineStr">
        <is>
          <t>-10%单价</t>
        </is>
      </c>
      <c r="F35" t="inlineStr">
        <is>
          <t>-20%单价</t>
        </is>
      </c>
    </row>
    <row r="36">
      <c r="A36" t="inlineStr">
        <is>
          <t>5架成本</t>
        </is>
      </c>
      <c r="B36">
        <f>((5*IF(5&lt;10,239,IF(5&lt;20,229,219)) + (IF(5&gt;=1,500,0)+IF(5&gt;=5,200,0)+IF(5&gt;=10,150,0)+IF(5&gt;=15,300,0)) + (80+(100+INT(5/5)*0.05*100)+150*(1+0.03*5)+200*CEILING(5/10,1)))*LOOKUP(5,{0,5,10,15},{1,0.9,0.85,0.8}))*(1+15%)</f>
        <v/>
      </c>
      <c r="C36">
        <f>((5*IF(5&lt;10,239,IF(5&lt;20,229,219)) + (IF(5&gt;=1,500,0)+IF(5&gt;=5,200,0)+IF(5&gt;=10,150,0)+IF(5&gt;=15,300,0)) + (80+(100+INT(5/5)*0.05*100)+150*(1+0.03*5)+200*CEILING(5/10,1)))*LOOKUP(5,{0,5,10,15},{1,0.9,0.85,0.8}))*(1+10%)</f>
        <v/>
      </c>
      <c r="D36">
        <f>((5*IF(5&lt;10,239,IF(5&lt;20,229,219)) + (IF(5&gt;=1,500,0)+IF(5&gt;=5,200,0)+IF(5&gt;=10,150,0)+IF(5&gt;=15,300,0)) + (80+(100+INT(5/5)*0.05*100)+150*(1+0.03*5)+200*CEILING(5/10,1)))*LOOKUP(5,{0,5,10,15},{1,0.9,0.85,0.8}))</f>
        <v/>
      </c>
      <c r="E36">
        <f>((5*IF(5&lt;10,239,IF(5&lt;20,229,219)) + (IF(5&gt;=1,500,0)+IF(5&gt;=5,200,0)+IF(5&gt;=10,150,0)+IF(5&gt;=15,300,0)) + (80+(100+INT(5/5)*0.05*100)+150*(1+0.03*5)+200*CEILING(5/10,1)))*LOOKUP(5,{0,5,10,15},{1,0.9,0.85,0.8}))*(1-10%)</f>
        <v/>
      </c>
      <c r="F36">
        <f>((5*IF(5&lt;10,239,IF(5&lt;20,229,219)) + (IF(5&gt;=1,500,0)+IF(5&gt;=5,200,0)+IF(5&gt;=10,150,0)+IF(5&gt;=15,300,0)) + (80+(100+INT(5/5)*0.05*100)+150*(1+0.03*5)+200*CEILING(5/10,1)))*LOOKUP(5,{0,5,10,15},{1,0.9,0.85,0.8}))*(1-20%)</f>
        <v/>
      </c>
    </row>
    <row r="37">
      <c r="A37" t="inlineStr">
        <is>
          <t>10架成本</t>
        </is>
      </c>
      <c r="B37">
        <f>((10*IF(10&lt;10,239,IF(10&lt;20,229,219)) + (IF(10&gt;=1,500,0)+IF(10&gt;=5,200,0)+IF(10&gt;=10,150,0)+IF(10&gt;=15,300,0)) + (80+(100+INT(10/5)*0.05*100)+150*(1+0.03*10)+200*CEILING(10/10,1)))*LOOKUP(10,{0,5,10,15},{1,0.9,0.85,0.8}))*(1+15%)</f>
        <v/>
      </c>
      <c r="C37">
        <f>((10*IF(10&lt;10,239,IF(10&lt;20,229,219)) + (IF(10&gt;=1,500,0)+IF(10&gt;=5,200,0)+IF(10&gt;=10,150,0)+IF(10&gt;=15,300,0)) + (80+(100+INT(10/5)*0.05*100)+150*(1+0.03*10)+200*CEILING(10/10,1)))*LOOKUP(10,{0,5,10,15},{1,0.9,0.85,0.8}))*(1+10%)</f>
        <v/>
      </c>
      <c r="D37">
        <f>((10*IF(10&lt;10,239,IF(10&lt;20,229,219)) + (IF(10&gt;=1,500,0)+IF(10&gt;=5,200,0)+IF(10&gt;=10,150,0)+IF(10&gt;=15,300,0)) + (80+(100+INT(10/5)*0.05*100)+150*(1+0.03*10)+200*CEILING(10/10,1)))*LOOKUP(10,{0,5,10,15},{1,0.9,0.85,0.8}))</f>
        <v/>
      </c>
      <c r="E37">
        <f>((10*IF(10&lt;10,239,IF(10&lt;20,229,219)) + (IF(10&gt;=1,500,0)+IF(10&gt;=5,200,0)+IF(10&gt;=10,150,0)+IF(10&gt;=15,300,0)) + (80+(100+INT(10/5)*0.05*100)+150*(1+0.03*10)+200*CEILING(10/10,1)))*LOOKUP(10,{0,5,10,15},{1,0.9,0.85,0.8}))*(1-10%)</f>
        <v/>
      </c>
      <c r="F37">
        <f>((10*IF(10&lt;10,239,IF(10&lt;20,229,219)) + (IF(10&gt;=1,500,0)+IF(10&gt;=5,200,0)+IF(10&gt;=10,150,0)+IF(10&gt;=15,300,0)) + (80+(100+INT(10/5)*0.05*100)+150*(1+0.03*10)+200*CEILING(10/10,1)))*LOOKUP(10,{0,5,10,15},{1,0.9,0.85,0.8}))*(1-20%)</f>
        <v/>
      </c>
    </row>
    <row r="38">
      <c r="A38" t="inlineStr">
        <is>
          <t>边际成本拐点提示：</t>
        </is>
      </c>
      <c r="B38">
        <f>IF($B$1=5,"当前规模已达5架，建议增至10架享受成本跃迁",IF($B$1=10,"当前规模已达10架，建议增至15架享受成本跃迁",""))</f>
        <v/>
      </c>
      <c r="C38">
        <f>((15*IF(15&lt;10,239,IF(15&lt;20,229,219)) + (IF(15&gt;=1,500,0)+IF(15&gt;=5,200,0)+IF(15&gt;=10,150,0)+IF(15&gt;=15,300,0)) + (80+(100+INT(15/5)*0.05*100)+150*(1+0.03*15)+200*CEILING(15/10,1)))*LOOKUP(15,{0,5,10,15},{1,0.9,0.85,0.8}))*(1+10%)</f>
        <v/>
      </c>
      <c r="D38">
        <f>((15*IF(15&lt;10,239,IF(15&lt;20,229,219)) + (IF(15&gt;=1,500,0)+IF(15&gt;=5,200,0)+IF(15&gt;=10,150,0)+IF(15&gt;=15,300,0)) + (80+(100+INT(15/5)*0.05*100)+150*(1+0.03*15)+200*CEILING(15/10,1)))*LOOKUP(15,{0,5,10,15},{1,0.9,0.85,0.8}))</f>
        <v/>
      </c>
      <c r="E38">
        <f>((15*IF(15&lt;10,239,IF(15&lt;20,229,219)) + (IF(15&gt;=1,500,0)+IF(15&gt;=5,200,0)+IF(15&gt;=10,150,0)+IF(15&gt;=15,300,0)) + (80+(100+INT(15/5)*0.05*100)+150*(1+0.03*15)+200*CEILING(15/10,1)))*LOOKUP(15,{0,5,10,15},{1,0.9,0.85,0.8}))*(1-10%)</f>
        <v/>
      </c>
      <c r="F38">
        <f>((15*IF(15&lt;10,239,IF(15&lt;20,229,219)) + (IF(15&gt;=1,500,0)+IF(15&gt;=5,200,0)+IF(15&gt;=10,150,0)+IF(15&gt;=15,300,0)) + (80+(100+INT(15/5)*0.05*100)+150*(1+0.03*15)+200*CEILING(15/10,1)))*LOOKUP(15,{0,5,10,15},{1,0.9,0.85,0.8}))*(1-20%)</f>
        <v/>
      </c>
    </row>
  </sheetData>
  <conditionalFormatting sqref="E32">
    <cfRule type="expression" priority="1" dxfId="0">
      <formula>E32&lt;3000</formula>
    </cfRule>
  </conditionalFormatting>
  <dataValidations count="1">
    <dataValidation sqref="B1" showDropDown="0" showInputMessage="0" showErrorMessage="0" allowBlank="0" errorTitle="无效输入" error="请输入1到999之间的整数" type="whole" operator="between">
      <formula1>1</formula1>
      <formula2>999</formula2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2025-03-22T07:03:06Z</dcterms:created>
  <dcterms:modified xmlns:dcterms="http://purl.org/dc/terms/" xmlns:xsi="http://www.w3.org/2001/XMLSchema-instance" xsi:type="dcterms:W3CDTF">2025-03-22T07:03:06Z</dcterms:modified>
</cp:coreProperties>
</file>