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hopperblue2-my.sharepoint.com/personal/evan_hopperblue_com/Documents/Documents/Evan/Career Development/Northwestern Data Science Bootcamp/Module 1/Homework/"/>
    </mc:Choice>
  </mc:AlternateContent>
  <xr:revisionPtr revIDLastSave="0" documentId="8_{92948ADC-5FF7-4669-933D-FE93796DE86B}" xr6:coauthVersionLast="47" xr6:coauthVersionMax="47" xr10:uidLastSave="{00000000-0000-0000-0000-000000000000}"/>
  <bookViews>
    <workbookView xWindow="16770" yWindow="-21720" windowWidth="38640" windowHeight="21120" xr2:uid="{00000000-000D-0000-FFFF-FFFF00000000}"/>
  </bookViews>
  <sheets>
    <sheet name="Crowdfunding" sheetId="1" r:id="rId1"/>
    <sheet name="Parent Category Pivot" sheetId="2" r:id="rId2"/>
    <sheet name="Sub Category Pivot" sheetId="3" r:id="rId3"/>
    <sheet name="Date Created Pivot" sheetId="4" r:id="rId4"/>
    <sheet name="Statistical Analysis" sheetId="6" r:id="rId5"/>
    <sheet name="Crowdfunding Goal Analysis" sheetId="5" r:id="rId6"/>
    <sheet name="Written Report &amp; Stat Analysis" sheetId="7" r:id="rId7"/>
  </sheets>
  <definedNames>
    <definedName name="_xlnm._FilterDatabase" localSheetId="0" hidden="1">Crowdfunding!$A$1:$T$1001</definedName>
    <definedName name="_xlnm._FilterDatabase" localSheetId="5" hidden="1">'Crowdfunding Goal Analysis'!$A$1:$H$13</definedName>
    <definedName name="_xlnm._FilterDatabase" localSheetId="4" hidden="1">'Statistical Analysis'!$H$1:$J$7</definedName>
    <definedName name="fails">'Statistical Analysis'!$E$2:$E$365</definedName>
    <definedName name="goal">Crowdfunding!$D$1:$D$1001</definedName>
    <definedName name="outcome">Crowdfunding!$G$1:$G$1001</definedName>
    <definedName name="success">'Statistical Analysis'!$B$2:$B$566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/>
  <c r="S18" i="1" a="1"/>
  <c r="S18" i="1" s="1"/>
  <c r="S19" i="1" a="1"/>
  <c r="S19" i="1" s="1"/>
  <c r="S20" i="1" a="1"/>
  <c r="S20" i="1" s="1"/>
  <c r="S21" i="1" a="1"/>
  <c r="S21" i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/>
  <c r="S30" i="1" a="1"/>
  <c r="S30" i="1" s="1"/>
  <c r="S31" i="1" a="1"/>
  <c r="S31" i="1" s="1"/>
  <c r="S32" i="1" a="1"/>
  <c r="S32" i="1" s="1"/>
  <c r="S33" i="1" a="1"/>
  <c r="S33" i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/>
  <c r="S549" i="1" a="1"/>
  <c r="S549" i="1" s="1"/>
  <c r="S550" i="1" a="1"/>
  <c r="S550" i="1" s="1"/>
  <c r="S551" i="1" a="1"/>
  <c r="S551" i="1" s="1"/>
  <c r="S552" i="1" a="1"/>
  <c r="S552" i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/>
  <c r="S903" i="1" a="1"/>
  <c r="S903" i="1" s="1"/>
  <c r="S904" i="1" a="1"/>
  <c r="S904" i="1" s="1"/>
  <c r="S905" i="1" a="1"/>
  <c r="S905" i="1" s="1"/>
  <c r="S906" i="1" a="1"/>
  <c r="S906" i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/>
  <c r="S913" i="1" a="1"/>
  <c r="S913" i="1"/>
  <c r="S914" i="1" a="1"/>
  <c r="S914" i="1" s="1"/>
  <c r="S915" i="1" a="1"/>
  <c r="S915" i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/>
  <c r="S928" i="1" a="1"/>
  <c r="S928" i="1"/>
  <c r="S929" i="1" a="1"/>
  <c r="S929" i="1" s="1"/>
  <c r="S930" i="1" a="1"/>
  <c r="S930" i="1" s="1"/>
  <c r="S931" i="1" a="1"/>
  <c r="S931" i="1" s="1"/>
  <c r="S932" i="1" a="1"/>
  <c r="S932" i="1" s="1"/>
  <c r="S933" i="1" a="1"/>
  <c r="S933" i="1"/>
  <c r="S934" i="1" a="1"/>
  <c r="S934" i="1" s="1"/>
  <c r="S935" i="1" a="1"/>
  <c r="S935" i="1"/>
  <c r="S936" i="1" a="1"/>
  <c r="S936" i="1"/>
  <c r="S937" i="1" a="1"/>
  <c r="S937" i="1"/>
  <c r="S938" i="1" a="1"/>
  <c r="S938" i="1" s="1"/>
  <c r="S939" i="1" a="1"/>
  <c r="S939" i="1" s="1"/>
  <c r="S940" i="1" a="1"/>
  <c r="S940" i="1"/>
  <c r="S941" i="1" a="1"/>
  <c r="S941" i="1"/>
  <c r="S942" i="1" a="1"/>
  <c r="S942" i="1" s="1"/>
  <c r="S943" i="1" a="1"/>
  <c r="S943" i="1" s="1"/>
  <c r="S944" i="1" a="1"/>
  <c r="S944" i="1" s="1"/>
  <c r="S945" i="1" a="1"/>
  <c r="S945" i="1"/>
  <c r="S946" i="1" a="1"/>
  <c r="S946" i="1" s="1"/>
  <c r="S947" i="1" a="1"/>
  <c r="S947" i="1" s="1"/>
  <c r="S948" i="1" a="1"/>
  <c r="S948" i="1" s="1"/>
  <c r="S949" i="1" a="1"/>
  <c r="S949" i="1"/>
  <c r="S950" i="1" a="1"/>
  <c r="S950" i="1" s="1"/>
  <c r="S951" i="1" a="1"/>
  <c r="S951" i="1" s="1"/>
  <c r="S952" i="1" a="1"/>
  <c r="S952" i="1" s="1"/>
  <c r="S953" i="1" a="1"/>
  <c r="S953" i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/>
  <c r="S978" i="1" a="1"/>
  <c r="S978" i="1" s="1"/>
  <c r="S979" i="1" a="1"/>
  <c r="S979" i="1" s="1"/>
  <c r="S980" i="1" a="1"/>
  <c r="S980" i="1" s="1"/>
  <c r="S981" i="1" a="1"/>
  <c r="S981" i="1"/>
  <c r="S982" i="1" a="1"/>
  <c r="S982" i="1" s="1"/>
  <c r="S983" i="1" a="1"/>
  <c r="S983" i="1" s="1"/>
  <c r="S984" i="1" a="1"/>
  <c r="S984" i="1" s="1"/>
  <c r="S985" i="1" a="1"/>
  <c r="S985" i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J7" i="6"/>
  <c r="J6" i="6"/>
  <c r="J5" i="6"/>
  <c r="J4" i="6"/>
  <c r="J3" i="6"/>
  <c r="J2" i="6"/>
  <c r="I7" i="6"/>
  <c r="I6" i="6"/>
  <c r="I2" i="6"/>
  <c r="I5" i="6"/>
  <c r="I4" i="6"/>
  <c r="I3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E3" i="5" s="1"/>
  <c r="B2" i="5"/>
  <c r="E7" i="5" l="1"/>
  <c r="E11" i="5"/>
  <c r="H11" i="5" s="1"/>
  <c r="E8" i="5"/>
  <c r="F8" i="5" s="1"/>
  <c r="E13" i="5"/>
  <c r="H13" i="5" s="1"/>
  <c r="E4" i="5"/>
  <c r="H4" i="5" s="1"/>
  <c r="E6" i="5"/>
  <c r="H6" i="5" s="1"/>
  <c r="E5" i="5"/>
  <c r="G5" i="5" s="1"/>
  <c r="E2" i="5"/>
  <c r="H2" i="5" s="1"/>
  <c r="E10" i="5"/>
  <c r="F10" i="5" s="1"/>
  <c r="E12" i="5"/>
  <c r="F12" i="5" s="1"/>
  <c r="G3" i="5"/>
  <c r="H7" i="5"/>
  <c r="G7" i="5"/>
  <c r="H3" i="5"/>
  <c r="F7" i="5"/>
  <c r="E9" i="5"/>
  <c r="F9" i="5" s="1"/>
  <c r="F3" i="5"/>
  <c r="H8" i="5" l="1"/>
  <c r="G8" i="5"/>
  <c r="G6" i="5"/>
  <c r="F6" i="5"/>
  <c r="F2" i="5"/>
  <c r="G11" i="5"/>
  <c r="F11" i="5"/>
  <c r="F13" i="5"/>
  <c r="G13" i="5"/>
  <c r="F4" i="5"/>
  <c r="H5" i="5"/>
  <c r="G4" i="5"/>
  <c r="H12" i="5"/>
  <c r="G10" i="5"/>
  <c r="G12" i="5"/>
  <c r="G2" i="5"/>
  <c r="H10" i="5"/>
  <c r="F5" i="5"/>
  <c r="G9" i="5"/>
  <c r="H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<sst xmlns="http://schemas.openxmlformats.org/spreadsheetml/2006/main" count="7063" uniqueCount="2116">
  <si>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</si>
  <si>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</si>
  <si>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</si>
  <si>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</si>
  <si>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</si>
  <si>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</si>
  <si>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</si>
  <si>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</si>
  <si>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</si>
  <si>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</si>
  <si>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</si>
  <si>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</si>
  <si>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</si>
  <si>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</si>
  <si>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</si>
  <si>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</si>
  <si>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</si>
  <si>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</si>
  <si>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</si>
  <si>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</si>
  <si>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</si>
  <si>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</si>
  <si>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</si>
  <si>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</si>
  <si>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</si>
  <si>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</si>
  <si>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</si>
  <si>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</si>
  <si>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</si>
  <si>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</si>
  <si>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</si>
  <si>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</si>
  <si>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</si>
  <si>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</si>
  <si>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</si>
  <si>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</si>
  <si>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</si>
  <si>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</si>
  <si>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</si>
  <si>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</si>
  <si>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</si>
  <si>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</si>
  <si>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</si>
  <si>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</si>
  <si>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</si>
  <si>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</si>
  <si>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</si>
  <si>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</si>
  <si>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</si>
  <si>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</si>
  <si>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</si>
  <si>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</si>
  <si>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</si>
  <si>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</si>
  <si>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</si>
  <si>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</si>
  <si>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</si>
  <si>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</si>
  <si>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</si>
  <si>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</si>
  <si>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</si>
  <si>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</si>
  <si>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</si>
  <si>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</si>
  <si>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</si>
  <si>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</si>
  <si>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</si>
  <si>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</si>
  <si>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</si>
  <si>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</si>
  <si>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</si>
  <si>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</si>
  <si>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</si>
  <si>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</si>
  <si>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</si>
  <si>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</si>
  <si>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</si>
  <si>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</si>
  <si>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</si>
  <si>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</si>
  <si>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</si>
  <si>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</si>
  <si>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</si>
  <si>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</si>
  <si>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</si>
  <si>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</si>
  <si>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</si>
  <si>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</si>
  <si>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</si>
  <si>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</si>
  <si>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</si>
  <si>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</si>
  <si>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</si>
  <si>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</si>
  <si>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</si>
  <si>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</si>
  <si>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</si>
  <si>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</si>
  <si>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</si>
  <si>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</si>
  <si>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</si>
  <si>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</si>
  <si>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</si>
  <si>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</si>
  <si>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</si>
  <si>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</si>
  <si>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</si>
  <si>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</si>
  <si>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</si>
  <si>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</si>
  <si>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</si>
  <si>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</si>
  <si>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</si>
  <si>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</si>
  <si>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</si>
  <si>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</si>
  <si>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</si>
  <si>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</si>
  <si>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</si>
  <si>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</si>
  <si>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</si>
  <si>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</si>
  <si>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</si>
  <si>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</si>
  <si>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</si>
  <si>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</si>
  <si>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</si>
  <si>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</si>
  <si>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</si>
  <si>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</si>
  <si>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</si>
  <si>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</si>
  <si>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</si>
  <si>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</si>
  <si>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</si>
  <si>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</si>
  <si>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</si>
  <si>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</si>
  <si>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</si>
  <si>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</si>
  <si>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</si>
  <si>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</si>
  <si>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</si>
  <si>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</si>
  <si>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</si>
  <si>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</si>
  <si>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</si>
  <si>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</si>
  <si>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</si>
  <si>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</si>
  <si>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</si>
  <si>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</si>
  <si>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</si>
  <si>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</si>
  <si>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</si>
  <si>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</si>
  <si>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</si>
  <si>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</si>
  <si>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</si>
  <si>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</si>
  <si>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</si>
  <si>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</si>
  <si>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</si>
  <si>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</si>
  <si>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</si>
  <si>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</si>
  <si>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</si>
  <si>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</si>
  <si>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</si>
  <si>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</si>
  <si>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</si>
  <si>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</si>
  <si>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</si>
  <si>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</si>
  <si>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</si>
  <si>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</si>
  <si>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</si>
  <si>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</si>
  <si>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</si>
  <si>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</si>
  <si>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</si>
  <si>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</si>
  <si>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</si>
  <si>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</si>
  <si>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</si>
  <si>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</si>
  <si>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</si>
  <si>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</si>
  <si>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</si>
  <si>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</si>
  <si>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</si>
  <si>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</si>
  <si>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</si>
  <si>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</si>
  <si>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</si>
  <si>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</si>
  <si>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</si>
  <si>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</si>
  <si>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</si>
  <si>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</si>
  <si>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</si>
  <si>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</si>
  <si>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</si>
  <si>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</si>
  <si>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</si>
  <si>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</si>
  <si>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</si>
  <si>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</si>
  <si>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</si>
  <si>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</si>
  <si>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</si>
  <si>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</si>
  <si>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</si>
  <si>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</si>
  <si>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</si>
  <si>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</si>
  <si>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</si>
  <si>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</si>
  <si>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</si>
  <si>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</si>
  <si>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</si>
  <si>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</si>
  <si>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</si>
  <si>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</si>
  <si>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</si>
  <si>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</si>
  <si>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</si>
  <si>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</si>
  <si>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</si>
  <si>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</si>
  <si>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</si>
  <si>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</si>
  <si>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</si>
  <si>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</si>
  <si>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</si>
  <si>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</si>
  <si>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</si>
  <si>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</si>
  <si>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</si>
  <si>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</si>
  <si>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</si>
  <si>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</si>
  <si>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</si>
  <si>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</si>
  <si>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</si>
  <si>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</si>
  <si>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</si>
  <si>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</si>
  <si>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</si>
  <si>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</si>
  <si>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</si>
  <si>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</si>
  <si>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</si>
  <si>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</si>
  <si>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</si>
  <si>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</si>
  <si>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</si>
  <si>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</si>
  <si>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</si>
  <si>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</si>
  <si>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</si>
  <si>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</si>
  <si>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</si>
  <si>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</si>
  <si>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</si>
  <si>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</si>
  <si>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</si>
  <si>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</si>
  <si>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</si>
  <si>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</si>
  <si>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</si>
  <si>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</si>
  <si>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</si>
  <si>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</si>
  <si>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</si>
  <si>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</si>
  <si>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</si>
  <si>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</si>
  <si>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</si>
  <si>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</si>
  <si>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</si>
  <si>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</si>
  <si>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</si>
  <si>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</si>
  <si>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</si>
  <si>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</si>
  <si>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</si>
  <si>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</si>
  <si>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</si>
  <si>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</si>
  <si>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</si>
  <si>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</si>
  <si>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</si>
  <si>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</si>
  <si>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</si>
  <si>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</si>
  <si>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</si>
  <si>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</si>
  <si>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</si>
  <si>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</si>
  <si>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</si>
  <si>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</si>
  <si>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</si>
  <si>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</si>
  <si>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</si>
  <si>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</si>
  <si>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</si>
  <si>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</si>
  <si>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</si>
  <si>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</si>
  <si>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</si>
  <si>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</si>
  <si>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</si>
  <si>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</si>
  <si>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</si>
  <si>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</si>
  <si>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</si>
  <si>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</si>
  <si>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</si>
  <si>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</si>
  <si>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</si>
  <si>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</si>
  <si>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</si>
  <si>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</si>
  <si>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</si>
  <si>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</si>
  <si>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</si>
  <si>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</si>
  <si>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</si>
  <si>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</si>
  <si>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</si>
  <si>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</si>
  <si>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</si>
  <si>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</si>
  <si>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</si>
  <si>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</si>
  <si>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</si>
  <si>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</si>
  <si>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</si>
  <si>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</si>
  <si>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</si>
  <si>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</si>
  <si>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</si>
  <si>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</si>
  <si>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</si>
  <si>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</si>
  <si>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</si>
  <si>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</si>
  <si>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</si>
  <si>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</si>
  <si>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</si>
  <si>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</si>
  <si>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</si>
  <si>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</si>
  <si>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</si>
  <si>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</si>
  <si>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</si>
  <si>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</si>
  <si>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</si>
  <si>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</si>
  <si>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</si>
  <si>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</si>
  <si>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</si>
  <si>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</si>
  <si>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</si>
  <si>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</si>
  <si>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</si>
  <si>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</si>
  <si>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</si>
  <si>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</si>
  <si>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</si>
  <si>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</si>
  <si>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</si>
  <si>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</si>
  <si>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</si>
  <si>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</si>
  <si>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</si>
  <si>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</si>
  <si>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</si>
  <si>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</si>
  <si>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</si>
  <si>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</si>
  <si>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</si>
  <si>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</si>
  <si>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</si>
  <si>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</si>
  <si>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</si>
  <si>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</si>
  <si>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</si>
  <si>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</si>
  <si>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</si>
  <si>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</si>
  <si>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</si>
  <si>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</si>
  <si>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</si>
  <si>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</si>
  <si>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</si>
  <si>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</si>
  <si>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</si>
  <si>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</si>
  <si>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</si>
  <si>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</si>
  <si>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</si>
  <si>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</si>
  <si>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</si>
  <si>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</si>
  <si>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</si>
  <si>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</si>
  <si>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</si>
  <si>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</si>
  <si>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</si>
  <si>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</si>
  <si>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</si>
  <si>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</si>
  <si>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</si>
  <si>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</si>
  <si>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</si>
  <si>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</si>
  <si>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</si>
  <si>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</si>
  <si>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</si>
  <si>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</si>
  <si>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</si>
  <si>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</si>
  <si>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</si>
  <si>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</si>
  <si>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</si>
  <si>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</si>
  <si>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</si>
  <si>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</si>
  <si>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</si>
  <si>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</si>
  <si>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</si>
  <si>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</si>
  <si>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</si>
  <si>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</si>
  <si>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</si>
  <si>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</si>
  <si>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</si>
  <si>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</si>
  <si>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</si>
  <si>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</si>
  <si>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</si>
  <si>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</si>
  <si>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</si>
  <si>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</si>
  <si>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</si>
  <si>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</si>
  <si>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</si>
  <si>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</si>
  <si>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</si>
  <si>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</si>
  <si>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</si>
  <si>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</si>
  <si>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</si>
  <si>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</si>
  <si>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</si>
  <si>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</si>
  <si>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</si>
  <si>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</si>
  <si>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</si>
  <si>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</si>
  <si>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</si>
  <si>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</si>
  <si>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</si>
  <si>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</si>
  <si>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</si>
  <si>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</si>
  <si>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</si>
  <si>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</si>
  <si>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</si>
  <si>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</si>
  <si>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</si>
  <si>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</si>
  <si>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</si>
  <si>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</si>
  <si>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</si>
  <si>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</si>
  <si>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</si>
  <si>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</si>
  <si>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</si>
  <si>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</si>
  <si>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</si>
  <si>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</si>
  <si>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</si>
  <si>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</si>
  <si>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</si>
  <si>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</si>
  <si>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</si>
  <si>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</si>
  <si>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</si>
  <si>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</si>
  <si>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</si>
  <si>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</si>
  <si>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</si>
  <si>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</si>
  <si>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</si>
  <si>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</si>
  <si>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</si>
  <si>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</si>
  <si>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</si>
  <si>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</si>
  <si>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</si>
  <si>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</si>
  <si>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</si>
  <si>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</si>
  <si>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</si>
  <si>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</si>
  <si>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</si>
  <si>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</si>
  <si>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</si>
  <si>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</si>
  <si>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</si>
  <si>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</si>
  <si>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</si>
  <si>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</si>
  <si>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</si>
  <si>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</si>
  <si>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</si>
  <si>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</si>
  <si>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</si>
  <si>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</si>
  <si>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</si>
  <si>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</si>
  <si>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</si>
  <si>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</si>
  <si>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</si>
  <si>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</si>
  <si>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</si>
  <si>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</si>
  <si>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</si>
  <si>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</si>
  <si>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</si>
  <si>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</si>
  <si>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</si>
  <si>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</si>
  <si>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</si>
  <si>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</si>
  <si>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</si>
  <si>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</si>
  <si>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</si>
  <si>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</si>
  <si>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</si>
  <si>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</si>
  <si>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</si>
  <si>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</si>
  <si>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</si>
  <si>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</si>
  <si>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</si>
  <si>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</si>
  <si>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</si>
  <si>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</si>
  <si>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</si>
  <si>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</si>
  <si>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</si>
  <si>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</si>
  <si>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</si>
  <si>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</si>
  <si>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</si>
  <si>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</si>
  <si>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</si>
  <si>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</si>
  <si>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</si>
  <si>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</si>
  <si>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</si>
  <si>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</si>
  <si>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</si>
  <si>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</si>
  <si>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</si>
  <si>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</si>
  <si>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</si>
  <si>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</si>
  <si>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</si>
  <si>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</si>
  <si>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</si>
  <si>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</si>
  <si>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</si>
  <si>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</si>
  <si>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</si>
  <si>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</si>
  <si>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</si>
  <si>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</si>
  <si>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</si>
  <si>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</si>
  <si>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</si>
  <si>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</si>
  <si>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</si>
  <si>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</si>
  <si>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</si>
  <si>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</si>
  <si>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</si>
  <si>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</si>
  <si>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</si>
  <si>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</si>
  <si>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</si>
  <si>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</si>
  <si>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</si>
  <si>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</si>
  <si>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</si>
  <si>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</si>
  <si>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</si>
  <si>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</si>
  <si>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</si>
  <si>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</si>
  <si>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</si>
  <si>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</si>
  <si>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</si>
  <si>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</si>
  <si>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</si>
  <si>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</si>
  <si>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</si>
  <si>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</si>
  <si>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</si>
  <si>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</si>
  <si>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</si>
  <si>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</si>
  <si>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</si>
  <si>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</si>
  <si>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</si>
  <si>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</si>
  <si>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</si>
  <si>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</si>
  <si>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</si>
  <si>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</si>
  <si>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</si>
  <si>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</si>
  <si>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</si>
  <si>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</si>
  <si>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</si>
  <si>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</si>
  <si>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</si>
  <si>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</si>
  <si>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</si>
  <si>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</si>
  <si>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</si>
  <si>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</si>
  <si>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</si>
  <si>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</si>
  <si>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</si>
  <si>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</si>
  <si>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</si>
  <si>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</si>
  <si>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</si>
  <si>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</si>
  <si>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</si>
  <si>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</si>
  <si>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</si>
  <si>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</si>
  <si>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</si>
  <si>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</si>
  <si>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</si>
  <si>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</si>
  <si>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</si>
  <si>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</si>
  <si>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</si>
  <si>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</si>
  <si>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</si>
  <si>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</si>
  <si>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</si>
  <si>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</si>
  <si>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</si>
  <si>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</si>
  <si>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</si>
  <si>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</si>
  <si>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</si>
  <si>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</si>
  <si>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</si>
  <si>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</si>
  <si>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</si>
  <si>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</si>
  <si>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</si>
  <si>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</si>
  <si>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</si>
  <si>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</si>
  <si>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</si>
  <si>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</si>
  <si>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</si>
  <si>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</si>
  <si>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</si>
  <si>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</si>
  <si>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</si>
  <si>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</si>
  <si>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</si>
  <si>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</si>
  <si>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</si>
  <si>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</si>
  <si>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</si>
  <si>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</si>
  <si>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</si>
  <si>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</si>
  <si>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</si>
  <si>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</si>
  <si>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</si>
  <si>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</si>
  <si>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</si>
  <si>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</si>
  <si>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</si>
  <si>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</si>
  <si>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</si>
  <si>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</si>
  <si>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</si>
  <si>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</si>
  <si>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</si>
  <si>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</si>
  <si>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</si>
  <si>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</si>
  <si>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</si>
  <si>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</si>
  <si>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</si>
  <si>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</si>
  <si>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</si>
  <si>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</si>
  <si>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</si>
  <si>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</si>
  <si>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</si>
  <si>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</si>
  <si>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</si>
  <si>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</si>
  <si>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</si>
  <si>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</si>
  <si>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</si>
  <si>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</si>
  <si>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</si>
  <si>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</si>
  <si>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</si>
  <si>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</si>
  <si>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</si>
  <si>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</si>
  <si>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</si>
  <si>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</si>
  <si>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</si>
  <si>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</si>
  <si>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</si>
  <si>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</si>
  <si>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</si>
  <si>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</si>
  <si>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</si>
  <si>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</si>
  <si>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</si>
  <si>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</si>
  <si>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</si>
  <si>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</si>
  <si>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</si>
  <si>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</si>
  <si>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</si>
  <si>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</si>
  <si>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</si>
  <si>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</si>
  <si>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</si>
  <si>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</si>
  <si>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</si>
  <si>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</si>
  <si>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</si>
  <si>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</si>
  <si>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</si>
  <si>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</si>
  <si>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</si>
  <si>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</si>
  <si>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</si>
  <si>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</si>
  <si>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</si>
  <si>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</si>
  <si>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</si>
  <si>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</si>
  <si>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</si>
  <si>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</si>
  <si>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</si>
  <si>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</si>
  <si>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</si>
  <si>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</si>
  <si>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</si>
  <si>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</si>
  <si>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</si>
  <si>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</si>
  <si>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</si>
  <si>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</si>
  <si>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</si>
  <si>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</si>
  <si>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</si>
  <si>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</si>
  <si>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</si>
  <si>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</si>
  <si>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</si>
  <si>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</si>
  <si>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</si>
  <si>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</si>
  <si>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</si>
  <si>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</si>
  <si>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</si>
  <si>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</si>
  <si>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</si>
  <si>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</si>
  <si>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</si>
  <si>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</si>
  <si>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</si>
  <si>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</si>
  <si>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</si>
  <si>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</si>
  <si>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</si>
  <si>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</si>
  <si>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</si>
  <si>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</si>
  <si>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</si>
  <si>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</si>
  <si>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</si>
  <si>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</si>
  <si>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</si>
  <si>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</si>
  <si>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</si>
  <si>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</si>
  <si>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</si>
  <si>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</si>
  <si>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</si>
  <si>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</si>
  <si>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</si>
  <si>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</si>
  <si>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</si>
  <si>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</si>
  <si>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</si>
  <si>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</si>
  <si>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</si>
  <si>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</si>
  <si>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</si>
  <si>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</si>
  <si>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</si>
  <si>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</si>
  <si>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</si>
  <si>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</si>
  <si>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</si>
  <si>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</si>
  <si>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</si>
  <si>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</si>
  <si>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</si>
  <si>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</si>
  <si>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</si>
  <si>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</si>
  <si>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</si>
  <si>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</si>
  <si>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</si>
  <si>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</si>
  <si>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</si>
  <si>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</si>
  <si>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</si>
  <si>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</si>
  <si>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</si>
  <si>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</si>
  <si>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</si>
  <si>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</si>
  <si>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</si>
  <si>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</si>
  <si>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</si>
  <si>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</si>
  <si>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</si>
  <si>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</si>
  <si>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</si>
  <si>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</si>
  <si>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</si>
  <si>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</si>
  <si>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</si>
  <si>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</si>
  <si>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</si>
  <si>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</si>
  <si>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</si>
  <si>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</si>
  <si>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</si>
  <si>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</si>
  <si>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</si>
  <si>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</si>
  <si>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</si>
  <si>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</si>
  <si>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</si>
  <si>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</si>
  <si>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</si>
  <si>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</si>
  <si>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</si>
  <si>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</si>
  <si>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</si>
  <si>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</si>
  <si>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</si>
  <si>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</si>
  <si>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</si>
  <si>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</si>
  <si>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</si>
  <si>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</si>
  <si>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</si>
  <si>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</si>
  <si>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</si>
  <si>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</si>
  <si>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</si>
  <si>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</si>
  <si>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</si>
  <si>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</si>
  <si>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</si>
  <si>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</si>
  <si>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</si>
  <si>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</si>
  <si>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</si>
  <si>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</si>
  <si>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</si>
  <si>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</si>
  <si>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</si>
  <si>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</si>
  <si>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</si>
  <si>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</si>
  <si>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</si>
  <si>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</si>
  <si>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</si>
  <si>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</si>
  <si>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</si>
  <si>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</si>
  <si>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</si>
  <si>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</si>
  <si>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</si>
  <si>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</si>
  <si>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</si>
  <si>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</si>
  <si>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</si>
  <si>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</si>
  <si>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</si>
  <si>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</si>
  <si>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</si>
  <si>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</si>
  <si>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</si>
  <si>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</si>
  <si>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</si>
  <si>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</si>
  <si>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</si>
  <si>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</si>
  <si>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</si>
  <si>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</si>
  <si>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</si>
  <si>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</si>
  <si>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</si>
  <si>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</si>
  <si>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</si>
  <si>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</si>
  <si>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</si>
  <si>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</si>
  <si>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</si>
  <si>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</si>
  <si>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</si>
  <si>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</si>
  <si>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</si>
  <si>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</si>
  <si>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</si>
  <si>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</si>
  <si>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</si>
  <si>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</si>
  <si>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</si>
  <si>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</si>
  <si>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</si>
  <si>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</si>
  <si>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</si>
  <si>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</si>
  <si>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</si>
  <si>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</si>
  <si>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</si>
  <si>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</si>
  <si>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</si>
  <si>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</si>
  <si>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</si>
  <si>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</si>
  <si>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</si>
  <si>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</si>
  <si>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</si>
  <si>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</si>
  <si>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</si>
  <si>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</si>
  <si>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</si>
  <si>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</si>
  <si>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</si>
  <si>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</si>
  <si>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</si>
  <si>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</si>
  <si>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</si>
  <si>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</si>
  <si>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</si>
  <si>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</si>
  <si>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</si>
  <si>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</si>
  <si>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</si>
  <si>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</si>
  <si>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</si>
  <si>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</si>
  <si>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</si>
  <si>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</si>
  <si>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</si>
  <si>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</si>
  <si>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</si>
  <si>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</si>
  <si>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</si>
  <si>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</si>
  <si>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</si>
  <si>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</si>
  <si>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</si>
  <si>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</si>
  <si>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</si>
  <si>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</si>
  <si>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</si>
  <si>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</si>
  <si>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</si>
  <si>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</si>
  <si>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</si>
  <si>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</si>
  <si>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</si>
  <si>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</si>
  <si>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</si>
  <si>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</si>
  <si>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</si>
  <si>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</si>
  <si>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</si>
  <si>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</si>
  <si>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</si>
  <si>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</si>
  <si>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</si>
  <si>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</si>
  <si>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</si>
  <si>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</si>
  <si>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</si>
  <si>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</si>
  <si>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</si>
  <si>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</si>
  <si>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</si>
  <si>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</si>
  <si>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</si>
  <si>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</si>
  <si>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</si>
  <si>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</si>
  <si>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</si>
  <si>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</si>
  <si>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</si>
  <si>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</si>
  <si>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</si>
  <si>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</si>
  <si>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</si>
  <si>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</si>
  <si>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</si>
  <si>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</si>
  <si>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</si>
  <si>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</si>
  <si>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</si>
  <si>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</si>
  <si>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</si>
  <si>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</si>
  <si>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</si>
  <si>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</si>
  <si>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</si>
  <si>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</si>
  <si>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</si>
  <si>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</si>
  <si>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</si>
  <si>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</si>
  <si>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</si>
  <si>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</si>
  <si>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</si>
  <si>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</si>
  <si>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</si>
  <si>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</si>
  <si>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</si>
  <si>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</si>
  <si>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</si>
  <si>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</si>
  <si>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</si>
  <si>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</si>
  <si>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</si>
  <si>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</si>
  <si>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</si>
  <si>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</si>
  <si>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</si>
  <si>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</si>
  <si>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</si>
  <si>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</si>
  <si>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</si>
  <si>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</si>
  <si>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</si>
  <si>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</si>
  <si>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</si>
  <si>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</si>
  <si>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</si>
  <si>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</si>
  <si>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</si>
  <si>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</si>
  <si>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</si>
  <si>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</si>
  <si>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</si>
  <si>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</si>
  <si>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</si>
  <si>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</si>
  <si>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</si>
  <si>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</si>
  <si>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</si>
  <si>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</si>
  <si>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</si>
  <si>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</si>
  <si>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</si>
  <si>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</si>
  <si>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</si>
  <si>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</si>
  <si>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</si>
  <si>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</si>
  <si>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</si>
  <si>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</si>
  <si>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</si>
  <si>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</si>
  <si>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</si>
  <si>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</si>
  <si>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</si>
  <si>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</si>
  <si>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</si>
  <si>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</si>
  <si>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</si>
  <si>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</si>
  <si>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</si>
  <si>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</si>
  <si>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</si>
  <si>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</si>
  <si>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</si>
  <si>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</si>
  <si>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</si>
  <si>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</si>
  <si>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</si>
  <si>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</si>
  <si>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</si>
  <si>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</si>
  <si>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</si>
  <si>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</si>
  <si>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</si>
  <si>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</si>
  <si>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</si>
  <si>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</si>
  <si>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</si>
  <si>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</si>
  <si>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</si>
  <si>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</si>
  <si>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</si>
  <si>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</si>
  <si>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</si>
  <si>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</si>
  <si>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</si>
  <si>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</si>
  <si>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</si>
  <si>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</si>
  <si>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</si>
  <si>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</si>
  <si>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</si>
  <si>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</si>
  <si>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</si>
  <si>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</si>
  <si>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</si>
  <si>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</si>
  <si>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</si>
  <si>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</si>
  <si>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</si>
  <si>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</si>
  <si>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</si>
  <si>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</si>
  <si>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</si>
  <si>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</si>
  <si>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</si>
  <si>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</si>
  <si>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</si>
  <si>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</si>
  <si>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</si>
  <si>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</si>
  <si>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</si>
  <si>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</si>
  <si>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</si>
  <si>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</si>
  <si>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</si>
  <si>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</si>
  <si>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</si>
  <si>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</si>
  <si>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</si>
  <si>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</si>
  <si>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</si>
  <si>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</si>
  <si>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</si>
  <si>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</si>
  <si>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</si>
  <si>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</si>
  <si>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</si>
  <si>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</si>
  <si>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</si>
  <si>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</si>
  <si>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</si>
  <si>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</si>
  <si>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</si>
  <si>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</si>
  <si>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</si>
  <si>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</si>
  <si>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</si>
  <si>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</si>
  <si>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</si>
  <si>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</si>
  <si>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</si>
  <si>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</si>
  <si>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</si>
  <si>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</si>
  <si>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</si>
  <si>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</si>
  <si>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</si>
  <si>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</si>
  <si>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</si>
  <si>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</si>
  <si>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</si>
  <si>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</si>
  <si>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</si>
  <si>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</si>
  <si>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</si>
  <si>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</si>
  <si>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</si>
  <si>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</si>
  <si>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</si>
  <si>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</si>
  <si>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</si>
  <si>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</si>
  <si>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</si>
  <si>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</si>
  <si>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</si>
  <si>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</si>
  <si>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</si>
  <si>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</si>
  <si>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</si>
  <si>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</si>
  <si>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</si>
  <si>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</si>
  <si>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</si>
  <si>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</si>
  <si>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</si>
  <si>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</si>
  <si>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</si>
  <si>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</si>
  <si>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</si>
  <si>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</si>
  <si>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</si>
  <si>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</si>
  <si>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</si>
  <si>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</si>
  <si>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</si>
  <si>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</si>
  <si>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</si>
  <si>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</si>
  <si>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</si>
  <si>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</si>
  <si>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</si>
  <si>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</si>
  <si>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</si>
  <si>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</si>
  <si>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</si>
  <si>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</si>
  <si>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</si>
  <si>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</si>
  <si>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</si>
  <si>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</si>
  <si>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</si>
  <si>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</si>
  <si>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</si>
  <si>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</si>
  <si>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</si>
  <si>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</si>
  <si>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</si>
  <si>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</si>
  <si>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</si>
  <si>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</si>
  <si>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</si>
  <si>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</si>
  <si>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</si>
  <si>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</si>
  <si>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</si>
  <si>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</si>
  <si>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</si>
  <si>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</si>
  <si>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</si>
  <si>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</si>
  <si>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</si>
  <si>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</si>
  <si>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</si>
  <si>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</si>
  <si>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</si>
  <si>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</si>
  <si>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</si>
  <si>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</si>
  <si>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</si>
  <si>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</si>
  <si>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</si>
  <si>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</si>
  <si>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</si>
  <si>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</si>
  <si>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</si>
  <si>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</si>
  <si>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</si>
  <si>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</si>
  <si>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</si>
  <si>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</si>
  <si>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</si>
  <si>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</si>
  <si>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</si>
  <si>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</si>
  <si>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</si>
  <si>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</si>
  <si>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</si>
  <si>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</si>
  <si>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</si>
  <si>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</si>
  <si>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</si>
  <si>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</si>
  <si>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</si>
  <si>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</si>
  <si>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</si>
  <si>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</si>
  <si>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</si>
  <si>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</si>
  <si>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</si>
  <si>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</si>
  <si>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</si>
  <si>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</si>
  <si>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</si>
  <si>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</si>
  <si>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</si>
  <si>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</si>
  <si>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</si>
  <si>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</si>
  <si>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</si>
  <si>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</si>
  <si>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</si>
  <si>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</si>
  <si>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</si>
  <si>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</si>
  <si>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</si>
  <si>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</si>
  <si>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</si>
  <si>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</si>
  <si>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</si>
  <si>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</si>
  <si>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</si>
  <si>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</si>
  <si>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</si>
  <si>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</si>
  <si>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</si>
  <si>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</si>
  <si>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</si>
  <si>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</si>
  <si>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</si>
  <si>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</si>
  <si>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</si>
  <si>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</si>
  <si>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</si>
  <si>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</si>
  <si>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</si>
  <si>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</si>
  <si>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</si>
  <si>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</si>
  <si>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</si>
  <si>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</si>
  <si>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</si>
  <si>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</si>
  <si>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</si>
  <si>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</si>
  <si>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</si>
  <si>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</si>
  <si>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</si>
  <si>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</si>
  <si>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</si>
  <si>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</si>
  <si>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</si>
  <si>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</si>
  <si>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</si>
  <si>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</si>
  <si>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</si>
  <si>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</si>
  <si>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</si>
  <si>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</si>
  <si>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</si>
  <si>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</si>
  <si>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</si>
  <si>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</si>
  <si>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</si>
  <si>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</si>
  <si>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</si>
  <si>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</si>
  <si>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</si>
  <si>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</si>
  <si>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</si>
  <si>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</si>
  <si>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</si>
  <si>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</si>
  <si>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</si>
  <si>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</si>
  <si>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</si>
  <si>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</si>
  <si>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</si>
  <si>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</si>
  <si>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</si>
  <si>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</si>
  <si>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</si>
  <si>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</si>
  <si>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</si>
  <si>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</si>
  <si>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</si>
  <si>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</si>
  <si>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</si>
  <si>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</si>
  <si>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</si>
  <si>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</si>
  <si>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</si>
  <si>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</si>
  <si>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</si>
  <si>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</si>
  <si>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</si>
  <si>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</si>
  <si>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</si>
  <si>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</si>
  <si>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</si>
  <si>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</si>
  <si>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</si>
  <si>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</si>
  <si>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</si>
  <si>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</si>
  <si>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</si>
  <si>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</si>
  <si>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</si>
  <si>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</si>
  <si>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</si>
  <si>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</si>
  <si>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</si>
  <si>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</si>
  <si>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</si>
  <si>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</si>
  <si>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</si>
  <si>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</si>
  <si>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</si>
  <si>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</si>
  <si>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</si>
  <si>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</si>
  <si>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</si>
  <si>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</si>
  <si>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</si>
  <si>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</si>
  <si>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</si>
  <si>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</si>
  <si>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</si>
  <si>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</si>
  <si>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</si>
  <si>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</si>
  <si>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</si>
  <si>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</si>
  <si>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</si>
  <si>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</si>
  <si>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</si>
  <si>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</si>
  <si>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</si>
  <si>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</si>
  <si>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</si>
  <si>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</si>
  <si>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</si>
  <si>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</si>
  <si>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</si>
  <si>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</si>
  <si>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</si>
  <si>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</si>
  <si>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</si>
  <si>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</si>
  <si>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</si>
  <si>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</si>
  <si>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</si>
  <si>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</si>
  <si>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</si>
  <si>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</si>
  <si>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</si>
  <si>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</si>
  <si>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</si>
  <si>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</si>
  <si>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</si>
  <si>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</si>
  <si>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</si>
  <si>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</si>
  <si>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</si>
  <si>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</si>
  <si>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</si>
  <si>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</si>
  <si>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</si>
  <si>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</si>
  <si>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</si>
  <si>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</si>
  <si>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</si>
  <si>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</si>
  <si>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</si>
  <si>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</si>
  <si>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</si>
  <si>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</si>
  <si>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</si>
  <si>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</si>
  <si>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</si>
  <si>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</si>
  <si>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</si>
  <si>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</si>
  <si>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</si>
  <si>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</si>
  <si>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</si>
  <si>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</si>
  <si>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</si>
  <si>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</si>
  <si>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</si>
  <si>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</si>
  <si>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</si>
  <si>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</si>
  <si>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</si>
  <si>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</si>
  <si>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</si>
  <si>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</si>
  <si>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</si>
  <si>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</si>
  <si>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</si>
  <si>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</si>
  <si>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</si>
  <si>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</si>
  <si>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</si>
  <si>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</si>
  <si>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</si>
  <si>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</si>
  <si>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</si>
  <si>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</si>
  <si>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</si>
  <si>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</si>
  <si>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</si>
  <si>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</si>
  <si>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</si>
  <si>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</si>
  <si>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</si>
  <si>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</si>
  <si>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</si>
  <si>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</si>
  <si>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</si>
  <si>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</si>
  <si>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</si>
  <si>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</si>
  <si>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</si>
  <si>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</si>
  <si>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</si>
  <si>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</si>
  <si>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</si>
  <si>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</si>
  <si>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</si>
  <si>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</si>
  <si>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</si>
  <si>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</si>
  <si>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</si>
  <si>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</si>
  <si>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</si>
  <si>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</si>
  <si>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</si>
  <si>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</si>
  <si>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</si>
  <si>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</si>
  <si>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</si>
  <si>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</si>
  <si>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</si>
  <si>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</si>
  <si>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</si>
  <si>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</si>
  <si>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</si>
  <si>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</si>
  <si>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</si>
  <si>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</si>
  <si>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</si>
  <si>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</si>
  <si>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</si>
  <si>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</si>
  <si>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</si>
  <si>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</si>
  <si>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</si>
  <si>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</si>
  <si>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</si>
  <si>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</si>
  <si>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</si>
  <si>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</si>
  <si>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</si>
  <si>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</si>
  <si>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</si>
  <si>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</si>
  <si>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</si>
  <si>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</si>
  <si>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</si>
  <si>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</si>
  <si>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</si>
  <si>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</si>
  <si>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</si>
  <si>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</si>
  <si>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</si>
  <si>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</si>
  <si>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</si>
  <si>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</si>
  <si>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</si>
  <si>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</si>
  <si>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</si>
  <si>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</si>
  <si>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</si>
  <si>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</si>
  <si>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</si>
  <si>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</si>
  <si>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</si>
  <si>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</si>
  <si>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</si>
  <si>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</si>
  <si>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</si>
  <si>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</si>
  <si>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</si>
  <si>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</si>
  <si>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</si>
  <si>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</si>
  <si>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</si>
  <si>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</si>
  <si>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</si>
  <si>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</si>
  <si>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</si>
  <si>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</si>
  <si>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</si>
  <si>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</si>
  <si>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</si>
  <si>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</si>
  <si>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</si>
  <si>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</si>
  <si>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</si>
  <si>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</si>
  <si>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</si>
  <si>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</si>
  <si>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</si>
  <si>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</si>
  <si>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</si>
  <si>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</si>
  <si>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</si>
  <si>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</si>
  <si>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</si>
  <si>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</si>
  <si>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</si>
  <si>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</si>
  <si>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</si>
  <si>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</si>
  <si>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</si>
  <si>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</si>
  <si>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</si>
  <si>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</si>
  <si>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</si>
  <si>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</si>
  <si>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</si>
  <si>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</si>
  <si>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</si>
  <si>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</si>
  <si>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</si>
  <si>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</si>
  <si>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</si>
  <si>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</si>
  <si>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</si>
  <si>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</si>
  <si>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</si>
  <si>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</si>
  <si>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</si>
  <si>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</si>
  <si>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</si>
  <si>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</si>
  <si>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</si>
  <si>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</si>
  <si>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</si>
  <si>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</si>
  <si>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</si>
  <si>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</si>
  <si>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</si>
  <si>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</si>
  <si>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</si>
  <si>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</si>
  <si>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</si>
  <si>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</si>
  <si>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</si>
  <si>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</si>
  <si>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</si>
  <si>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</si>
  <si>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</si>
  <si>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</si>
  <si>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</si>
  <si>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</si>
  <si>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</si>
  <si>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</si>
  <si>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</si>
  <si>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</si>
  <si>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</si>
  <si>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</si>
  <si>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</si>
  <si>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</si>
  <si>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</si>
  <si>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</si>
  <si>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</si>
  <si>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</si>
  <si>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</si>
  <si>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</si>
  <si>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</si>
  <si>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</si>
  <si>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</si>
  <si>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</si>
  <si>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</si>
  <si>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</si>
  <si>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</si>
  <si>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</si>
  <si>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</si>
  <si>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</si>
  <si>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</si>
  <si>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</si>
  <si>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</si>
  <si>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</si>
  <si>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</si>
  <si>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</si>
  <si>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</si>
  <si>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</si>
  <si>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</si>
  <si>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</si>
  <si>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</si>
  <si>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</si>
  <si>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</si>
  <si>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</si>
  <si>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</si>
  <si>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</si>
  <si>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</si>
  <si>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</si>
  <si>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</si>
  <si>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</si>
  <si>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</si>
  <si>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</si>
  <si>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</si>
  <si>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</si>
  <si>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</si>
  <si>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</si>
  <si>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</si>
  <si>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</si>
  <si>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</si>
  <si>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</si>
  <si>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</si>
  <si>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</si>
  <si>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</si>
  <si>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</si>
  <si>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</si>
  <si>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</si>
  <si>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</si>
  <si>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</si>
  <si>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</si>
  <si>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</si>
  <si>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</si>
  <si>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</si>
  <si>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</si>
  <si>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</si>
  <si>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</si>
  <si>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</si>
  <si>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</si>
  <si>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</si>
  <si>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</si>
  <si>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</si>
  <si>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</si>
  <si>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</si>
  <si>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</si>
  <si>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</si>
  <si>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</si>
  <si>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</si>
  <si>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</si>
  <si>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</si>
  <si>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</si>
  <si>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</si>
  <si>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</si>
  <si>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</si>
  <si>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</si>
  <si>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</si>
  <si>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</si>
  <si>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</si>
  <si>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</si>
  <si>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</si>
  <si>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</si>
  <si>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</si>
  <si>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</si>
  <si>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</si>
  <si>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</si>
  <si>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</si>
  <si>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</si>
  <si>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</si>
  <si>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</si>
  <si>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</si>
  <si>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</si>
  <si>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</si>
  <si>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</si>
  <si>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</si>
  <si>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</si>
  <si>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</si>
  <si>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</si>
  <si>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</si>
  <si>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</si>
  <si>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</si>
  <si>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</si>
  <si>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</si>
  <si>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</si>
  <si>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</si>
  <si>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</si>
  <si>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</si>
  <si>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</si>
  <si>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</si>
  <si>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</si>
  <si>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</si>
  <si>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</si>
  <si>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</si>
  <si>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</si>
  <si>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</si>
  <si>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</si>
  <si>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</si>
  <si>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</si>
  <si>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</si>
  <si>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</si>
  <si>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</si>
  <si>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</si>
  <si>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</si>
  <si>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</si>
  <si>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</si>
  <si>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</si>
  <si>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</si>
  <si>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</si>
  <si>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</si>
  <si>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</si>
  <si>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</si>
  <si>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</si>
  <si>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</si>
  <si>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</si>
  <si>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</si>
  <si>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</si>
  <si>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</si>
  <si>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</si>
  <si>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</si>
  <si>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</si>
  <si>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</si>
  <si>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</si>
  <si>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</si>
  <si>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</si>
  <si>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</si>
  <si>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</si>
  <si>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</si>
  <si>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</si>
  <si>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</si>
  <si>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</si>
  <si>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</si>
  <si>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</si>
  <si>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</si>
  <si>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</si>
  <si>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</si>
  <si>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</si>
  <si>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</si>
  <si>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</si>
  <si>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</si>
  <si>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</si>
  <si>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</si>
  <si>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</si>
  <si>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</si>
  <si>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</si>
  <si>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</si>
  <si>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</si>
  <si>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</si>
  <si>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</si>
  <si>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</si>
  <si>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</si>
  <si>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</si>
  <si>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</si>
  <si>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</si>
  <si>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</si>
  <si>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</si>
  <si>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</si>
  <si>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</si>
  <si>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</si>
  <si>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</si>
  <si>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</si>
  <si>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</si>
  <si>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</si>
  <si>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</si>
  <si>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</si>
  <si>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</si>
  <si>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</si>
  <si>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</si>
  <si>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</si>
  <si>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</si>
  <si>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</si>
  <si>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</si>
  <si>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</si>
  <si>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</si>
  <si>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</si>
  <si>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</si>
  <si>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</si>
  <si>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</si>
  <si>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</si>
  <si>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</si>
  <si>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</si>
  <si>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</si>
  <si>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</si>
  <si>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</si>
  <si>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</si>
  <si>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</si>
  <si>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</si>
  <si>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</si>
  <si>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</si>
  <si>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</si>
  <si>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</si>
  <si>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</si>
  <si>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</si>
  <si>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</si>
  <si>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</si>
  <si>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</si>
  <si>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</si>
  <si>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</si>
  <si>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</si>
  <si>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</si>
  <si>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</si>
  <si>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</si>
  <si>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</si>
  <si>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</si>
  <si>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</si>
  <si>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</si>
  <si>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</si>
  <si>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</si>
  <si>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</si>
  <si>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</si>
  <si>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</si>
  <si>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</si>
  <si>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</si>
  <si>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</si>
  <si>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</si>
  <si>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</si>
  <si>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</si>
  <si>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</si>
  <si>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</si>
  <si>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</si>
  <si>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</si>
  <si>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</si>
  <si>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</si>
  <si>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</si>
  <si>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</si>
  <si>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</si>
  <si>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</si>
  <si>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</si>
  <si>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</si>
  <si>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</si>
  <si>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</si>
  <si>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</si>
  <si>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</si>
  <si>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</si>
  <si>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</si>
  <si>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</si>
  <si>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</si>
  <si>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</si>
  <si>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</si>
  <si>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</si>
  <si>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</si>
  <si>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</si>
  <si>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</si>
  <si>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</si>
  <si>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</si>
  <si>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</si>
  <si>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</si>
  <si>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</si>
  <si>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</si>
  <si>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</si>
  <si>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</si>
  <si>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</si>
  <si>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</si>
  <si>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</si>
  <si>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</si>
  <si>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</si>
  <si>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</si>
  <si>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</si>
  <si>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</si>
  <si>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</si>
  <si>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</si>
  <si>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</si>
  <si>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</si>
  <si>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</si>
  <si>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</si>
  <si>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</si>
  <si>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</si>
  <si>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</si>
  <si>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</si>
  <si>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</si>
  <si>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</si>
  <si>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</si>
  <si>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</si>
  <si>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</si>
  <si>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</si>
  <si>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</si>
  <si>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</si>
  <si>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</si>
  <si>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</si>
  <si>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</si>
  <si>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</si>
  <si>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</si>
  <si>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</si>
  <si>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</si>
  <si>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</si>
  <si>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</si>
  <si>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</si>
  <si>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</si>
  <si>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</si>
  <si>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</si>
  <si>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</si>
  <si>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</si>
  <si>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</si>
  <si>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</si>
  <si>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</si>
  <si>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</si>
  <si>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</si>
  <si>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</si>
  <si>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</si>
  <si>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</si>
  <si>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</si>
  <si>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</si>
  <si>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</si>
  <si>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</si>
  <si>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</si>
  <si>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</si>
  <si>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</si>
  <si>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</si>
  <si>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</si>
  <si>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</si>
  <si>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</si>
  <si>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</si>
  <si>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</si>
  <si>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</si>
  <si>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</si>
  <si>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</si>
  <si>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</si>
  <si>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</si>
  <si>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</si>
  <si>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</si>
  <si>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</si>
  <si>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</si>
  <si>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</si>
  <si>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</si>
  <si>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</si>
  <si>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</si>
  <si>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</si>
  <si>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</si>
  <si>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</si>
  <si>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</si>
  <si>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</si>
  <si>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</si>
  <si>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</si>
  <si>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</si>
  <si>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</si>
  <si>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</si>
  <si>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</si>
  <si>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</si>
  <si>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</si>
  <si>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</si>
  <si>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</si>
  <si>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</si>
  <si>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</si>
  <si>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</si>
  <si>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</si>
  <si>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</si>
  <si>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</si>
  <si>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</si>
  <si>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</si>
  <si>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</si>
  <si>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</si>
  <si>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</si>
  <si>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</si>
  <si>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</si>
  <si>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</si>
  <si>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</si>
  <si>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Grand Total</t>
  </si>
  <si>
    <t>Column Labels</t>
  </si>
  <si>
    <t>Count of Outcome</t>
  </si>
  <si>
    <t>(All)</t>
  </si>
  <si>
    <t>Sub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</si>
  <si>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</si>
  <si>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</si>
  <si>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</si>
  <si>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</si>
  <si>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</si>
  <si>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</si>
  <si>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</si>
  <si>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</si>
  <si>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</si>
  <si>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</si>
  <si>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</si>
  <si>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</si>
  <si>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</si>
  <si>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</si>
  <si>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</si>
  <si>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Months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</si>
  <si>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</si>
  <si>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</si>
  <si>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</si>
  <si>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</si>
  <si>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</si>
  <si>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</si>
  <si>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</si>
  <si>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</si>
  <si>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</si>
  <si>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</si>
  <si>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</si>
  <si>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</si>
  <si>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</si>
  <si>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</si>
  <si>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</si>
  <si>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</si>
  <si>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</si>
  <si>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</si>
  <si>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</si>
  <si>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</si>
  <si>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Summary Statistic</t>
  </si>
  <si>
    <t>Successful Campaigns</t>
  </si>
  <si>
    <t>Failed Campaigns</t>
  </si>
  <si>
    <t>Mean # of Backers</t>
  </si>
  <si>
    <t>Median # of Backers</t>
  </si>
  <si>
    <t>Maximum # of Backers</t>
  </si>
  <si>
    <t>Minimum # of Backers</t>
  </si>
  <si>
    <t>Variance of # of Backers</t>
  </si>
  <si>
    <t>Standard Deviation of #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</si>
</sst>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/>
    <xf numFmtId="0" fontId="18" fillId="0" borderId="0" xfId="0" applyFont="1" applyAlignment="1">
      <alignment horizontal="left" vertic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 Homework 1 Evan Mucciolo.xlsx]Parent Category 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80-47DB-B8E8-339A0DF83854}"/>
            </c:ext>
          </c:extLst>
        </c:ser>
        <c:ser>
          <c:idx val="1"/>
          <c:order val="1"/>
          <c:tx>
            <c:strRef>
              <c:f>'Parent 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80-47DB-B8E8-339A0DF83854}"/>
            </c:ext>
          </c:extLst>
        </c:ser>
        <c:ser>
          <c:idx val="2"/>
          <c:order val="2"/>
          <c:tx>
            <c:strRef>
              <c:f>'Parent 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80-47DB-B8E8-339A0DF83854}"/>
            </c:ext>
          </c:extLst>
        </c:ser>
        <c:ser>
          <c:idx val="3"/>
          <c:order val="3"/>
          <c:tx>
            <c:strRef>
              <c:f>'Parent 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80-47DB-B8E8-339A0DF83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845839"/>
        <c:axId val="698223615"/>
      </c:barChart>
      <c:catAx>
        <c:axId val="6918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23615"/>
        <c:crosses val="autoZero"/>
        <c:auto val="1"/>
        <c:lblAlgn val="ctr"/>
        <c:lblOffset val="100"/>
        <c:noMultiLvlLbl val="0"/>
      </c:catAx>
      <c:valAx>
        <c:axId val="6982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4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 Homework 1 Evan Mucciolo.xlsx]Sub Category Pivot!PivotTable1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C-42EF-879D-D1EC525C0801}"/>
            </c:ext>
          </c:extLst>
        </c:ser>
        <c:ser>
          <c:idx val="1"/>
          <c:order val="1"/>
          <c:tx>
            <c:strRef>
              <c:f>'Sub Category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C-42EF-879D-D1EC525C0801}"/>
            </c:ext>
          </c:extLst>
        </c:ser>
        <c:ser>
          <c:idx val="2"/>
          <c:order val="2"/>
          <c:tx>
            <c:strRef>
              <c:f>'Sub Category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8C-42EF-879D-D1EC525C0801}"/>
            </c:ext>
          </c:extLst>
        </c:ser>
        <c:ser>
          <c:idx val="3"/>
          <c:order val="3"/>
          <c:tx>
            <c:strRef>
              <c:f>'Sub Category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8C-42EF-879D-D1EC525C0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845839"/>
        <c:axId val="698223615"/>
      </c:barChart>
      <c:catAx>
        <c:axId val="6918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23615"/>
        <c:crosses val="autoZero"/>
        <c:auto val="1"/>
        <c:lblAlgn val="ctr"/>
        <c:lblOffset val="100"/>
        <c:noMultiLvlLbl val="0"/>
      </c:catAx>
      <c:valAx>
        <c:axId val="6982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4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 Homework 1 Evan Mucciolo.xlsx]Date Created Pivot!PivotTable1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66-4480-9C9D-D27FB5BDF5A4}"/>
            </c:ext>
          </c:extLst>
        </c:ser>
        <c:ser>
          <c:idx val="1"/>
          <c:order val="1"/>
          <c:tx>
            <c:strRef>
              <c:f>'Date Created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66-4480-9C9D-D27FB5BDF5A4}"/>
            </c:ext>
          </c:extLst>
        </c:ser>
        <c:ser>
          <c:idx val="2"/>
          <c:order val="2"/>
          <c:tx>
            <c:strRef>
              <c:f>'Date Created Pivot'!$D$5:$D$6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Pivot'!$A$7:$A$19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Pivot'!$D$7:$D$19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66-4480-9C9D-D27FB5BDF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845839"/>
        <c:axId val="698223615"/>
      </c:lineChart>
      <c:catAx>
        <c:axId val="6918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23615"/>
        <c:crosses val="autoZero"/>
        <c:auto val="1"/>
        <c:lblAlgn val="ctr"/>
        <c:lblOffset val="100"/>
        <c:noMultiLvlLbl val="0"/>
      </c:catAx>
      <c:valAx>
        <c:axId val="6982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4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B4-4655-AE8A-222068E33993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B4-4655-AE8A-222068E33993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B4-4655-AE8A-222068E33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8709391"/>
        <c:axId val="13696129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B4-4655-AE8A-222068E3399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8B4-4655-AE8A-222068E3399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8B4-4655-AE8A-222068E3399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8B4-4655-AE8A-222068E33993}"/>
                  </c:ext>
                </c:extLst>
              </c15:ser>
            </c15:filteredLineSeries>
          </c:ext>
        </c:extLst>
      </c:lineChart>
      <c:catAx>
        <c:axId val="1388709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12943"/>
        <c:crosses val="autoZero"/>
        <c:auto val="1"/>
        <c:lblAlgn val="ctr"/>
        <c:lblOffset val="100"/>
        <c:noMultiLvlLbl val="0"/>
      </c:catAx>
      <c:valAx>
        <c:axId val="136961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70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427036</xdr:colOff>
      <xdr:row>0</xdr:row>
      <xdr:rowOff>15875</xdr:rowOff>
    </xdr:from>
    <xdr:to>
      <xdr:col>15</xdr:col>
      <xdr:colOff>390524</xdr:colOff>
      <xdr:row>20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B6F20-6635-154A-CE38-F9895D3C3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465136</xdr:colOff>
      <xdr:row>0</xdr:row>
      <xdr:rowOff>149225</xdr:rowOff>
    </xdr:from>
    <xdr:to>
      <xdr:col>21</xdr:col>
      <xdr:colOff>104775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779F7-4BD6-46AD-9FA1-6E5E9350E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465136</xdr:colOff>
      <xdr:row>0</xdr:row>
      <xdr:rowOff>149225</xdr:rowOff>
    </xdr:from>
    <xdr:to>
      <xdr:col>21</xdr:col>
      <xdr:colOff>104775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E5506-5D60-4D33-A475-17BEC92FC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379412</xdr:colOff>
      <xdr:row>13</xdr:row>
      <xdr:rowOff>133356</xdr:rowOff>
    </xdr:from>
    <xdr:to>
      <xdr:col>7</xdr:col>
      <xdr:colOff>1333500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EB5C3-8102-750D-C03C-95E2F7492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114300</xdr:rowOff>
    </xdr:from>
    <xdr:to>
      <xdr:col>11</xdr:col>
      <xdr:colOff>426880</xdr:colOff>
      <xdr:row>44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15A6A4-391A-4A7F-29E7-5FDE51472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14325"/>
          <a:ext cx="7246780" cy="863917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12</xdr:col>
      <xdr:colOff>409575</xdr:colOff>
      <xdr:row>1</xdr:row>
      <xdr:rowOff>123825</xdr:rowOff>
    </xdr:from>
    <xdr:to>
      <xdr:col>25</xdr:col>
      <xdr:colOff>526056</xdr:colOff>
      <xdr:row>30</xdr:row>
      <xdr:rowOff>187325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DF67B-D848-0436-F6F4-E61723744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323850"/>
          <a:ext cx="8660406" cy="58642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n Mucciolo" refreshedDate="45223.606494097221" createdVersion="8" refreshedVersion="8" minRefreshableVersion="3" recordCount="1000" xr:uid="{E1224C24-7AA4-4997-B247-8B7CC0BA037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91E502-AE7B-4BF2-8B2A-3B82F135F5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rent Category">
  <location ref="A3:F14" firstHeaderRow="1" firstDataRow="2" firstDataCol="1" rowPageCount="1" colPageCount="1"/>
  <pivotFields count="23">
    <pivotField dataField="1"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0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E9D83-A407-4B27-A72B-6B8FC84ECB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Sub Category">
  <location ref="A4:F30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0" subtotal="count" baseField="16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93B8A-43B4-490E-807B-8E13053FED0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Months">
  <location ref="A5:E19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0" subtotal="count" baseField="16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/>
    </sheetView>
  </sheetViews>
  <sheetFormatPr defaultColWidth="10.6640625" defaultRowHeight="15.5" x14ac:dyDescent="0.35"/>
  <cols>
    <col min="1" max="1" width="6.58203125" bestFit="1" customWidth="1"/>
    <col min="2" max="2" width="30.58203125" bestFit="1" customWidth="1"/>
    <col min="3" max="3" width="49.08203125" style="2" bestFit="1" customWidth="1"/>
    <col min="4" max="4" width="8.58203125" bestFit="1" customWidth="1"/>
    <col min="5" max="5" width="11.83203125" bestFit="1" customWidth="1"/>
    <col min="6" max="6" width="18.58203125" bestFit="1" customWidth="1"/>
    <col min="7" max="7" width="12.58203125" bestFit="1" customWidth="1"/>
    <col min="8" max="8" width="17.58203125" bestFit="1" customWidth="1"/>
    <col min="9" max="9" width="17.58203125" customWidth="1"/>
    <col min="10" max="10" width="11.75" bestFit="1" customWidth="1"/>
    <col min="11" max="11" width="12.5" bestFit="1" customWidth="1"/>
    <col min="12" max="12" width="15.58203125" bestFit="1" customWidth="1"/>
    <col min="13" max="13" width="12.33203125" bestFit="1" customWidth="1"/>
    <col min="14" max="14" width="26.5" bestFit="1" customWidth="1"/>
    <col min="15" max="15" width="25.08203125" bestFit="1" customWidth="1"/>
    <col min="16" max="16" width="13.25" bestFit="1" customWidth="1"/>
    <col min="17" max="17" width="12.58203125" bestFit="1" customWidth="1"/>
    <col min="18" max="18" width="28.5" bestFit="1" customWidth="1"/>
    <col min="19" max="19" width="19" bestFit="1" customWidth="1"/>
    <col min="20" max="20" width="16.5" bestFit="1" customWidth="1"/>
  </cols>
  <sheetData>
    <row r="1" spans="1:20" s="1" customFormat="1" x14ac:dyDescent="0.3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5">
        <f t="shared" ref="I3:I66" si="1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5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5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5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5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5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5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5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5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5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5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0.39997558519241921"/>
        <color theme="8" tint="0.39997558519241921"/>
      </colorScale>
    </cfRule>
  </conditionalFormatting>
  <conditionalFormatting sqref="G1:G1048576">
    <cfRule type="containsText" dxfId="11" priority="3" operator="containsText" text="canceled">
      <formula>NOT(ISERROR(SEARCH("canceled",G1)))</formula>
    </cfRule>
    <cfRule type="containsText" dxfId="10" priority="4" operator="containsText" text="live">
      <formula>NOT(ISERROR(SEARCH("live",G1)))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E4E9-0BC1-4472-B90B-91BDC4CD041D}">
  <dimension ref="A1:F14"/>
  <sheetViews>
    <sheetView workbookViewId="0"/>
  </sheetViews>
  <sheetFormatPr defaultRowHeight="15.5" x14ac:dyDescent="0.35"/>
  <cols>
    <col min="1" max="1" width="17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3" spans="1:6" x14ac:dyDescent="0.35">
      <c r="A3" s="6" t="s">
        <v>2068</v>
      </c>
      <c r="B3" s="6" t="s">
        <v>2067</v>
      </c>
    </row>
    <row r="4" spans="1:6" x14ac:dyDescent="0.3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5">
      <c r="A5" s="3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3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3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3" t="s">
        <v>2064</v>
      </c>
      <c r="E8">
        <v>4</v>
      </c>
      <c r="F8">
        <v>4</v>
      </c>
    </row>
    <row r="9" spans="1:6" x14ac:dyDescent="0.35">
      <c r="A9" s="3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3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3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3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3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3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7D13-4C5E-4235-8680-7C4BEB3C3B8A}">
  <dimension ref="A1:F30"/>
  <sheetViews>
    <sheetView zoomScaleNormal="100" workbookViewId="0"/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2" spans="1:6" x14ac:dyDescent="0.35">
      <c r="A2" s="6" t="s">
        <v>2031</v>
      </c>
      <c r="B2" t="s">
        <v>2069</v>
      </c>
    </row>
    <row r="4" spans="1:6" x14ac:dyDescent="0.35">
      <c r="A4" s="6" t="s">
        <v>2068</v>
      </c>
      <c r="B4" s="6" t="s">
        <v>2067</v>
      </c>
    </row>
    <row r="5" spans="1:6" x14ac:dyDescent="0.35">
      <c r="A5" s="6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5">
      <c r="A6" s="3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3" t="s">
        <v>2065</v>
      </c>
      <c r="E7">
        <v>4</v>
      </c>
      <c r="F7">
        <v>4</v>
      </c>
    </row>
    <row r="8" spans="1:6" x14ac:dyDescent="0.35">
      <c r="A8" s="3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3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3" t="s">
        <v>2043</v>
      </c>
      <c r="C10">
        <v>8</v>
      </c>
      <c r="E10">
        <v>10</v>
      </c>
      <c r="F10">
        <v>18</v>
      </c>
    </row>
    <row r="11" spans="1:6" x14ac:dyDescent="0.35">
      <c r="A11" s="3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3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3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3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3" t="s">
        <v>2057</v>
      </c>
      <c r="C15">
        <v>3</v>
      </c>
      <c r="E15">
        <v>4</v>
      </c>
      <c r="F15">
        <v>7</v>
      </c>
    </row>
    <row r="16" spans="1:6" x14ac:dyDescent="0.35">
      <c r="A16" s="3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3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3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3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3" t="s">
        <v>2056</v>
      </c>
      <c r="C20">
        <v>4</v>
      </c>
      <c r="E20">
        <v>4</v>
      </c>
      <c r="F20">
        <v>8</v>
      </c>
    </row>
    <row r="21" spans="1:6" x14ac:dyDescent="0.35">
      <c r="A21" s="3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3" t="s">
        <v>2063</v>
      </c>
      <c r="C22">
        <v>9</v>
      </c>
      <c r="E22">
        <v>5</v>
      </c>
      <c r="F22">
        <v>14</v>
      </c>
    </row>
    <row r="23" spans="1:6" x14ac:dyDescent="0.35">
      <c r="A23" s="3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3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3" t="s">
        <v>2059</v>
      </c>
      <c r="C25">
        <v>7</v>
      </c>
      <c r="E25">
        <v>14</v>
      </c>
      <c r="F25">
        <v>21</v>
      </c>
    </row>
    <row r="26" spans="1:6" x14ac:dyDescent="0.35">
      <c r="A26" s="3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3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3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3" t="s">
        <v>2062</v>
      </c>
      <c r="E29">
        <v>3</v>
      </c>
      <c r="F29">
        <v>3</v>
      </c>
    </row>
    <row r="30" spans="1:6" x14ac:dyDescent="0.35">
      <c r="A30" s="3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BC34-5309-4F43-B9BA-263DCF17D443}">
  <dimension ref="A2:E19"/>
  <sheetViews>
    <sheetView zoomScaleNormal="100" workbookViewId="0">
      <selection activeCell="A6" sqref="A6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2" spans="1:5" x14ac:dyDescent="0.35">
      <c r="A2" s="6" t="s">
        <v>2031</v>
      </c>
      <c r="B2" t="s">
        <v>2069</v>
      </c>
    </row>
    <row r="3" spans="1:5" x14ac:dyDescent="0.35">
      <c r="A3" s="6" t="s">
        <v>2085</v>
      </c>
      <c r="B3" t="s">
        <v>2069</v>
      </c>
    </row>
    <row r="5" spans="1:5" x14ac:dyDescent="0.35">
      <c r="A5" s="6" t="s">
        <v>2068</v>
      </c>
      <c r="B5" s="6" t="s">
        <v>2067</v>
      </c>
    </row>
    <row r="6" spans="1:5" x14ac:dyDescent="0.35">
      <c r="A6" s="6" t="s">
        <v>2086</v>
      </c>
      <c r="B6" t="s">
        <v>74</v>
      </c>
      <c r="C6" t="s">
        <v>14</v>
      </c>
      <c r="D6" t="s">
        <v>20</v>
      </c>
      <c r="E6" t="s">
        <v>2066</v>
      </c>
    </row>
    <row r="7" spans="1:5" x14ac:dyDescent="0.35">
      <c r="A7" s="3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3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3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3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3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3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3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3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3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3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3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3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3" t="s">
        <v>2066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8DAB-8589-495F-BE5C-9703FB4C6121}">
  <dimension ref="A1:J566"/>
  <sheetViews>
    <sheetView workbookViewId="0">
      <pane ySplit="1" topLeftCell="A2" activePane="bottomLeft" state="frozen"/>
      <selection pane="bottomLeft" activeCell="H7" sqref="H7"/>
    </sheetView>
  </sheetViews>
  <sheetFormatPr defaultRowHeight="15.5" x14ac:dyDescent="0.35"/>
  <cols>
    <col min="2" max="2" width="12.83203125" bestFit="1" customWidth="1"/>
    <col min="5" max="5" width="13.5" bestFit="1" customWidth="1"/>
    <col min="8" max="8" width="29.5" bestFit="1" customWidth="1"/>
    <col min="9" max="9" width="21.25" bestFit="1" customWidth="1"/>
    <col min="10" max="10" width="17.5" bestFit="1" customWidth="1"/>
  </cols>
  <sheetData>
    <row r="1" spans="1:10" x14ac:dyDescent="0.35">
      <c r="A1" s="1" t="s">
        <v>4</v>
      </c>
      <c r="B1" s="1" t="s">
        <v>5</v>
      </c>
      <c r="D1" s="1" t="s">
        <v>4</v>
      </c>
      <c r="E1" s="1" t="s">
        <v>5</v>
      </c>
      <c r="H1" t="s">
        <v>2107</v>
      </c>
      <c r="I1" t="s">
        <v>2108</v>
      </c>
      <c r="J1" t="s">
        <v>2109</v>
      </c>
    </row>
    <row r="2" spans="1:10" x14ac:dyDescent="0.35">
      <c r="A2" t="s">
        <v>20</v>
      </c>
      <c r="B2">
        <v>158</v>
      </c>
      <c r="D2" t="s">
        <v>14</v>
      </c>
      <c r="E2">
        <v>0</v>
      </c>
      <c r="H2" t="s">
        <v>2110</v>
      </c>
      <c r="I2">
        <f>AVERAGE(success)</f>
        <v>851.14690265486729</v>
      </c>
      <c r="J2">
        <f>AVERAGE(fails)</f>
        <v>585.61538461538464</v>
      </c>
    </row>
    <row r="3" spans="1:10" x14ac:dyDescent="0.35">
      <c r="A3" t="s">
        <v>20</v>
      </c>
      <c r="B3">
        <v>1425</v>
      </c>
      <c r="D3" t="s">
        <v>14</v>
      </c>
      <c r="E3">
        <v>24</v>
      </c>
      <c r="H3" t="s">
        <v>2111</v>
      </c>
      <c r="I3">
        <f>MEDIAN(success)</f>
        <v>201</v>
      </c>
      <c r="J3">
        <f>MEDIAN(fails)</f>
        <v>114.5</v>
      </c>
    </row>
    <row r="4" spans="1:10" x14ac:dyDescent="0.35">
      <c r="A4" t="s">
        <v>20</v>
      </c>
      <c r="B4">
        <v>174</v>
      </c>
      <c r="D4" t="s">
        <v>14</v>
      </c>
      <c r="E4">
        <v>53</v>
      </c>
      <c r="H4" t="s">
        <v>2113</v>
      </c>
      <c r="I4">
        <f>MIN(success)</f>
        <v>16</v>
      </c>
      <c r="J4">
        <f>MIN(fails)</f>
        <v>0</v>
      </c>
    </row>
    <row r="5" spans="1:10" x14ac:dyDescent="0.35">
      <c r="A5" t="s">
        <v>20</v>
      </c>
      <c r="B5">
        <v>227</v>
      </c>
      <c r="D5" t="s">
        <v>14</v>
      </c>
      <c r="E5">
        <v>18</v>
      </c>
      <c r="H5" t="s">
        <v>2112</v>
      </c>
      <c r="I5">
        <f>MAX(success)</f>
        <v>7295</v>
      </c>
      <c r="J5">
        <f>MAX(fails)</f>
        <v>6080</v>
      </c>
    </row>
    <row r="6" spans="1:10" x14ac:dyDescent="0.35">
      <c r="A6" t="s">
        <v>20</v>
      </c>
      <c r="B6">
        <v>220</v>
      </c>
      <c r="D6" t="s">
        <v>14</v>
      </c>
      <c r="E6">
        <v>44</v>
      </c>
      <c r="H6" t="s">
        <v>2114</v>
      </c>
      <c r="I6">
        <f>_xlfn.VAR.S(success)</f>
        <v>1606216.5936295739</v>
      </c>
      <c r="J6">
        <f>_xlfn.VAR.S(fails)</f>
        <v>924113.45496927318</v>
      </c>
    </row>
    <row r="7" spans="1:10" x14ac:dyDescent="0.35">
      <c r="A7" t="s">
        <v>20</v>
      </c>
      <c r="B7">
        <v>98</v>
      </c>
      <c r="D7" t="s">
        <v>14</v>
      </c>
      <c r="E7">
        <v>27</v>
      </c>
      <c r="H7" t="s">
        <v>2115</v>
      </c>
      <c r="I7">
        <f>_xlfn.STDEV.S(success)</f>
        <v>1267.366006183523</v>
      </c>
      <c r="J7">
        <f>_xlfn.STDEV.S(fails)</f>
        <v>961.30819978260524</v>
      </c>
    </row>
    <row r="8" spans="1:10" x14ac:dyDescent="0.35">
      <c r="A8" t="s">
        <v>20</v>
      </c>
      <c r="B8">
        <v>100</v>
      </c>
      <c r="D8" t="s">
        <v>14</v>
      </c>
      <c r="E8">
        <v>55</v>
      </c>
    </row>
    <row r="9" spans="1:10" x14ac:dyDescent="0.35">
      <c r="A9" t="s">
        <v>20</v>
      </c>
      <c r="B9">
        <v>1249</v>
      </c>
      <c r="D9" t="s">
        <v>14</v>
      </c>
      <c r="E9">
        <v>200</v>
      </c>
    </row>
    <row r="10" spans="1:10" x14ac:dyDescent="0.35">
      <c r="A10" t="s">
        <v>20</v>
      </c>
      <c r="B10">
        <v>1396</v>
      </c>
      <c r="D10" t="s">
        <v>14</v>
      </c>
      <c r="E10">
        <v>452</v>
      </c>
    </row>
    <row r="11" spans="1:10" x14ac:dyDescent="0.35">
      <c r="A11" t="s">
        <v>20</v>
      </c>
      <c r="B11">
        <v>890</v>
      </c>
      <c r="D11" t="s">
        <v>14</v>
      </c>
      <c r="E11">
        <v>674</v>
      </c>
    </row>
    <row r="12" spans="1:10" x14ac:dyDescent="0.35">
      <c r="A12" t="s">
        <v>20</v>
      </c>
      <c r="B12">
        <v>142</v>
      </c>
      <c r="D12" t="s">
        <v>14</v>
      </c>
      <c r="E12">
        <v>558</v>
      </c>
    </row>
    <row r="13" spans="1:10" x14ac:dyDescent="0.35">
      <c r="A13" t="s">
        <v>20</v>
      </c>
      <c r="B13">
        <v>2673</v>
      </c>
      <c r="D13" t="s">
        <v>14</v>
      </c>
      <c r="E13">
        <v>15</v>
      </c>
    </row>
    <row r="14" spans="1:10" x14ac:dyDescent="0.35">
      <c r="A14" t="s">
        <v>20</v>
      </c>
      <c r="B14">
        <v>163</v>
      </c>
      <c r="D14" t="s">
        <v>14</v>
      </c>
      <c r="E14">
        <v>2307</v>
      </c>
    </row>
    <row r="15" spans="1:10" x14ac:dyDescent="0.35">
      <c r="A15" t="s">
        <v>20</v>
      </c>
      <c r="B15">
        <v>2220</v>
      </c>
      <c r="D15" t="s">
        <v>14</v>
      </c>
      <c r="E15">
        <v>88</v>
      </c>
    </row>
    <row r="16" spans="1:10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91F-FA45-4673-9D4B-9EEF97EC9983}">
  <dimension ref="A1:H13"/>
  <sheetViews>
    <sheetView workbookViewId="0">
      <pane ySplit="1" topLeftCell="A2" activePane="bottomLeft" state="frozen"/>
      <selection pane="bottomLeft"/>
    </sheetView>
  </sheetViews>
  <sheetFormatPr defaultRowHeight="15.5" x14ac:dyDescent="0.35"/>
  <cols>
    <col min="1" max="1" width="23.75" bestFit="1" customWidth="1"/>
    <col min="2" max="2" width="18.4140625" bestFit="1" customWidth="1"/>
    <col min="3" max="3" width="15.08203125" bestFit="1" customWidth="1"/>
    <col min="4" max="4" width="17.6640625" bestFit="1" customWidth="1"/>
    <col min="5" max="5" width="14" bestFit="1" customWidth="1"/>
    <col min="6" max="6" width="20.9140625" bestFit="1" customWidth="1"/>
    <col min="7" max="7" width="17.5" bestFit="1" customWidth="1"/>
    <col min="8" max="8" width="20.1640625" bestFit="1" customWidth="1"/>
  </cols>
  <sheetData>
    <row r="1" spans="1:8" x14ac:dyDescent="0.35">
      <c r="A1" t="s">
        <v>2099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</row>
    <row r="2" spans="1:8" x14ac:dyDescent="0.35">
      <c r="A2" s="8" t="s">
        <v>2087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9">
        <f>B2/$E2</f>
        <v>0.58823529411764708</v>
      </c>
      <c r="G2" s="9">
        <f t="shared" ref="G2:H2" si="0">C2/$E2</f>
        <v>0.39215686274509803</v>
      </c>
      <c r="H2" s="9">
        <f t="shared" si="0"/>
        <v>1.9607843137254902E-2</v>
      </c>
    </row>
    <row r="3" spans="1:8" x14ac:dyDescent="0.35">
      <c r="A3" s="8" t="s">
        <v>2088</v>
      </c>
      <c r="B3">
        <f>COUNTIFS(goal,"&gt;=1000",goal,"&lt;5000",outcome,"Successful")</f>
        <v>191</v>
      </c>
      <c r="C3">
        <f>COUNTIFS(goal,"&gt;=1000",goal,"&lt;5000",outcome,"failed")</f>
        <v>38</v>
      </c>
      <c r="D3">
        <f>COUNTIFS(goal,"&gt;=1000",goal,"&lt;5000",outcome,"canceled")</f>
        <v>2</v>
      </c>
      <c r="E3">
        <f t="shared" ref="E3:E13" si="1">SUM(B3:D3)</f>
        <v>231</v>
      </c>
      <c r="F3" s="9">
        <f t="shared" ref="F3:F13" si="2">B3/$E3</f>
        <v>0.82683982683982682</v>
      </c>
      <c r="G3" s="9">
        <f t="shared" ref="G3:G13" si="3">C3/$E3</f>
        <v>0.16450216450216451</v>
      </c>
      <c r="H3" s="9">
        <f t="shared" ref="H3:H13" si="4">D3/$E3</f>
        <v>8.658008658008658E-3</v>
      </c>
    </row>
    <row r="4" spans="1:8" x14ac:dyDescent="0.35">
      <c r="A4" s="8" t="s">
        <v>2089</v>
      </c>
      <c r="B4">
        <f>COUNTIFS(goal,"&gt;=5000",goal,"&lt;10000",outcome,"Successful")</f>
        <v>164</v>
      </c>
      <c r="C4">
        <f>COUNTIFS(goal,"&gt;=5000",goal,"&lt;10000",outcome,"failed")</f>
        <v>126</v>
      </c>
      <c r="D4">
        <f>COUNTIFS(goal,"&gt;=5000",goal,"&lt;10000",outcome,"canceled")</f>
        <v>25</v>
      </c>
      <c r="E4">
        <f t="shared" si="1"/>
        <v>315</v>
      </c>
      <c r="F4" s="9">
        <f t="shared" si="2"/>
        <v>0.52063492063492067</v>
      </c>
      <c r="G4" s="9">
        <f t="shared" si="3"/>
        <v>0.4</v>
      </c>
      <c r="H4" s="9">
        <f t="shared" si="4"/>
        <v>7.9365079365079361E-2</v>
      </c>
    </row>
    <row r="5" spans="1:8" x14ac:dyDescent="0.35">
      <c r="A5" s="8" t="s">
        <v>2090</v>
      </c>
      <c r="B5">
        <f>COUNTIFS(goal,"&gt;=10000",goal,"&lt;15000",outcome,"Successful")</f>
        <v>4</v>
      </c>
      <c r="C5">
        <f>COUNTIFS(goal,"&gt;=10000",goal,"&lt;15000",outcome,"failed")</f>
        <v>5</v>
      </c>
      <c r="D5">
        <f>COUNTIFS(goal,"&gt;=10000",goal,"&lt;15000",outcome,"canceled")</f>
        <v>0</v>
      </c>
      <c r="E5">
        <f t="shared" si="1"/>
        <v>9</v>
      </c>
      <c r="F5" s="9">
        <f t="shared" si="2"/>
        <v>0.44444444444444442</v>
      </c>
      <c r="G5" s="9">
        <f t="shared" si="3"/>
        <v>0.55555555555555558</v>
      </c>
      <c r="H5" s="9">
        <f t="shared" si="4"/>
        <v>0</v>
      </c>
    </row>
    <row r="6" spans="1:8" x14ac:dyDescent="0.35">
      <c r="A6" s="8" t="s">
        <v>2091</v>
      </c>
      <c r="B6">
        <f>COUNTIFS(goal,"&gt;=15000",goal,"&lt;20000",outcome,"Successful")</f>
        <v>10</v>
      </c>
      <c r="C6">
        <f>COUNTIFS(goal,"&gt;=15000",goal,"&lt;20000",outcome,"failed")</f>
        <v>0</v>
      </c>
      <c r="D6">
        <f>COUNTIFS(goal,"&gt;=15000",goal,"&lt;20000",outcome,"canceled")</f>
        <v>0</v>
      </c>
      <c r="E6">
        <f t="shared" si="1"/>
        <v>10</v>
      </c>
      <c r="F6" s="9">
        <f t="shared" si="2"/>
        <v>1</v>
      </c>
      <c r="G6" s="9">
        <f t="shared" si="3"/>
        <v>0</v>
      </c>
      <c r="H6" s="9">
        <f t="shared" si="4"/>
        <v>0</v>
      </c>
    </row>
    <row r="7" spans="1:8" x14ac:dyDescent="0.35">
      <c r="A7" s="8" t="s">
        <v>2092</v>
      </c>
      <c r="B7">
        <f>COUNTIFS(goal,"&gt;=20000",goal,"&lt;25000",outcome,"Successful")</f>
        <v>7</v>
      </c>
      <c r="C7">
        <f>COUNTIFS(goal,"&gt;=20000",goal,"&lt;25000",outcome,"failed")</f>
        <v>0</v>
      </c>
      <c r="D7">
        <f>COUNTIFS(goal,"&gt;=20000",goal,"&lt;25000",outcome,"canceled")</f>
        <v>0</v>
      </c>
      <c r="E7">
        <f t="shared" si="1"/>
        <v>7</v>
      </c>
      <c r="F7" s="9">
        <f t="shared" si="2"/>
        <v>1</v>
      </c>
      <c r="G7" s="9">
        <f t="shared" si="3"/>
        <v>0</v>
      </c>
      <c r="H7" s="9">
        <f t="shared" si="4"/>
        <v>0</v>
      </c>
    </row>
    <row r="8" spans="1:8" x14ac:dyDescent="0.35">
      <c r="A8" s="8" t="s">
        <v>2093</v>
      </c>
      <c r="B8">
        <f>COUNTIFS(goal,"&gt;=25000",goal,"&lt;30000",outcome,"Successful")</f>
        <v>11</v>
      </c>
      <c r="C8">
        <f>COUNTIFS(goal,"&gt;=25000",goal,"&lt;30000",outcome,"failed")</f>
        <v>3</v>
      </c>
      <c r="D8">
        <f>COUNTIFS(goal,"&gt;=25000",goal,"&lt;30000",outcome,"canceled")</f>
        <v>0</v>
      </c>
      <c r="E8">
        <f t="shared" si="1"/>
        <v>14</v>
      </c>
      <c r="F8" s="9">
        <f t="shared" si="2"/>
        <v>0.7857142857142857</v>
      </c>
      <c r="G8" s="9">
        <f t="shared" si="3"/>
        <v>0.21428571428571427</v>
      </c>
      <c r="H8" s="9">
        <f t="shared" si="4"/>
        <v>0</v>
      </c>
    </row>
    <row r="9" spans="1:8" x14ac:dyDescent="0.35">
      <c r="A9" s="8" t="s">
        <v>2094</v>
      </c>
      <c r="B9">
        <f>COUNTIFS(goal,"&gt;=30000",goal,"&lt;35000",outcome,"Successful")</f>
        <v>7</v>
      </c>
      <c r="C9">
        <f>COUNTIFS(goal,"&gt;=30000",goal,"&lt;35000",outcome,"failed")</f>
        <v>0</v>
      </c>
      <c r="D9">
        <f>COUNTIFS(goal,"&gt;=30000",goal,"&lt;35000",outcome,"canceled")</f>
        <v>0</v>
      </c>
      <c r="E9">
        <f t="shared" si="1"/>
        <v>7</v>
      </c>
      <c r="F9" s="9">
        <f t="shared" si="2"/>
        <v>1</v>
      </c>
      <c r="G9" s="9">
        <f t="shared" si="3"/>
        <v>0</v>
      </c>
      <c r="H9" s="9">
        <f t="shared" si="4"/>
        <v>0</v>
      </c>
    </row>
    <row r="10" spans="1:8" x14ac:dyDescent="0.35">
      <c r="A10" s="8" t="s">
        <v>2095</v>
      </c>
      <c r="B10">
        <f>COUNTIFS(goal,"&gt;=35000",goal,"&lt;40000",outcome,"Successful")</f>
        <v>8</v>
      </c>
      <c r="C10">
        <f>COUNTIFS(goal,"&gt;=35000",goal,"&lt;40000",outcome,"failed")</f>
        <v>3</v>
      </c>
      <c r="D10">
        <f>COUNTIFS(goal,"&gt;=35000",goal,"&lt;40000",outcome,"canceled")</f>
        <v>1</v>
      </c>
      <c r="E10">
        <f t="shared" si="1"/>
        <v>12</v>
      </c>
      <c r="F10" s="9">
        <f t="shared" si="2"/>
        <v>0.66666666666666663</v>
      </c>
      <c r="G10" s="9">
        <f t="shared" si="3"/>
        <v>0.25</v>
      </c>
      <c r="H10" s="9">
        <f t="shared" si="4"/>
        <v>8.3333333333333329E-2</v>
      </c>
    </row>
    <row r="11" spans="1:8" x14ac:dyDescent="0.35">
      <c r="A11" s="8" t="s">
        <v>2096</v>
      </c>
      <c r="B11">
        <f>COUNTIFS(goal,"&gt;=40000",goal,"&lt;45000",outcome,"Successful")</f>
        <v>11</v>
      </c>
      <c r="C11">
        <f>COUNTIFS(goal,"&gt;=40000",goal,"&lt;45000",outcome,"failed")</f>
        <v>3</v>
      </c>
      <c r="D11">
        <f>COUNTIFS(goal,"&gt;=40000",goal,"&lt;45000",outcome,"canceled")</f>
        <v>0</v>
      </c>
      <c r="E11">
        <f t="shared" si="1"/>
        <v>14</v>
      </c>
      <c r="F11" s="9">
        <f t="shared" si="2"/>
        <v>0.7857142857142857</v>
      </c>
      <c r="G11" s="9">
        <f t="shared" si="3"/>
        <v>0.21428571428571427</v>
      </c>
      <c r="H11" s="9">
        <f t="shared" si="4"/>
        <v>0</v>
      </c>
    </row>
    <row r="12" spans="1:8" x14ac:dyDescent="0.35">
      <c r="A12" s="8" t="s">
        <v>2097</v>
      </c>
      <c r="B12">
        <f>COUNTIFS(goal,"&gt;=45000",goal,"&lt;50000",outcome,"Successful")</f>
        <v>8</v>
      </c>
      <c r="C12">
        <f>COUNTIFS(goal,"&gt;=45000",goal,"&lt;50000",outcome,"failed")</f>
        <v>3</v>
      </c>
      <c r="D12">
        <f>COUNTIFS(goal,"&gt;=45000",goal,"&lt;50000",outcome,"canceled")</f>
        <v>0</v>
      </c>
      <c r="E12">
        <f t="shared" si="1"/>
        <v>11</v>
      </c>
      <c r="F12" s="9">
        <f t="shared" si="2"/>
        <v>0.72727272727272729</v>
      </c>
      <c r="G12" s="9">
        <f t="shared" si="3"/>
        <v>0.27272727272727271</v>
      </c>
      <c r="H12" s="9">
        <f t="shared" si="4"/>
        <v>0</v>
      </c>
    </row>
    <row r="13" spans="1:8" x14ac:dyDescent="0.35">
      <c r="A13" s="8" t="s">
        <v>2098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1"/>
        <v>305</v>
      </c>
      <c r="F13" s="9">
        <f t="shared" si="2"/>
        <v>0.3737704918032787</v>
      </c>
      <c r="G13" s="9">
        <f t="shared" si="3"/>
        <v>0.53442622950819674</v>
      </c>
      <c r="H13" s="9">
        <f t="shared" si="4"/>
        <v>9.1803278688524587E-2</v>
      </c>
    </row>
  </sheetData>
  <autoFilter ref="A1:H13" xr:uid="{BBAC891F-FA45-4673-9D4B-9EEF97EC9983}"/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C396-72B9-41C1-826D-705250B452A7}">
  <dimension ref="A1"/>
  <sheetViews>
    <sheetView showGridLines="0" workbookViewId="0">
      <selection activeCell="AB19" sqref="AB19"/>
    </sheetView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Crowdfunding</vt:lpstr>
      <vt:lpstr>Parent Category Pivot</vt:lpstr>
      <vt:lpstr>Sub Category Pivot</vt:lpstr>
      <vt:lpstr>Date Created Pivot</vt:lpstr>
      <vt:lpstr>Statistical Analysis</vt:lpstr>
      <vt:lpstr>Crowdfunding Goal Analysis</vt:lpstr>
      <vt:lpstr>Written Report &amp; Stat Analysis</vt:lpstr>
      <vt:lpstr>fails</vt:lpstr>
      <vt:lpstr>goal</vt:lpstr>
      <vt:lpstr>outcome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Evan Mucciolo</cp:lastModifiedBy>
  <dcterms:created xsi:type="dcterms:W3CDTF">2021-09-29T18:52:28Z</dcterms:created>
  <dcterms:modified xsi:type="dcterms:W3CDTF">2023-11-01T23:11:04Z</dcterms:modified>
</cp:coreProperties>
</file>