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6. TOTAL. Inhibidores de Incr/"/>
    </mc:Choice>
  </mc:AlternateContent>
  <xr:revisionPtr revIDLastSave="172" documentId="11_53D053E60DAC1A16630E8B5AAF659CA5C0469EB7" xr6:coauthVersionLast="47" xr6:coauthVersionMax="47" xr10:uidLastSave="{7E46590A-E55C-4D22-A2BE-024EBAE56971}"/>
  <bookViews>
    <workbookView xWindow="-120" yWindow="-120" windowWidth="24240" windowHeight="13140" activeTab="1" xr2:uid="{00000000-000D-0000-FFFF-FFFF00000000}"/>
  </bookViews>
  <sheets>
    <sheet name="Hoja1" sheetId="15" r:id="rId1"/>
    <sheet name="Planilla de Cotizacion" sheetId="14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4" l="1"/>
  <c r="I6" i="14"/>
  <c r="I4" i="14"/>
  <c r="E5" i="14"/>
  <c r="E6" i="14" s="1"/>
  <c r="N5" i="15"/>
  <c r="N4" i="15"/>
  <c r="N3" i="15"/>
  <c r="N6" i="15" s="1"/>
  <c r="C5" i="14"/>
  <c r="C6" i="14" s="1"/>
  <c r="F4" i="14"/>
  <c r="F5" i="14" s="1"/>
  <c r="F6" i="14" s="1"/>
  <c r="D5" i="14"/>
  <c r="G5" i="14" l="1"/>
  <c r="D6" i="14"/>
  <c r="G6" i="14" s="1"/>
  <c r="G4" i="14"/>
  <c r="J4" i="14" s="1"/>
  <c r="V4" i="14"/>
  <c r="L6" i="14" l="1"/>
  <c r="L5" i="14"/>
  <c r="M4" i="14"/>
  <c r="L4" i="14"/>
  <c r="O4" i="14" l="1"/>
  <c r="P4" i="14" s="1"/>
  <c r="M17" i="13"/>
  <c r="L7" i="13"/>
  <c r="Q4" i="14" l="1"/>
  <c r="R4" i="14" s="1"/>
  <c r="J6" i="7"/>
  <c r="S4" i="14" l="1"/>
  <c r="T4" i="14" s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M6" i="14"/>
  <c r="O6" i="14" s="1"/>
  <c r="P6" i="14" s="1"/>
  <c r="J6" i="14" s="1"/>
  <c r="M5" i="14"/>
  <c r="O5" i="14" s="1"/>
  <c r="P5" i="14" s="1"/>
  <c r="J5" i="14" s="1"/>
  <c r="Q5" i="14" l="1"/>
  <c r="S5" i="14" l="1"/>
  <c r="T5" i="14" s="1"/>
  <c r="R5" i="14"/>
</calcChain>
</file>

<file path=xl/sharedStrings.xml><?xml version="1.0" encoding="utf-8"?>
<sst xmlns="http://schemas.openxmlformats.org/spreadsheetml/2006/main" count="253" uniqueCount="122">
  <si>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</si>
  <si>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</si>
  <si>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</si>
  <si>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</si>
  <si>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</si>
  <si>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</si>
  <si>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</si>
  <si>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</si>
  <si>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</si>
  <si>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</si>
  <si>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</si>
  <si>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</si>
  <si>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</si>
  <si>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</si>
  <si>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</si>
  <si>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</si>
  <si>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</si>
  <si>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</si>
  <si>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</si>
  <si>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</si>
  <si>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</si>
  <si>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</si>
  <si>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</si>
  <si>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</si>
  <si>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</si>
  <si>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</si>
  <si>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</si>
  <si>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</si>
  <si>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</si>
  <si>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</si>
  <si>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</si>
  <si>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</si>
  <si>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</si>
  <si>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</si>
  <si>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</si>
  <si>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</si>
  <si>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</si>
  <si>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</si>
  <si>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</si>
  <si>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</si>
  <si>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</si>
  <si>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</si>
  <si>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</si>
  <si>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</si>
  <si>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</si>
  <si>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</si>
  <si>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</si>
  <si>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</si>
  <si>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</si>
  <si>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</si>
  <si>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</si>
  <si>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</si>
  <si>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</si>
  <si>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</si>
  <si>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</si>
  <si>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</si>
  <si>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</si>
  <si>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</si>
  <si>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</si>
  <si>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</si>
  <si>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</si>
  <si>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</si>
  <si>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</si>
  <si>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</si>
  <si>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</si>
  <si>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</si>
  <si>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</si>
  <si>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</si>
  <si>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</si>
  <si>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</si>
  <si>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</si>
  <si>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</si>
  <si>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</si>
  <si>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</si>
  <si>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</si>
  <si>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</si>
  <si>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</si>
  <si>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</si>
  <si>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</si>
  <si>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</si>
  <si>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</si>
  <si>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</si>
  <si>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</si>
  <si>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</si>
  <si>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Referencias</t>
  </si>
  <si>
    <t>CR con flete  [USD/lt]</t>
  </si>
  <si>
    <t>Costo Rep [USD/lt] ago-23</t>
  </si>
  <si>
    <t>Descripción</t>
  </si>
  <si>
    <t>Total abr-24</t>
  </si>
  <si>
    <t>IC</t>
  </si>
  <si>
    <t>IC7058</t>
  </si>
  <si>
    <t xml:space="preserve">INFORMACIÓN TOTAL </t>
  </si>
  <si>
    <t xml:space="preserve">Nro. </t>
  </si>
  <si>
    <t xml:space="preserve">Referencia TOTAL </t>
  </si>
  <si>
    <t>Purchase Requisition</t>
  </si>
  <si>
    <t>Item of requisition</t>
  </si>
  <si>
    <t>Planta</t>
  </si>
  <si>
    <t>Material</t>
  </si>
  <si>
    <t>Short Text</t>
  </si>
  <si>
    <t>Descripción larga</t>
  </si>
  <si>
    <t>Manufactura</t>
  </si>
  <si>
    <t>Nro. Parte</t>
  </si>
  <si>
    <t>Unid</t>
  </si>
  <si>
    <t>Quantity requested</t>
  </si>
  <si>
    <t>Monto Unitario 
USD</t>
  </si>
  <si>
    <t>Monto Total 
USD</t>
  </si>
  <si>
    <t xml:space="preserve">Desvios / Alternativa </t>
  </si>
  <si>
    <t xml:space="preserve">Plazo de Entrega </t>
  </si>
  <si>
    <t>0182_M_30042024</t>
  </si>
  <si>
    <t>Rincon la Ceniza</t>
  </si>
  <si>
    <t>ANTISCALE,INHIBITOR,IC-7058,IBC,1000L</t>
  </si>
  <si>
    <t xml:space="preserve">"INHIBIDOR DE INCRUSTACIONES IC-7058 CNR x 1000 LTS
Características obligatorias de los envases:
1. Preparado para colocar precintos tanto en la válvula de fondo como en
la tapa de la boca superior.
2. Válvula de fondo de 1 ½” hembra y tapón.
3. Apilable en cantidad 2 unidades.
4. Venteo con válvula de seguridad (apto para transporte y
almacenamiento)
5. Canasto totalmente metálico, sin partes de madera o aluminio.
6. Posibilidad de que sea movilizado con auto-elevador  por cualquiera
de sus cuatro caras.
Características complementarias no obligatorias:
1. Piso con declive hacia el drenaje lo que posibilita el correcto
vaciado.
2. Escala graduada, que permite la visualización del volumen contenido.
3. Boca de carga con tapa a rosca.
4. Izable por eslingas de su parte superior"
</t>
  </si>
  <si>
    <t>BOLLAND</t>
  </si>
  <si>
    <t>IC-7058</t>
  </si>
  <si>
    <t>PAL</t>
  </si>
  <si>
    <t>San Roque</t>
  </si>
  <si>
    <t>Aguada Pichana</t>
  </si>
  <si>
    <t xml:space="preserve">TOTAL </t>
  </si>
  <si>
    <t>Total-May-24</t>
  </si>
  <si>
    <t>Total-May-25</t>
  </si>
  <si>
    <t>Total-May-26</t>
  </si>
  <si>
    <t>K 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</si>
</sst>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4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9" borderId="22" xfId="13" applyNumberFormat="1" applyFon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168" fontId="4" fillId="9" borderId="22" xfId="0" applyNumberFormat="1" applyFont="1" applyFill="1" applyBorder="1" applyAlignment="1">
      <alignment horizontal="center" vertical="center"/>
    </xf>
    <xf numFmtId="168" fontId="0" fillId="9" borderId="22" xfId="0" applyNumberFormat="1" applyFill="1" applyBorder="1" applyAlignment="1">
      <alignment horizontal="center" vertical="center"/>
    </xf>
    <xf numFmtId="169" fontId="4" fillId="11" borderId="22" xfId="13" applyNumberFormat="1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49" fontId="16" fillId="14" borderId="31" xfId="17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16" borderId="1" xfId="17" applyFont="1" applyFill="1" applyBorder="1" applyAlignment="1">
      <alignment horizontal="center" vertical="center" wrapText="1"/>
    </xf>
    <xf numFmtId="49" fontId="18" fillId="16" borderId="1" xfId="17" applyNumberFormat="1" applyFont="1" applyFill="1" applyBorder="1" applyAlignment="1">
      <alignment horizontal="center" vertical="center" wrapText="1"/>
    </xf>
    <xf numFmtId="49" fontId="18" fillId="16" borderId="1" xfId="18" applyNumberFormat="1" applyFont="1" applyFill="1" applyBorder="1" applyAlignment="1">
      <alignment horizontal="center" vertical="center" wrapText="1"/>
    </xf>
    <xf numFmtId="49" fontId="18" fillId="16" borderId="1" xfId="17" applyNumberFormat="1" applyFont="1" applyFill="1" applyBorder="1" applyAlignment="1">
      <alignment vertical="center" wrapText="1"/>
    </xf>
    <xf numFmtId="0" fontId="19" fillId="16" borderId="1" xfId="17" applyFont="1" applyFill="1" applyBorder="1" applyAlignment="1">
      <alignment vertical="center" wrapText="1"/>
    </xf>
    <xf numFmtId="0" fontId="19" fillId="16" borderId="1" xfId="17" applyFont="1" applyFill="1" applyBorder="1" applyAlignment="1">
      <alignment horizontal="center" vertical="center" wrapText="1"/>
    </xf>
    <xf numFmtId="43" fontId="20" fillId="6" borderId="1" xfId="19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17" fillId="17" borderId="1" xfId="19" applyFont="1" applyFill="1" applyBorder="1" applyAlignment="1">
      <alignment horizontal="center" vertical="center"/>
    </xf>
    <xf numFmtId="2" fontId="4" fillId="8" borderId="22" xfId="0" applyNumberFormat="1" applyFont="1" applyFill="1" applyBorder="1" applyAlignment="1">
      <alignment horizontal="center" vertical="center"/>
    </xf>
  </cellXfs>
  <cellStyles count="20">
    <cellStyle name="Millares" xfId="16" builtinId="3"/>
    <cellStyle name="Millares 2" xfId="11" xr:uid="{00000000-0005-0000-0000-000001000000}"/>
    <cellStyle name="Millares 3" xfId="19" xr:uid="{C3EE45A5-9DB8-407C-90A9-05A4DFD8A24A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" xfId="17" xr:uid="{F1243269-DB59-4765-BED0-D6DB39811C5C}"/>
    <cellStyle name="Normal 4 5" xfId="9" xr:uid="{00000000-0005-0000-0000-00000D000000}"/>
    <cellStyle name="Normal 5" xfId="18" xr:uid="{0D869627-608F-4206-A784-A89B93A176CD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392906</xdr:colOff>
      <xdr:row>13</xdr:row>
      <xdr:rowOff>47625</xdr:rowOff>
    </xdr:from>
    <xdr:to>
      <xdr:col>10</xdr:col>
      <xdr:colOff>502835</xdr:colOff>
      <xdr:row>20</xdr:row>
      <xdr:rowOff>143074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E02360-0E36-5F0D-70A3-9DFB719F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714875"/>
          <a:ext cx="2800741" cy="142894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12</xdr:row>
      <xdr:rowOff>142874</xdr:rowOff>
    </xdr:from>
    <xdr:to>
      <xdr:col>20</xdr:col>
      <xdr:colOff>236150</xdr:colOff>
      <xdr:row>22</xdr:row>
      <xdr:rowOff>162193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051E1C-6BC4-A1C2-9F69-59A0CC9A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1156" y="4619624"/>
          <a:ext cx="2915057" cy="1924319"/>
        </a:xfrm>
        <a:prstGeom prst="rect">
          <a:avLst/>
        </a:prstGeom>
      </xdr:spPr>
    </xdr:pic>
    <xdr:clientData/>
  </xdr:twoCellAnchor>
  <xdr:twoCellAnchor editAs="oneCell">
    <xdr:from>
      <xdr:col>0</xdr:col>
      <xdr:colOff>416720</xdr:colOff>
      <xdr:row>12</xdr:row>
      <xdr:rowOff>71438</xdr:rowOff>
    </xdr:from>
    <xdr:to>
      <xdr:col>5</xdr:col>
      <xdr:colOff>757993</xdr:colOff>
      <xdr:row>21</xdr:row>
      <xdr:rowOff>4993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C333BA-B344-709F-3AFA-E1F20CCFA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20" y="4548188"/>
          <a:ext cx="5401429" cy="1648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3617-642B-4780-93BC-9288D1ADF3D6}">
  <dimension ref="A1:P6"/>
  <sheetViews>
    <sheetView showGridLines="0" zoomScale="70" zoomScaleNormal="70" workbookViewId="0">
      <selection activeCell="L5" sqref="L5"/>
    </sheetView>
  </sheetViews>
  <sheetFormatPr baseColWidth="10" defaultColWidth="11.42578125" defaultRowHeight="15" x14ac:dyDescent="0.25"/>
  <cols>
    <col min="1" max="1" width="6.42578125" style="43" bestFit="1" customWidth="1"/>
    <col min="2" max="2" width="19.42578125" style="43" customWidth="1"/>
    <col min="3" max="3" width="14.42578125" style="43" bestFit="1" customWidth="1"/>
    <col min="4" max="4" width="17.7109375" bestFit="1" customWidth="1"/>
    <col min="5" max="5" width="16.42578125" bestFit="1" customWidth="1"/>
    <col min="6" max="6" width="10.7109375" bestFit="1" customWidth="1"/>
    <col min="7" max="7" width="41" customWidth="1"/>
    <col min="8" max="8" width="54.42578125" customWidth="1"/>
    <col min="9" max="9" width="24.85546875" bestFit="1" customWidth="1"/>
    <col min="10" max="10" width="15.7109375" bestFit="1" customWidth="1"/>
    <col min="11" max="11" width="6.85546875" customWidth="1"/>
    <col min="12" max="12" width="13.140625" style="43" bestFit="1" customWidth="1"/>
    <col min="13" max="14" width="36.7109375" customWidth="1"/>
    <col min="15" max="15" width="25.5703125" bestFit="1" customWidth="1"/>
    <col min="16" max="16" width="20.140625" bestFit="1" customWidth="1"/>
  </cols>
  <sheetData>
    <row r="1" spans="1:16" x14ac:dyDescent="0.25">
      <c r="B1" s="195" t="s">
        <v>91</v>
      </c>
      <c r="C1" s="195"/>
      <c r="D1" s="195"/>
      <c r="E1" s="195"/>
    </row>
    <row r="2" spans="1:16" s="202" customFormat="1" ht="37.5" x14ac:dyDescent="0.25">
      <c r="A2" s="196" t="s">
        <v>92</v>
      </c>
      <c r="B2" s="197" t="s">
        <v>93</v>
      </c>
      <c r="C2" s="196" t="s">
        <v>94</v>
      </c>
      <c r="D2" s="196" t="s">
        <v>95</v>
      </c>
      <c r="E2" s="196" t="s">
        <v>96</v>
      </c>
      <c r="F2" s="198" t="s">
        <v>97</v>
      </c>
      <c r="G2" s="198" t="s">
        <v>98</v>
      </c>
      <c r="H2" s="198" t="s">
        <v>99</v>
      </c>
      <c r="I2" s="198" t="s">
        <v>100</v>
      </c>
      <c r="J2" s="198" t="s">
        <v>101</v>
      </c>
      <c r="K2" s="198" t="s">
        <v>102</v>
      </c>
      <c r="L2" s="196" t="s">
        <v>103</v>
      </c>
      <c r="M2" s="199" t="s">
        <v>104</v>
      </c>
      <c r="N2" s="199" t="s">
        <v>105</v>
      </c>
      <c r="O2" s="200" t="s">
        <v>106</v>
      </c>
      <c r="P2" s="201" t="s">
        <v>107</v>
      </c>
    </row>
    <row r="3" spans="1:16" ht="88.5" customHeight="1" x14ac:dyDescent="0.25">
      <c r="A3" s="203">
        <v>1</v>
      </c>
      <c r="B3" s="204" t="s">
        <v>108</v>
      </c>
      <c r="C3" s="204">
        <v>10335981</v>
      </c>
      <c r="D3" s="205">
        <v>10</v>
      </c>
      <c r="E3" s="205" t="s">
        <v>109</v>
      </c>
      <c r="F3" s="204">
        <v>1385660</v>
      </c>
      <c r="G3" s="206" t="s">
        <v>110</v>
      </c>
      <c r="H3" s="207" t="s">
        <v>111</v>
      </c>
      <c r="I3" s="208" t="s">
        <v>112</v>
      </c>
      <c r="J3" s="208" t="s">
        <v>113</v>
      </c>
      <c r="K3" s="208" t="s">
        <v>114</v>
      </c>
      <c r="L3" s="203">
        <v>1</v>
      </c>
      <c r="M3" s="209"/>
      <c r="N3" s="209">
        <f>+L3*M3</f>
        <v>0</v>
      </c>
      <c r="O3" s="210"/>
      <c r="P3" s="210"/>
    </row>
    <row r="4" spans="1:16" ht="88.5" customHeight="1" x14ac:dyDescent="0.25">
      <c r="A4" s="203">
        <v>2</v>
      </c>
      <c r="B4" s="204" t="s">
        <v>108</v>
      </c>
      <c r="C4" s="204">
        <v>10334462</v>
      </c>
      <c r="D4" s="205">
        <v>10</v>
      </c>
      <c r="E4" s="205" t="s">
        <v>115</v>
      </c>
      <c r="F4" s="204">
        <v>1385660</v>
      </c>
      <c r="G4" s="206" t="s">
        <v>110</v>
      </c>
      <c r="H4" s="207" t="s">
        <v>111</v>
      </c>
      <c r="I4" s="208" t="s">
        <v>112</v>
      </c>
      <c r="J4" s="208" t="s">
        <v>113</v>
      </c>
      <c r="K4" s="208" t="s">
        <v>114</v>
      </c>
      <c r="L4" s="203">
        <v>3</v>
      </c>
      <c r="M4" s="209"/>
      <c r="N4" s="209">
        <f>+L4*M4</f>
        <v>0</v>
      </c>
      <c r="O4" s="210"/>
      <c r="P4" s="210"/>
    </row>
    <row r="5" spans="1:16" ht="88.5" customHeight="1" x14ac:dyDescent="0.25">
      <c r="A5" s="203">
        <v>3</v>
      </c>
      <c r="B5" s="204" t="s">
        <v>108</v>
      </c>
      <c r="C5" s="204">
        <v>10332425</v>
      </c>
      <c r="D5" s="205">
        <v>10</v>
      </c>
      <c r="E5" s="205" t="s">
        <v>116</v>
      </c>
      <c r="F5" s="204">
        <v>1385660</v>
      </c>
      <c r="G5" s="206" t="s">
        <v>110</v>
      </c>
      <c r="H5" s="207" t="s">
        <v>111</v>
      </c>
      <c r="I5" s="208" t="s">
        <v>112</v>
      </c>
      <c r="J5" s="208" t="s">
        <v>113</v>
      </c>
      <c r="K5" s="208" t="s">
        <v>114</v>
      </c>
      <c r="L5" s="203">
        <v>7</v>
      </c>
      <c r="M5" s="209"/>
      <c r="N5" s="209">
        <f>+L5*M5</f>
        <v>0</v>
      </c>
      <c r="O5" s="210"/>
      <c r="P5" s="210"/>
    </row>
    <row r="6" spans="1:16" ht="27" customHeight="1" x14ac:dyDescent="0.25">
      <c r="M6" s="211" t="s">
        <v>117</v>
      </c>
      <c r="N6" s="212">
        <f>SUM(N3:N5)</f>
        <v>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showGridLines="0" tabSelected="1" zoomScale="80" zoomScaleNormal="80" workbookViewId="0">
      <selection activeCell="X9" sqref="X9"/>
    </sheetView>
  </sheetViews>
  <sheetFormatPr baseColWidth="10" defaultRowHeight="15" x14ac:dyDescent="0.25"/>
  <cols>
    <col min="1" max="1" width="23" customWidth="1"/>
    <col min="2" max="2" width="14.5703125" customWidth="1"/>
    <col min="3" max="3" width="14.140625" customWidth="1"/>
    <col min="4" max="4" width="13.28515625" customWidth="1"/>
    <col min="5" max="5" width="10.85546875" customWidth="1"/>
    <col min="6" max="6" width="12.5703125" customWidth="1"/>
    <col min="7" max="7" width="13.28515625" customWidth="1"/>
    <col min="8" max="8" width="7.42578125" bestFit="1" customWidth="1"/>
    <col min="9" max="9" width="11.42578125" customWidth="1"/>
    <col min="10" max="10" width="8.28515625" customWidth="1"/>
    <col min="11" max="11" width="10.7109375" customWidth="1"/>
    <col min="12" max="12" width="9.85546875" customWidth="1"/>
    <col min="14" max="14" width="0" hidden="1" customWidth="1"/>
    <col min="15" max="15" width="8.7109375" customWidth="1"/>
    <col min="16" max="16" width="9.42578125" bestFit="1" customWidth="1"/>
    <col min="17" max="17" width="7.42578125" hidden="1" customWidth="1"/>
    <col min="18" max="20" width="6.7109375" hidden="1" customWidth="1"/>
  </cols>
  <sheetData>
    <row r="1" spans="1:22" ht="18" customHeight="1" x14ac:dyDescent="0.25">
      <c r="A1" t="s">
        <v>78</v>
      </c>
      <c r="C1">
        <v>875</v>
      </c>
      <c r="D1" s="122">
        <v>45411</v>
      </c>
      <c r="E1" t="s">
        <v>82</v>
      </c>
      <c r="O1" s="184" t="s">
        <v>76</v>
      </c>
      <c r="P1" s="185"/>
      <c r="Q1" s="184" t="s">
        <v>77</v>
      </c>
      <c r="R1" s="185"/>
      <c r="S1" s="182" t="s">
        <v>74</v>
      </c>
      <c r="T1" s="182"/>
    </row>
    <row r="2" spans="1:22" ht="13.5" customHeight="1" x14ac:dyDescent="0.25">
      <c r="O2" s="186">
        <v>5.5E-2</v>
      </c>
      <c r="P2" s="187"/>
      <c r="Q2" s="188">
        <v>0.04</v>
      </c>
      <c r="R2" s="189"/>
      <c r="S2" s="183">
        <v>0.04</v>
      </c>
      <c r="T2" s="183"/>
    </row>
    <row r="3" spans="1:22" ht="56.25" customHeight="1" x14ac:dyDescent="0.25">
      <c r="A3" s="136" t="s">
        <v>75</v>
      </c>
      <c r="B3" s="175" t="s">
        <v>87</v>
      </c>
      <c r="C3" s="135" t="s">
        <v>70</v>
      </c>
      <c r="D3" s="133" t="s">
        <v>86</v>
      </c>
      <c r="E3" s="133" t="s">
        <v>83</v>
      </c>
      <c r="F3" s="133" t="s">
        <v>81</v>
      </c>
      <c r="G3" s="133" t="s">
        <v>85</v>
      </c>
      <c r="H3" s="133" t="s">
        <v>67</v>
      </c>
      <c r="I3" s="133" t="s">
        <v>80</v>
      </c>
      <c r="J3" s="133" t="s">
        <v>0</v>
      </c>
      <c r="K3" s="133" t="s">
        <v>121</v>
      </c>
      <c r="L3" s="133" t="s">
        <v>68</v>
      </c>
      <c r="M3" s="133" t="s">
        <v>69</v>
      </c>
      <c r="N3" s="137" t="s">
        <v>79</v>
      </c>
      <c r="O3" s="137" t="s">
        <v>71</v>
      </c>
      <c r="P3" s="137" t="s">
        <v>71</v>
      </c>
      <c r="Q3" s="137" t="s">
        <v>72</v>
      </c>
      <c r="R3" s="137" t="s">
        <v>72</v>
      </c>
      <c r="S3" s="134" t="s">
        <v>73</v>
      </c>
      <c r="T3" s="134" t="s">
        <v>73</v>
      </c>
    </row>
    <row r="4" spans="1:22" ht="33.75" customHeight="1" x14ac:dyDescent="0.25">
      <c r="A4" s="146" t="s">
        <v>118</v>
      </c>
      <c r="B4" s="146" t="s">
        <v>89</v>
      </c>
      <c r="C4" s="138" t="s">
        <v>90</v>
      </c>
      <c r="D4" s="140">
        <v>3.7</v>
      </c>
      <c r="E4" s="139">
        <v>11000</v>
      </c>
      <c r="F4" s="177">
        <f>(1200+256+70+600)/22/C1</f>
        <v>0.11044155844155845</v>
      </c>
      <c r="G4" s="141">
        <f>+D4+F4</f>
        <v>3.8104415584415587</v>
      </c>
      <c r="H4" s="176">
        <v>6.3</v>
      </c>
      <c r="I4" s="142">
        <f>+H4/$H$4-1</f>
        <v>0</v>
      </c>
      <c r="J4" s="213">
        <f>+H4/G4</f>
        <v>1.6533516925467953</v>
      </c>
      <c r="K4" s="213">
        <v>1.9204731703840945</v>
      </c>
      <c r="L4" s="139">
        <f>E4*G4</f>
        <v>41914.857142857145</v>
      </c>
      <c r="M4" s="139">
        <f>H4*E4</f>
        <v>69300</v>
      </c>
      <c r="N4" s="139"/>
      <c r="O4" s="139">
        <f>ROUND(M4-L4-$O$2*M4,0)</f>
        <v>23574</v>
      </c>
      <c r="P4" s="178">
        <f>+O4/M4</f>
        <v>0.34017316017316018</v>
      </c>
      <c r="Q4" s="139">
        <f>+O4-$Q$2*M4</f>
        <v>20802</v>
      </c>
      <c r="R4" s="143">
        <f>+Q4/M4</f>
        <v>0.30017316017316015</v>
      </c>
      <c r="S4" s="139">
        <f>+Q4-$S$2*M4</f>
        <v>18030</v>
      </c>
      <c r="T4" s="143">
        <f>+S4/M4</f>
        <v>0.26017316017316017</v>
      </c>
      <c r="V4">
        <f>+H4*1000</f>
        <v>6300</v>
      </c>
    </row>
    <row r="5" spans="1:22" ht="33.75" customHeight="1" x14ac:dyDescent="0.25">
      <c r="A5" s="146" t="s">
        <v>119</v>
      </c>
      <c r="B5" s="146" t="s">
        <v>89</v>
      </c>
      <c r="C5" s="138" t="str">
        <f>+C4</f>
        <v>IC7058</v>
      </c>
      <c r="D5" s="140">
        <f>+D4</f>
        <v>3.7</v>
      </c>
      <c r="E5" s="139">
        <f>+E4</f>
        <v>11000</v>
      </c>
      <c r="F5" s="177">
        <f>+F4</f>
        <v>0.11044155844155845</v>
      </c>
      <c r="G5" s="141">
        <f>+D5+F5</f>
        <v>3.8104415584415587</v>
      </c>
      <c r="H5" s="176">
        <v>6.1</v>
      </c>
      <c r="I5" s="142">
        <f t="shared" ref="I5:I6" si="0">+H5/$H$4-1</f>
        <v>-3.1746031746031744E-2</v>
      </c>
      <c r="J5" s="213">
        <f t="shared" ref="J5:K6" si="1">1/(1-5.5%-P5)</f>
        <v>1.6008779777881164</v>
      </c>
      <c r="K5" s="213">
        <v>1.8595241724286053</v>
      </c>
      <c r="L5" s="139">
        <f>E5*G5</f>
        <v>41914.857142857145</v>
      </c>
      <c r="M5" s="139">
        <f>H5*E5</f>
        <v>67100</v>
      </c>
      <c r="N5" s="139"/>
      <c r="O5" s="139">
        <f>ROUND(M5-L5-$O$2*M5,0)</f>
        <v>21495</v>
      </c>
      <c r="P5" s="178">
        <f t="shared" ref="P5:P6" si="2">+O5/M5</f>
        <v>0.32034277198211625</v>
      </c>
      <c r="Q5" s="139">
        <f>+O5-$Q$2*M5</f>
        <v>18811</v>
      </c>
      <c r="R5" s="143">
        <f>+Q5/M5</f>
        <v>0.28034277198211627</v>
      </c>
      <c r="S5" s="139">
        <f>+Q5-$S$2*M5</f>
        <v>16127</v>
      </c>
      <c r="T5" s="143">
        <f>+S5/M5</f>
        <v>0.24034277198211623</v>
      </c>
    </row>
    <row r="6" spans="1:22" ht="33.75" customHeight="1" x14ac:dyDescent="0.25">
      <c r="A6" s="146" t="s">
        <v>120</v>
      </c>
      <c r="B6" s="146" t="s">
        <v>89</v>
      </c>
      <c r="C6" s="138" t="str">
        <f>+C5</f>
        <v>IC7058</v>
      </c>
      <c r="D6" s="140">
        <f>+D5</f>
        <v>3.7</v>
      </c>
      <c r="E6" s="139">
        <f>+E5</f>
        <v>11000</v>
      </c>
      <c r="F6" s="177">
        <f>+F5</f>
        <v>0.11044155844155845</v>
      </c>
      <c r="G6" s="141">
        <f>+D6+F6</f>
        <v>3.8104415584415587</v>
      </c>
      <c r="H6" s="176">
        <v>5.95</v>
      </c>
      <c r="I6" s="142">
        <f t="shared" si="0"/>
        <v>-5.5555555555555469E-2</v>
      </c>
      <c r="J6" s="213">
        <f t="shared" si="1"/>
        <v>1.5614841853502011</v>
      </c>
      <c r="K6" s="213">
        <v>1.8137604699981296</v>
      </c>
      <c r="L6" s="139">
        <f>E6*G6</f>
        <v>41914.857142857145</v>
      </c>
      <c r="M6" s="139">
        <f>H6*E6</f>
        <v>65450</v>
      </c>
      <c r="N6" s="139"/>
      <c r="O6" s="139">
        <f>ROUND(M6-L6-$O$2*M6,0)</f>
        <v>19935</v>
      </c>
      <c r="P6" s="178">
        <f t="shared" si="2"/>
        <v>0.30458365164247519</v>
      </c>
      <c r="Q6" s="139"/>
      <c r="R6" s="143"/>
      <c r="S6" s="139"/>
      <c r="T6" s="143"/>
    </row>
    <row r="7" spans="1:22" ht="33.75" customHeight="1" x14ac:dyDescent="0.25">
      <c r="A7" s="179" t="s">
        <v>84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1"/>
    </row>
    <row r="8" spans="1:22" ht="33.75" customHeight="1" x14ac:dyDescent="0.25">
      <c r="A8" s="168" t="s">
        <v>88</v>
      </c>
      <c r="B8" s="168"/>
      <c r="C8" s="169"/>
      <c r="D8" s="170"/>
      <c r="E8" s="171"/>
      <c r="F8" s="172"/>
      <c r="G8" s="173"/>
      <c r="H8" s="173">
        <v>3.75</v>
      </c>
      <c r="I8" s="174"/>
      <c r="J8" s="173"/>
      <c r="K8" s="173"/>
      <c r="L8" s="171"/>
      <c r="M8" s="171"/>
      <c r="N8" s="171"/>
      <c r="O8" s="171"/>
      <c r="P8" s="174"/>
      <c r="Q8" s="139"/>
      <c r="R8" s="143"/>
      <c r="S8" s="139"/>
      <c r="T8" s="143"/>
    </row>
    <row r="9" spans="1:22" ht="33.75" customHeight="1" x14ac:dyDescent="0.25">
      <c r="A9" s="168"/>
      <c r="B9" s="168"/>
      <c r="C9" s="169"/>
      <c r="D9" s="170"/>
      <c r="E9" s="171"/>
      <c r="F9" s="172"/>
      <c r="G9" s="173"/>
      <c r="H9" s="173"/>
      <c r="I9" s="174"/>
      <c r="J9" s="173"/>
      <c r="K9" s="173"/>
      <c r="L9" s="171"/>
      <c r="M9" s="171"/>
      <c r="N9" s="171"/>
      <c r="O9" s="171"/>
      <c r="P9" s="174"/>
      <c r="Q9" s="139"/>
      <c r="R9" s="143"/>
      <c r="S9" s="139"/>
      <c r="T9" s="143"/>
    </row>
    <row r="10" spans="1:22" s="76" customFormat="1" ht="33" customHeight="1" x14ac:dyDescent="0.25">
      <c r="A10" s="168"/>
      <c r="B10" s="168"/>
      <c r="C10" s="169"/>
      <c r="D10" s="170"/>
      <c r="E10" s="171"/>
      <c r="F10" s="172"/>
      <c r="G10" s="173"/>
      <c r="H10" s="173"/>
      <c r="I10" s="174"/>
      <c r="J10" s="173"/>
      <c r="K10" s="173"/>
      <c r="L10" s="171"/>
      <c r="M10" s="171"/>
      <c r="N10" s="171"/>
      <c r="O10" s="171"/>
      <c r="P10" s="174"/>
      <c r="Q10" s="155"/>
      <c r="R10" s="157"/>
      <c r="S10" s="155"/>
      <c r="T10" s="157"/>
    </row>
    <row r="11" spans="1:22" s="76" customFormat="1" ht="15" customHeight="1" x14ac:dyDescent="0.25">
      <c r="A11" s="152"/>
      <c r="B11" s="152"/>
      <c r="C11" s="158"/>
      <c r="D11" s="159"/>
      <c r="E11" s="155"/>
      <c r="F11" s="153"/>
      <c r="G11" s="153"/>
      <c r="H11" s="153"/>
      <c r="I11" s="153"/>
      <c r="J11" s="154"/>
      <c r="K11" s="154"/>
      <c r="L11" s="155"/>
      <c r="M11" s="155"/>
      <c r="N11" s="155"/>
      <c r="O11" s="155"/>
      <c r="P11" s="156"/>
      <c r="Q11" s="155"/>
      <c r="R11" s="157"/>
      <c r="S11" s="155"/>
      <c r="T11" s="157"/>
    </row>
    <row r="12" spans="1:22" s="76" customFormat="1" ht="15" customHeight="1" x14ac:dyDescent="0.25">
      <c r="A12" s="152"/>
      <c r="B12" s="152"/>
      <c r="C12" s="158"/>
      <c r="D12" s="159"/>
      <c r="E12" s="155"/>
      <c r="F12" s="153"/>
      <c r="G12" s="153"/>
      <c r="H12" s="153"/>
      <c r="I12" s="153"/>
      <c r="J12" s="154"/>
      <c r="K12" s="154"/>
      <c r="L12" s="155"/>
      <c r="M12" s="155"/>
      <c r="N12" s="155"/>
      <c r="O12" s="155"/>
      <c r="P12" s="156"/>
      <c r="Q12" s="155"/>
      <c r="R12" s="157"/>
      <c r="S12" s="155"/>
      <c r="T12" s="157"/>
    </row>
    <row r="13" spans="1:22" s="76" customFormat="1" x14ac:dyDescent="0.25">
      <c r="C13" s="150"/>
      <c r="D13" s="151"/>
      <c r="I13" s="147"/>
      <c r="P13" s="148"/>
      <c r="Q13" s="148"/>
      <c r="R13"/>
    </row>
    <row r="14" spans="1:22" x14ac:dyDescent="0.25">
      <c r="A14" s="145"/>
      <c r="B14" s="145"/>
      <c r="H14" s="161"/>
      <c r="I14" s="162"/>
      <c r="J14" s="163"/>
      <c r="K14" s="163"/>
    </row>
    <row r="15" spans="1:22" x14ac:dyDescent="0.25">
      <c r="H15" s="164"/>
      <c r="I15" s="165"/>
      <c r="J15" s="160"/>
      <c r="K15" s="160"/>
    </row>
    <row r="16" spans="1:22" x14ac:dyDescent="0.25">
      <c r="A16" s="144"/>
      <c r="B16" s="144"/>
      <c r="H16" s="164"/>
      <c r="I16" s="165"/>
      <c r="J16" s="160"/>
      <c r="K16" s="160"/>
    </row>
    <row r="17" spans="8:12" x14ac:dyDescent="0.25">
      <c r="H17" s="164"/>
      <c r="I17" s="166"/>
      <c r="J17" s="160"/>
      <c r="K17" s="160"/>
    </row>
    <row r="18" spans="8:12" x14ac:dyDescent="0.25">
      <c r="H18" s="164"/>
      <c r="I18" s="166"/>
      <c r="J18" s="160"/>
      <c r="K18" s="160"/>
    </row>
    <row r="19" spans="8:12" x14ac:dyDescent="0.25">
      <c r="H19" s="164"/>
      <c r="I19" s="167"/>
      <c r="J19" s="160"/>
      <c r="K19" s="160"/>
    </row>
    <row r="20" spans="8:12" x14ac:dyDescent="0.25">
      <c r="H20" s="164"/>
      <c r="I20" s="167"/>
      <c r="J20" s="160"/>
      <c r="K20" s="160"/>
      <c r="L20" s="149"/>
    </row>
    <row r="21" spans="8:12" x14ac:dyDescent="0.25">
      <c r="H21" s="164"/>
      <c r="I21" s="167"/>
      <c r="J21" s="160"/>
      <c r="K21" s="160"/>
    </row>
    <row r="22" spans="8:12" x14ac:dyDescent="0.25">
      <c r="H22" s="164"/>
      <c r="I22" s="167"/>
      <c r="J22" s="160"/>
      <c r="K22" s="160"/>
    </row>
    <row r="23" spans="8:12" x14ac:dyDescent="0.25">
      <c r="H23" s="164"/>
      <c r="I23" s="167"/>
      <c r="J23" s="160"/>
      <c r="K23" s="160"/>
    </row>
    <row r="24" spans="8:12" x14ac:dyDescent="0.25">
      <c r="H24" s="164"/>
      <c r="I24" s="167"/>
      <c r="J24" s="160"/>
      <c r="K24" s="160"/>
    </row>
  </sheetData>
  <mergeCells count="7">
    <mergeCell ref="A7:T7"/>
    <mergeCell ref="S1:T1"/>
    <mergeCell ref="S2:T2"/>
    <mergeCell ref="O1:P1"/>
    <mergeCell ref="Q1:R1"/>
    <mergeCell ref="O2:P2"/>
    <mergeCell ref="Q2:R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90"/>
      <c r="F16" s="191"/>
    </row>
    <row r="17" spans="5:6" x14ac:dyDescent="0.25">
      <c r="E17" s="190"/>
      <c r="F17" s="191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92" t="s">
        <v>26</v>
      </c>
      <c r="C1" s="193"/>
      <c r="D1" s="193"/>
      <c r="E1" s="193"/>
      <c r="F1" s="193"/>
      <c r="G1" s="193"/>
      <c r="H1" s="193"/>
      <c r="I1" s="193"/>
      <c r="J1" s="194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A07BD6-430E-4267-8782-EFE61FFFC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2024-05-10T14:25:40Z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