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9. PAE. DBN.Licitación PTC LOC PAE/PE/"/>
    </mc:Choice>
  </mc:AlternateContent>
  <xr:revisionPtr revIDLastSave="662" documentId="8_{8F0C916C-7D7A-48C9-9952-1765F3FFE5AE}" xr6:coauthVersionLast="47" xr6:coauthVersionMax="47" xr10:uidLastSave="{4602A68B-8C10-46FA-8DA0-79EAFF155671}"/>
  <bookViews>
    <workbookView xWindow="-120" yWindow="-120" windowWidth="20730" windowHeight="11160" activeTab="1" xr2:uid="{DA2AF3E7-F7DA-42AB-BE39-99B1A5F12D5B}"/>
  </bookViews>
  <sheets>
    <sheet name="Hoja1" sheetId="4" r:id="rId1"/>
    <sheet name="Actual Clariant" sheetId="1" r:id="rId2"/>
    <sheet name="Datos Clariant" sheetId="3" r:id="rId3"/>
    <sheet name="PQ PECOM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L2" i="3" l="1"/>
  <c r="C12" i="1"/>
  <c r="C13" i="1"/>
  <c r="E26" i="1"/>
  <c r="I9" i="2"/>
  <c r="K9" i="2" s="1"/>
  <c r="M9" i="2"/>
  <c r="C14" i="1" l="1"/>
  <c r="L9" i="2"/>
  <c r="N9" i="2" s="1"/>
  <c r="O9" i="2" s="1"/>
  <c r="F5" i="2" l="1"/>
  <c r="D13" i="1" l="1"/>
  <c r="D12" i="1"/>
  <c r="C20" i="1"/>
  <c r="M4" i="2"/>
  <c r="I4" i="2"/>
  <c r="L4" i="2" s="1"/>
  <c r="D23" i="1"/>
  <c r="B23" i="1"/>
  <c r="N4" i="2" l="1"/>
  <c r="O4" i="2" s="1"/>
  <c r="K4" i="2"/>
  <c r="E20" i="1" l="1"/>
  <c r="H5" i="4" l="1"/>
  <c r="I5" i="4"/>
  <c r="L3" i="3" l="1"/>
  <c r="L4" i="3"/>
  <c r="E11" i="4"/>
  <c r="D11" i="4"/>
  <c r="E12" i="4" s="1"/>
  <c r="D5" i="4"/>
  <c r="F9" i="3"/>
  <c r="F8" i="3"/>
  <c r="N2" i="3"/>
  <c r="N3" i="3"/>
  <c r="N4" i="3"/>
  <c r="N6" i="3" s="1"/>
  <c r="F6" i="2" l="1"/>
  <c r="I8" i="2"/>
  <c r="F7" i="2" l="1"/>
  <c r="C21" i="1"/>
  <c r="K8" i="2"/>
  <c r="B22" i="1"/>
  <c r="D22" i="1"/>
  <c r="D21" i="1"/>
  <c r="M7" i="2"/>
  <c r="I7" i="2"/>
  <c r="K7" i="2" s="1"/>
  <c r="M6" i="2"/>
  <c r="I6" i="2"/>
  <c r="I5" i="2"/>
  <c r="M5" i="2" l="1"/>
  <c r="K5" i="2"/>
  <c r="F8" i="2"/>
  <c r="C23" i="1" s="1"/>
  <c r="C22" i="1"/>
  <c r="L7" i="2"/>
  <c r="N7" i="2" s="1"/>
  <c r="O7" i="2" s="1"/>
  <c r="L6" i="2"/>
  <c r="N6" i="2" s="1"/>
  <c r="O6" i="2" s="1"/>
  <c r="K6" i="2"/>
  <c r="L5" i="2"/>
  <c r="E23" i="1" l="1"/>
  <c r="C24" i="1"/>
  <c r="N5" i="2"/>
  <c r="O5" i="2" s="1"/>
  <c r="M8" i="2"/>
  <c r="L8" i="2"/>
  <c r="F13" i="1"/>
  <c r="N8" i="2" l="1"/>
  <c r="O8" i="2" s="1"/>
  <c r="E22" i="1"/>
  <c r="F12" i="1"/>
  <c r="F14" i="1" s="1"/>
  <c r="F22" i="1" l="1"/>
  <c r="F20" i="1"/>
  <c r="F23" i="1"/>
  <c r="E21" i="1"/>
  <c r="F21" i="1" s="1"/>
</calcChain>
</file>

<file path=xl/sharedStrings.xml><?xml version="1.0" encoding="utf-8"?>
<sst xmlns="http://schemas.openxmlformats.org/spreadsheetml/2006/main" count="117" uniqueCount="79">
  <si>
    <t>lts/d</t>
  </si>
  <si>
    <t>USD/lt</t>
  </si>
  <si>
    <t>lts/mes</t>
  </si>
  <si>
    <t>USD/mes</t>
  </si>
  <si>
    <t>TOTAL</t>
  </si>
  <si>
    <t>PAE</t>
  </si>
  <si>
    <t>TC</t>
  </si>
  <si>
    <t>Ref: Cotización Divisas Venta</t>
  </si>
  <si>
    <t>GE</t>
  </si>
  <si>
    <t>Situación</t>
  </si>
  <si>
    <t>Descripción</t>
  </si>
  <si>
    <t>Denominación comercial</t>
  </si>
  <si>
    <t>Costo Rep [USD/lt]</t>
  </si>
  <si>
    <t>Cantidad [Lts]</t>
  </si>
  <si>
    <t>Imp Pais</t>
  </si>
  <si>
    <t>Flete  [USD/litro]</t>
  </si>
  <si>
    <t>CR con flete  [USD/lt]</t>
  </si>
  <si>
    <t>Precio unitario</t>
  </si>
  <si>
    <t>K</t>
  </si>
  <si>
    <t>Costo total USD]</t>
  </si>
  <si>
    <t>Venta Total [USD]</t>
  </si>
  <si>
    <t>CP</t>
  </si>
  <si>
    <t>Escenario PROYECTADO PECOM</t>
  </si>
  <si>
    <t>Desemulsionante</t>
  </si>
  <si>
    <t>DBN1890 - Protocolo</t>
  </si>
  <si>
    <t>DBN1890 - 30%CP</t>
  </si>
  <si>
    <t>DBN1890 - 25%CP</t>
  </si>
  <si>
    <t>DBN1890 - 20%CP</t>
  </si>
  <si>
    <t>DESCRIPCCION</t>
  </si>
  <si>
    <t>TIPO DE PRODUCTO</t>
  </si>
  <si>
    <t>CODIGO SAP</t>
  </si>
  <si>
    <t>PRODUCTO</t>
  </si>
  <si>
    <t>PROVEEDOR</t>
  </si>
  <si>
    <t>ACTIVO</t>
  </si>
  <si>
    <t>INGENIERA</t>
  </si>
  <si>
    <t>DOSIS RECOMENDADA PPM</t>
  </si>
  <si>
    <t>DOSIS RECOMENDADA LT/DIA</t>
  </si>
  <si>
    <t>DESEMULSIONANTE</t>
  </si>
  <si>
    <t>DESEMULS 045 X1000L</t>
  </si>
  <si>
    <t>Clariant</t>
  </si>
  <si>
    <t>FLOR</t>
  </si>
  <si>
    <t>RUPTOR DISOLVAN SO2591 X1000L</t>
  </si>
  <si>
    <t>Precio Q3 2023</t>
  </si>
  <si>
    <t>BAT 3</t>
  </si>
  <si>
    <t>PTC</t>
  </si>
  <si>
    <t>ÁREA</t>
  </si>
  <si>
    <t>U$D/Mes</t>
  </si>
  <si>
    <t>Escenario actual de Clariant en PAE</t>
  </si>
  <si>
    <t>Deshidratación LA</t>
  </si>
  <si>
    <t>UG</t>
  </si>
  <si>
    <t>Producción bruta tratada (m3/d)</t>
  </si>
  <si>
    <t>Producción neta tratada (m3/d)</t>
  </si>
  <si>
    <t>BAT3 CH</t>
  </si>
  <si>
    <t>PTC LOC</t>
  </si>
  <si>
    <t>Productos</t>
  </si>
  <si>
    <t>Puntos tratados</t>
  </si>
  <si>
    <t>Campo</t>
  </si>
  <si>
    <t>Ruptor</t>
  </si>
  <si>
    <t>Total</t>
  </si>
  <si>
    <t>Personal requerido</t>
  </si>
  <si>
    <t xml:space="preserve">NQN </t>
  </si>
  <si>
    <t>Responsable Corporativo del Servicio</t>
  </si>
  <si>
    <t>Referente Técnico Local</t>
  </si>
  <si>
    <t xml:space="preserve">Especialista Técnico </t>
  </si>
  <si>
    <t>On Call</t>
  </si>
  <si>
    <t>Producción</t>
  </si>
  <si>
    <t>BAT3 CH - Manifold</t>
  </si>
  <si>
    <t>PTC Manifold</t>
  </si>
  <si>
    <t>Eda Tratador</t>
  </si>
  <si>
    <t xml:space="preserve">Diferencia con Clariant </t>
  </si>
  <si>
    <t>Precio y Costo originalmente cotizado</t>
  </si>
  <si>
    <t>RT427 - Protocolo</t>
  </si>
  <si>
    <t>DBN1487</t>
  </si>
  <si>
    <t>DBN1487 - 16%CP - ACTUAL</t>
  </si>
  <si>
    <t>BAT 3 - Disolvan2591</t>
  </si>
  <si>
    <t>Entrada PTC  - Disolvan 2591</t>
  </si>
  <si>
    <t>Entrada Tratador - Disolvan 045</t>
  </si>
  <si>
    <t>Dosis real PPM</t>
  </si>
  <si>
    <t>DBN1890 - 27,5%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</si>
</sst>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&quot;$&quot;\ 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40"/>
      <color theme="9" tint="-0.249977111117893"/>
      <name val="Calibri"/>
      <family val="2"/>
      <scheme val="minor"/>
    </font>
    <font>
      <sz val="40"/>
      <color theme="9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36"/>
      <color theme="9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hair">
        <color theme="9" tint="0.39991454817346722"/>
      </right>
      <top style="hair">
        <color theme="9" tint="0.39994506668294322"/>
      </top>
      <bottom/>
      <diagonal/>
    </border>
    <border>
      <left/>
      <right/>
      <top style="hair">
        <color theme="9" tint="0.39994506668294322"/>
      </top>
      <bottom/>
      <diagonal/>
    </border>
    <border>
      <left/>
      <right style="hair">
        <color theme="9" tint="0.39991454817346722"/>
      </right>
      <top style="hair">
        <color theme="9" tint="0.39994506668294322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9" tint="0.39991454817346722"/>
      </left>
      <right/>
      <top style="hair">
        <color theme="9" tint="0.39994506668294322"/>
      </top>
      <bottom style="hair">
        <color theme="9" tint="0.39988402966399123"/>
      </bottom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3" fillId="0" borderId="0">
      <alignment vertical="center"/>
    </xf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1" xfId="2" applyFont="1" applyBorder="1" applyAlignment="1">
      <alignment horizontal="right"/>
    </xf>
    <xf numFmtId="44" fontId="0" fillId="0" borderId="1" xfId="1" applyFont="1" applyBorder="1"/>
    <xf numFmtId="14" fontId="0" fillId="0" borderId="0" xfId="0" applyNumberFormat="1"/>
    <xf numFmtId="0" fontId="7" fillId="5" borderId="4" xfId="4" applyFont="1" applyFill="1" applyBorder="1" applyAlignment="1">
      <alignment horizontal="center" vertical="center" wrapText="1"/>
    </xf>
    <xf numFmtId="0" fontId="7" fillId="5" borderId="0" xfId="4" applyFont="1" applyFill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center" vertical="center" wrapText="1"/>
    </xf>
    <xf numFmtId="0" fontId="7" fillId="5" borderId="6" xfId="4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4" fontId="0" fillId="7" borderId="8" xfId="0" applyNumberFormat="1" applyFill="1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164" fontId="1" fillId="7" borderId="9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 vertical="center" wrapText="1"/>
    </xf>
    <xf numFmtId="1" fontId="11" fillId="10" borderId="13" xfId="0" applyNumberFormat="1" applyFont="1" applyFill="1" applyBorder="1" applyAlignment="1">
      <alignment horizontal="center"/>
    </xf>
    <xf numFmtId="1" fontId="11" fillId="10" borderId="13" xfId="0" applyNumberFormat="1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/>
    </xf>
    <xf numFmtId="1" fontId="12" fillId="11" borderId="13" xfId="0" applyNumberFormat="1" applyFont="1" applyFill="1" applyBorder="1" applyAlignment="1">
      <alignment horizontal="center"/>
    </xf>
    <xf numFmtId="1" fontId="12" fillId="11" borderId="1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 vertical="center"/>
    </xf>
    <xf numFmtId="0" fontId="11" fillId="10" borderId="0" xfId="0" applyFont="1" applyFill="1" applyAlignment="1">
      <alignment horizontal="center" vertical="center" wrapText="1"/>
    </xf>
    <xf numFmtId="2" fontId="12" fillId="11" borderId="13" xfId="0" applyNumberFormat="1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65" fontId="12" fillId="11" borderId="13" xfId="0" applyNumberFormat="1" applyFont="1" applyFill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14" fillId="12" borderId="0" xfId="6" applyFont="1" applyFill="1">
      <alignment vertical="center"/>
    </xf>
    <xf numFmtId="0" fontId="16" fillId="12" borderId="0" xfId="6" applyFont="1" applyFill="1">
      <alignment vertical="center"/>
    </xf>
    <xf numFmtId="0" fontId="17" fillId="12" borderId="14" xfId="6" applyFont="1" applyFill="1" applyBorder="1">
      <alignment vertical="center"/>
    </xf>
    <xf numFmtId="0" fontId="14" fillId="12" borderId="15" xfId="6" applyFont="1" applyFill="1" applyBorder="1">
      <alignment vertical="center"/>
    </xf>
    <xf numFmtId="0" fontId="17" fillId="12" borderId="15" xfId="6" applyFont="1" applyFill="1" applyBorder="1">
      <alignment vertical="center"/>
    </xf>
    <xf numFmtId="0" fontId="17" fillId="12" borderId="16" xfId="6" applyFont="1" applyFill="1" applyBorder="1">
      <alignment vertical="center"/>
    </xf>
    <xf numFmtId="0" fontId="17" fillId="12" borderId="0" xfId="6" applyFont="1" applyFill="1">
      <alignment vertical="center"/>
    </xf>
    <xf numFmtId="0" fontId="17" fillId="12" borderId="17" xfId="6" applyFont="1" applyFill="1" applyBorder="1">
      <alignment vertical="center"/>
    </xf>
    <xf numFmtId="0" fontId="18" fillId="13" borderId="0" xfId="6" applyFont="1" applyFill="1" applyAlignment="1">
      <alignment horizontal="center" vertical="center"/>
    </xf>
    <xf numFmtId="0" fontId="19" fillId="14" borderId="0" xfId="6" applyFont="1" applyFill="1" applyAlignment="1">
      <alignment horizontal="center" vertical="center" wrapText="1"/>
    </xf>
    <xf numFmtId="0" fontId="19" fillId="3" borderId="0" xfId="6" applyFont="1" applyFill="1" applyAlignment="1">
      <alignment horizontal="center" vertical="center" wrapText="1"/>
    </xf>
    <xf numFmtId="0" fontId="20" fillId="12" borderId="18" xfId="6" applyFont="1" applyFill="1" applyBorder="1" applyAlignment="1">
      <alignment vertical="center" wrapText="1"/>
    </xf>
    <xf numFmtId="3" fontId="19" fillId="14" borderId="0" xfId="6" applyNumberFormat="1" applyFont="1" applyFill="1" applyAlignment="1">
      <alignment horizontal="center" vertical="center"/>
    </xf>
    <xf numFmtId="0" fontId="19" fillId="3" borderId="0" xfId="6" applyFont="1" applyFill="1" applyAlignment="1">
      <alignment horizontal="center" vertical="center"/>
    </xf>
    <xf numFmtId="0" fontId="21" fillId="12" borderId="18" xfId="6" applyFont="1" applyFill="1" applyBorder="1" applyAlignment="1">
      <alignment horizontal="center" vertical="center"/>
    </xf>
    <xf numFmtId="0" fontId="20" fillId="12" borderId="0" xfId="6" applyFont="1" applyFill="1">
      <alignment vertical="center"/>
    </xf>
    <xf numFmtId="0" fontId="17" fillId="12" borderId="18" xfId="6" applyFont="1" applyFill="1" applyBorder="1">
      <alignment vertical="center"/>
    </xf>
    <xf numFmtId="0" fontId="17" fillId="12" borderId="20" xfId="6" applyFont="1" applyFill="1" applyBorder="1">
      <alignment vertical="center"/>
    </xf>
    <xf numFmtId="0" fontId="19" fillId="12" borderId="20" xfId="6" applyFont="1" applyFill="1" applyBorder="1" applyAlignment="1">
      <alignment horizontal="center" vertical="center"/>
    </xf>
    <xf numFmtId="0" fontId="22" fillId="12" borderId="21" xfId="6" applyFont="1" applyFill="1" applyBorder="1" applyAlignment="1">
      <alignment horizontal="left" vertical="center"/>
    </xf>
    <xf numFmtId="0" fontId="21" fillId="12" borderId="22" xfId="6" applyFont="1" applyFill="1" applyBorder="1" applyAlignment="1">
      <alignment horizontal="center" vertical="center"/>
    </xf>
    <xf numFmtId="0" fontId="22" fillId="12" borderId="18" xfId="6" applyFont="1" applyFill="1" applyBorder="1" applyAlignment="1">
      <alignment horizontal="center" vertical="center"/>
    </xf>
    <xf numFmtId="0" fontId="22" fillId="12" borderId="0" xfId="6" applyFont="1" applyFill="1" applyAlignment="1">
      <alignment horizontal="center" vertical="center"/>
    </xf>
    <xf numFmtId="0" fontId="19" fillId="12" borderId="23" xfId="6" applyFont="1" applyFill="1" applyBorder="1" applyAlignment="1">
      <alignment horizontal="left" vertical="center"/>
    </xf>
    <xf numFmtId="0" fontId="23" fillId="12" borderId="24" xfId="6" applyFont="1" applyFill="1" applyBorder="1" applyAlignment="1">
      <alignment horizontal="center" vertical="center"/>
    </xf>
    <xf numFmtId="0" fontId="22" fillId="12" borderId="22" xfId="6" applyFont="1" applyFill="1" applyBorder="1" applyAlignment="1">
      <alignment horizontal="left" vertical="center"/>
    </xf>
    <xf numFmtId="0" fontId="22" fillId="12" borderId="22" xfId="6" applyFont="1" applyFill="1" applyBorder="1" applyAlignment="1">
      <alignment horizontal="center" vertical="center"/>
    </xf>
    <xf numFmtId="0" fontId="24" fillId="12" borderId="0" xfId="6" applyFont="1" applyFill="1" applyAlignment="1">
      <alignment horizontal="center" vertical="center"/>
    </xf>
    <xf numFmtId="0" fontId="22" fillId="12" borderId="25" xfId="6" applyFont="1" applyFill="1" applyBorder="1" applyAlignment="1">
      <alignment horizontal="center" vertical="center"/>
    </xf>
    <xf numFmtId="0" fontId="17" fillId="12" borderId="26" xfId="6" applyFont="1" applyFill="1" applyBorder="1">
      <alignment vertical="center"/>
    </xf>
    <xf numFmtId="0" fontId="17" fillId="12" borderId="27" xfId="6" applyFont="1" applyFill="1" applyBorder="1">
      <alignment vertical="center"/>
    </xf>
    <xf numFmtId="0" fontId="17" fillId="12" borderId="28" xfId="6" applyFont="1" applyFill="1" applyBorder="1">
      <alignment vertical="center"/>
    </xf>
    <xf numFmtId="0" fontId="25" fillId="12" borderId="0" xfId="6" applyFont="1" applyFill="1">
      <alignment vertical="center"/>
    </xf>
    <xf numFmtId="0" fontId="14" fillId="0" borderId="0" xfId="6" applyFont="1">
      <alignment vertical="center"/>
    </xf>
    <xf numFmtId="1" fontId="11" fillId="10" borderId="0" xfId="0" applyNumberFormat="1" applyFont="1" applyFill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0" borderId="0" xfId="0" applyAlignment="1">
      <alignment vertical="center"/>
    </xf>
    <xf numFmtId="0" fontId="22" fillId="12" borderId="24" xfId="6" applyFont="1" applyFill="1" applyBorder="1" applyAlignment="1">
      <alignment horizontal="left" vertical="center"/>
    </xf>
    <xf numFmtId="0" fontId="22" fillId="12" borderId="23" xfId="6" applyFont="1" applyFill="1" applyBorder="1" applyAlignment="1">
      <alignment horizontal="left" vertical="center"/>
    </xf>
    <xf numFmtId="0" fontId="15" fillId="12" borderId="0" xfId="6" applyFont="1" applyFill="1" applyAlignment="1">
      <alignment horizontal="center" vertical="center"/>
    </xf>
    <xf numFmtId="0" fontId="20" fillId="12" borderId="19" xfId="6" applyFont="1" applyFill="1" applyBorder="1" applyAlignment="1">
      <alignment horizontal="center" vertical="center"/>
    </xf>
    <xf numFmtId="0" fontId="20" fillId="12" borderId="0" xfId="6" applyFont="1" applyFill="1" applyAlignment="1">
      <alignment horizontal="center" vertical="center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12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29" xfId="2" applyFont="1" applyBorder="1" applyAlignment="1">
      <alignment horizontal="center" wrapText="1"/>
    </xf>
    <xf numFmtId="0" fontId="2" fillId="2" borderId="30" xfId="2" applyFont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10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10" fontId="2" fillId="2" borderId="0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Alignment="1">
      <alignment vertical="center"/>
    </xf>
    <xf numFmtId="0" fontId="0" fillId="15" borderId="1" xfId="0" applyFill="1" applyBorder="1"/>
    <xf numFmtId="3" fontId="0" fillId="15" borderId="1" xfId="0" applyNumberFormat="1" applyFill="1" applyBorder="1" applyAlignment="1">
      <alignment horizontal="center"/>
    </xf>
    <xf numFmtId="44" fontId="0" fillId="15" borderId="1" xfId="1" applyFont="1" applyFill="1" applyBorder="1" applyAlignment="1">
      <alignment horizontal="center"/>
    </xf>
  </cellXfs>
  <cellStyles count="7">
    <cellStyle name="Énfasis6" xfId="2" builtinId="49"/>
    <cellStyle name="Millares" xfId="5" builtinId="3"/>
    <cellStyle name="Moneda" xfId="1" builtinId="4"/>
    <cellStyle name="Normal" xfId="0" builtinId="0"/>
    <cellStyle name="Normal 2" xfId="4" xr:uid="{D4D23BBF-B4BD-40AC-ABAD-ECEB2F569B5B}"/>
    <cellStyle name="Normal 3" xfId="6" xr:uid="{FC074FED-57A4-4790-93EC-2164B2844E0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474134</xdr:colOff>
      <xdr:row>0</xdr:row>
      <xdr:rowOff>10583</xdr:rowOff>
    </xdr:from>
    <xdr:to>
      <xdr:col>2</xdr:col>
      <xdr:colOff>402167</xdr:colOff>
      <xdr:row>1</xdr:row>
      <xdr:rowOff>573712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314A3C-CB0A-42E2-A4B4-4664A6697C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988" t="68058" r="59760" b="12154"/>
        <a:stretch/>
      </xdr:blipFill>
      <xdr:spPr>
        <a:xfrm>
          <a:off x="1236134" y="7408"/>
          <a:ext cx="690033" cy="747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1019-07D7-466D-8299-069C91641860}">
  <sheetPr>
    <tabColor theme="9" tint="0.39997558519241921"/>
  </sheetPr>
  <dimension ref="A2:CGG58"/>
  <sheetViews>
    <sheetView zoomScale="70" zoomScaleNormal="70" workbookViewId="0">
      <selection activeCell="G9" sqref="G9"/>
    </sheetView>
  </sheetViews>
  <sheetFormatPr baseColWidth="10" defaultColWidth="10.85546875" defaultRowHeight="15" x14ac:dyDescent="0.25"/>
  <cols>
    <col min="1" max="2" width="10.85546875" style="39"/>
    <col min="3" max="5" width="30" style="39" customWidth="1"/>
    <col min="6" max="6" width="10" style="39" customWidth="1"/>
    <col min="7" max="2217" width="10.85546875" style="39"/>
    <col min="2218" max="16384" width="10.85546875" style="72"/>
  </cols>
  <sheetData>
    <row r="2" spans="2:9" ht="51.75" thickBot="1" x14ac:dyDescent="0.3">
      <c r="C2" s="79" t="s">
        <v>48</v>
      </c>
      <c r="D2" s="79"/>
      <c r="E2" s="79"/>
      <c r="F2" s="79"/>
      <c r="G2" s="40"/>
    </row>
    <row r="3" spans="2:9" ht="47.25" thickTop="1" x14ac:dyDescent="0.25">
      <c r="B3" s="41"/>
      <c r="C3" s="42"/>
      <c r="D3" s="42"/>
      <c r="E3" s="43"/>
      <c r="F3" s="44"/>
      <c r="G3" s="45"/>
    </row>
    <row r="4" spans="2:9" ht="45.95" customHeight="1" x14ac:dyDescent="0.25">
      <c r="B4" s="46"/>
      <c r="C4" s="47" t="s">
        <v>49</v>
      </c>
      <c r="D4" s="48" t="s">
        <v>50</v>
      </c>
      <c r="E4" s="49" t="s">
        <v>51</v>
      </c>
      <c r="F4" s="50"/>
      <c r="G4" s="45"/>
    </row>
    <row r="5" spans="2:9" ht="45.95" customHeight="1" x14ac:dyDescent="0.25">
      <c r="B5" s="46"/>
      <c r="C5" s="47" t="s">
        <v>52</v>
      </c>
      <c r="D5" s="48">
        <f>211+1880</f>
        <v>2091</v>
      </c>
      <c r="E5" s="49">
        <v>1880</v>
      </c>
      <c r="F5" s="50"/>
      <c r="G5" s="45"/>
      <c r="H5" s="39">
        <f>E6</f>
        <v>1900</v>
      </c>
      <c r="I5" s="39">
        <f>H5*80/1000</f>
        <v>152</v>
      </c>
    </row>
    <row r="6" spans="2:9" ht="46.5" x14ac:dyDescent="0.25">
      <c r="B6" s="46"/>
      <c r="C6" s="47" t="s">
        <v>53</v>
      </c>
      <c r="D6" s="51">
        <v>2100</v>
      </c>
      <c r="E6" s="52">
        <v>1900</v>
      </c>
      <c r="F6" s="53"/>
      <c r="G6" s="45"/>
    </row>
    <row r="7" spans="2:9" ht="45.95" customHeight="1" x14ac:dyDescent="0.25">
      <c r="B7" s="46"/>
      <c r="C7" s="54" t="s">
        <v>54</v>
      </c>
      <c r="D7" s="80" t="s">
        <v>55</v>
      </c>
      <c r="E7" s="80"/>
      <c r="F7" s="55"/>
      <c r="G7" s="45"/>
    </row>
    <row r="8" spans="2:9" ht="46.5" x14ac:dyDescent="0.25">
      <c r="B8" s="46"/>
      <c r="C8" s="56"/>
      <c r="D8" s="57" t="s">
        <v>44</v>
      </c>
      <c r="E8" s="57" t="s">
        <v>56</v>
      </c>
      <c r="F8" s="55"/>
      <c r="G8" s="45"/>
    </row>
    <row r="9" spans="2:9" ht="46.5" x14ac:dyDescent="0.25">
      <c r="B9" s="46"/>
      <c r="C9" s="58" t="s">
        <v>23</v>
      </c>
      <c r="D9" s="59">
        <v>1</v>
      </c>
      <c r="E9" s="59"/>
      <c r="F9" s="60"/>
      <c r="G9" s="61"/>
    </row>
    <row r="10" spans="2:9" ht="46.5" x14ac:dyDescent="0.25">
      <c r="B10" s="46"/>
      <c r="C10" s="58" t="s">
        <v>57</v>
      </c>
      <c r="D10" s="59">
        <v>1</v>
      </c>
      <c r="E10" s="59">
        <v>1</v>
      </c>
      <c r="F10" s="60"/>
      <c r="G10" s="61"/>
    </row>
    <row r="11" spans="2:9" ht="46.5" x14ac:dyDescent="0.25">
      <c r="B11" s="46"/>
      <c r="C11" s="62" t="s">
        <v>58</v>
      </c>
      <c r="D11" s="63">
        <f>SUM(D9:D10)</f>
        <v>2</v>
      </c>
      <c r="E11" s="63">
        <f>SUM(E9:E10)</f>
        <v>1</v>
      </c>
      <c r="F11" s="60"/>
      <c r="G11" s="61"/>
    </row>
    <row r="12" spans="2:9" ht="46.5" x14ac:dyDescent="0.25">
      <c r="B12" s="46"/>
      <c r="C12" s="64"/>
      <c r="D12" s="65"/>
      <c r="E12" s="66">
        <f>SUM(D11:E11)</f>
        <v>3</v>
      </c>
      <c r="F12" s="60"/>
      <c r="G12" s="61"/>
    </row>
    <row r="13" spans="2:9" ht="46.5" x14ac:dyDescent="0.25">
      <c r="B13" s="46"/>
      <c r="C13" s="54" t="s">
        <v>59</v>
      </c>
      <c r="D13" s="81"/>
      <c r="E13" s="81"/>
      <c r="F13" s="55"/>
      <c r="G13" s="45"/>
    </row>
    <row r="14" spans="2:9" ht="46.5" x14ac:dyDescent="0.25">
      <c r="B14" s="46"/>
      <c r="C14" s="56"/>
      <c r="D14" s="57"/>
      <c r="E14" s="57" t="s">
        <v>60</v>
      </c>
      <c r="F14" s="55"/>
      <c r="G14" s="45"/>
    </row>
    <row r="15" spans="2:9" ht="46.5" x14ac:dyDescent="0.25">
      <c r="B15" s="46"/>
      <c r="C15" s="77" t="s">
        <v>61</v>
      </c>
      <c r="D15" s="78"/>
      <c r="E15" s="65">
        <v>1</v>
      </c>
      <c r="F15" s="55"/>
      <c r="G15" s="45"/>
    </row>
    <row r="16" spans="2:9" ht="46.5" x14ac:dyDescent="0.25">
      <c r="B16" s="46"/>
      <c r="C16" s="77" t="s">
        <v>62</v>
      </c>
      <c r="D16" s="78"/>
      <c r="E16" s="65">
        <v>1</v>
      </c>
      <c r="F16" s="55"/>
      <c r="G16" s="45"/>
    </row>
    <row r="17" spans="2:7" ht="46.5" x14ac:dyDescent="0.25">
      <c r="B17" s="46"/>
      <c r="C17" s="77" t="s">
        <v>63</v>
      </c>
      <c r="D17" s="78"/>
      <c r="E17" s="67" t="s">
        <v>64</v>
      </c>
      <c r="F17" s="55"/>
      <c r="G17" s="45"/>
    </row>
    <row r="18" spans="2:7" ht="47.25" thickBot="1" x14ac:dyDescent="0.3">
      <c r="B18" s="68"/>
      <c r="C18" s="69"/>
      <c r="D18" s="69"/>
      <c r="E18" s="69"/>
      <c r="F18" s="70"/>
      <c r="G18" s="45"/>
    </row>
    <row r="19" spans="2:7" ht="47.25" thickTop="1" x14ac:dyDescent="0.25">
      <c r="B19" s="45"/>
      <c r="C19" s="45"/>
      <c r="D19" s="45"/>
      <c r="E19" s="45"/>
      <c r="F19" s="45"/>
      <c r="G19" s="45"/>
    </row>
    <row r="20" spans="2:7" ht="46.5" x14ac:dyDescent="0.25">
      <c r="B20" s="45"/>
      <c r="C20" s="45"/>
      <c r="D20" s="45"/>
      <c r="E20" s="45"/>
      <c r="F20" s="45"/>
      <c r="G20" s="45"/>
    </row>
    <row r="21" spans="2:7" ht="46.5" x14ac:dyDescent="0.25">
      <c r="B21" s="45"/>
      <c r="C21" s="45"/>
      <c r="D21" s="45"/>
      <c r="E21" s="45"/>
      <c r="F21" s="45"/>
      <c r="G21" s="45"/>
    </row>
    <row r="22" spans="2:7" ht="46.5" x14ac:dyDescent="0.25">
      <c r="B22" s="45"/>
      <c r="C22" s="45"/>
      <c r="D22" s="45"/>
      <c r="E22" s="45"/>
      <c r="F22" s="45"/>
      <c r="G22" s="45"/>
    </row>
    <row r="23" spans="2:7" ht="46.5" x14ac:dyDescent="0.25">
      <c r="B23" s="45"/>
      <c r="C23" s="45"/>
      <c r="D23" s="45"/>
      <c r="E23" s="45"/>
      <c r="F23" s="45"/>
      <c r="G23" s="45"/>
    </row>
    <row r="24" spans="2:7" ht="46.5" x14ac:dyDescent="0.25">
      <c r="B24" s="45"/>
      <c r="C24" s="45"/>
      <c r="D24" s="45"/>
      <c r="E24" s="45"/>
      <c r="F24" s="45"/>
      <c r="G24" s="45"/>
    </row>
    <row r="25" spans="2:7" ht="46.5" x14ac:dyDescent="0.25">
      <c r="B25" s="45"/>
      <c r="C25" s="45"/>
      <c r="D25" s="45"/>
      <c r="E25" s="45"/>
      <c r="F25" s="45"/>
      <c r="G25" s="45"/>
    </row>
    <row r="26" spans="2:7" ht="46.5" x14ac:dyDescent="0.25">
      <c r="B26" s="45"/>
      <c r="C26" s="45"/>
      <c r="D26" s="45"/>
      <c r="E26" s="45"/>
      <c r="F26" s="45"/>
      <c r="G26" s="45"/>
    </row>
    <row r="27" spans="2:7" ht="46.5" x14ac:dyDescent="0.25">
      <c r="B27" s="45"/>
      <c r="C27" s="45"/>
      <c r="D27" s="45"/>
      <c r="E27" s="45"/>
      <c r="F27" s="45"/>
      <c r="G27" s="45"/>
    </row>
    <row r="28" spans="2:7" ht="46.5" x14ac:dyDescent="0.25">
      <c r="B28" s="45"/>
      <c r="C28" s="45"/>
      <c r="D28" s="45"/>
      <c r="E28" s="45"/>
      <c r="F28" s="45"/>
      <c r="G28" s="45"/>
    </row>
    <row r="29" spans="2:7" ht="46.5" x14ac:dyDescent="0.25">
      <c r="B29" s="45"/>
      <c r="C29" s="45"/>
      <c r="D29" s="45"/>
      <c r="E29" s="45"/>
      <c r="F29" s="45"/>
      <c r="G29" s="45"/>
    </row>
    <row r="30" spans="2:7" ht="46.5" x14ac:dyDescent="0.25">
      <c r="B30" s="45"/>
      <c r="C30" s="45"/>
      <c r="D30" s="45"/>
      <c r="E30" s="45"/>
      <c r="F30" s="45"/>
      <c r="G30" s="45"/>
    </row>
    <row r="31" spans="2:7" ht="46.5" x14ac:dyDescent="0.25">
      <c r="B31" s="45"/>
      <c r="C31" s="45"/>
      <c r="D31" s="45"/>
      <c r="E31" s="45"/>
      <c r="F31" s="45"/>
      <c r="G31" s="45"/>
    </row>
    <row r="32" spans="2:7" ht="46.5" x14ac:dyDescent="0.25">
      <c r="B32" s="45"/>
      <c r="C32" s="45"/>
      <c r="D32" s="45"/>
      <c r="E32" s="45"/>
      <c r="F32" s="45"/>
      <c r="G32" s="45"/>
    </row>
    <row r="33" spans="2:7" ht="46.5" x14ac:dyDescent="0.25">
      <c r="B33" s="71"/>
      <c r="C33" s="71"/>
      <c r="D33" s="71"/>
      <c r="E33" s="71"/>
      <c r="F33" s="71"/>
      <c r="G33" s="71"/>
    </row>
    <row r="34" spans="2:7" ht="46.5" x14ac:dyDescent="0.25">
      <c r="B34" s="71"/>
      <c r="C34" s="71"/>
      <c r="D34" s="71"/>
      <c r="E34" s="71"/>
      <c r="F34" s="71"/>
      <c r="G34" s="71"/>
    </row>
    <row r="35" spans="2:7" ht="46.5" x14ac:dyDescent="0.25">
      <c r="B35" s="71"/>
      <c r="C35" s="71"/>
      <c r="D35" s="71"/>
      <c r="E35" s="71"/>
      <c r="F35" s="71"/>
      <c r="G35" s="71"/>
    </row>
    <row r="36" spans="2:7" ht="46.5" x14ac:dyDescent="0.25">
      <c r="B36" s="71"/>
      <c r="C36" s="71"/>
      <c r="D36" s="71"/>
      <c r="E36" s="71"/>
      <c r="F36" s="71"/>
      <c r="G36" s="71"/>
    </row>
    <row r="37" spans="2:7" ht="46.5" x14ac:dyDescent="0.25">
      <c r="B37" s="71"/>
      <c r="C37" s="71"/>
      <c r="D37" s="71"/>
      <c r="E37" s="71"/>
      <c r="F37" s="71"/>
      <c r="G37" s="71"/>
    </row>
    <row r="38" spans="2:7" ht="46.5" x14ac:dyDescent="0.25">
      <c r="B38" s="71"/>
      <c r="C38" s="71"/>
      <c r="D38" s="71"/>
      <c r="E38" s="71"/>
      <c r="F38" s="71"/>
      <c r="G38" s="71"/>
    </row>
    <row r="39" spans="2:7" ht="46.5" x14ac:dyDescent="0.25">
      <c r="B39" s="71"/>
      <c r="C39" s="71"/>
      <c r="D39" s="71"/>
      <c r="E39" s="71"/>
      <c r="F39" s="71"/>
      <c r="G39" s="71"/>
    </row>
    <row r="40" spans="2:7" ht="46.5" x14ac:dyDescent="0.25">
      <c r="B40" s="71"/>
      <c r="C40" s="71"/>
      <c r="D40" s="71"/>
      <c r="E40" s="71"/>
      <c r="F40" s="71"/>
      <c r="G40" s="71"/>
    </row>
    <row r="41" spans="2:7" ht="46.5" x14ac:dyDescent="0.25">
      <c r="B41" s="71"/>
      <c r="C41" s="71"/>
      <c r="D41" s="71"/>
      <c r="E41" s="71"/>
      <c r="F41" s="71"/>
      <c r="G41" s="71"/>
    </row>
    <row r="42" spans="2:7" ht="46.5" x14ac:dyDescent="0.25">
      <c r="B42" s="71"/>
      <c r="C42" s="71"/>
      <c r="D42" s="71"/>
      <c r="E42" s="71"/>
      <c r="F42" s="71"/>
      <c r="G42" s="71"/>
    </row>
    <row r="43" spans="2:7" ht="46.5" x14ac:dyDescent="0.25">
      <c r="B43" s="71"/>
      <c r="C43" s="71"/>
      <c r="D43" s="71"/>
      <c r="E43" s="71"/>
      <c r="F43" s="71"/>
      <c r="G43" s="71"/>
    </row>
    <row r="44" spans="2:7" ht="46.5" x14ac:dyDescent="0.25">
      <c r="B44" s="71"/>
      <c r="C44" s="71"/>
      <c r="D44" s="71"/>
      <c r="E44" s="71"/>
      <c r="F44" s="71"/>
      <c r="G44" s="71"/>
    </row>
    <row r="45" spans="2:7" ht="46.5" x14ac:dyDescent="0.25">
      <c r="B45" s="71"/>
      <c r="C45" s="71"/>
      <c r="D45" s="71"/>
      <c r="E45" s="71"/>
      <c r="F45" s="71"/>
      <c r="G45" s="71"/>
    </row>
    <row r="46" spans="2:7" ht="46.5" x14ac:dyDescent="0.25">
      <c r="B46" s="71"/>
      <c r="C46" s="71"/>
      <c r="D46" s="71"/>
      <c r="E46" s="71"/>
      <c r="F46" s="71"/>
      <c r="G46" s="71"/>
    </row>
    <row r="47" spans="2:7" ht="46.5" x14ac:dyDescent="0.25">
      <c r="B47" s="71"/>
      <c r="C47" s="71"/>
      <c r="D47" s="71"/>
      <c r="E47" s="71"/>
      <c r="F47" s="71"/>
      <c r="G47" s="71"/>
    </row>
    <row r="48" spans="2:7" ht="46.5" x14ac:dyDescent="0.25">
      <c r="B48" s="71"/>
      <c r="C48" s="71"/>
      <c r="D48" s="71"/>
      <c r="E48" s="71"/>
      <c r="F48" s="71"/>
      <c r="G48" s="71"/>
    </row>
    <row r="49" spans="2:7" ht="46.5" x14ac:dyDescent="0.25">
      <c r="B49" s="71"/>
      <c r="C49" s="71"/>
      <c r="D49" s="71"/>
      <c r="E49" s="71"/>
      <c r="F49" s="71"/>
      <c r="G49" s="71"/>
    </row>
    <row r="50" spans="2:7" ht="46.5" x14ac:dyDescent="0.25">
      <c r="B50" s="71"/>
      <c r="C50" s="71"/>
      <c r="D50" s="71"/>
      <c r="E50" s="71"/>
      <c r="F50" s="71"/>
      <c r="G50" s="71"/>
    </row>
    <row r="51" spans="2:7" ht="46.5" x14ac:dyDescent="0.25">
      <c r="B51" s="71"/>
      <c r="C51" s="71"/>
      <c r="D51" s="71"/>
      <c r="E51" s="71"/>
      <c r="F51" s="71"/>
      <c r="G51" s="71"/>
    </row>
    <row r="52" spans="2:7" ht="46.5" x14ac:dyDescent="0.25">
      <c r="B52" s="71"/>
      <c r="C52" s="71"/>
      <c r="D52" s="71"/>
      <c r="E52" s="71"/>
      <c r="F52" s="71"/>
      <c r="G52" s="71"/>
    </row>
    <row r="53" spans="2:7" ht="46.5" x14ac:dyDescent="0.25">
      <c r="B53" s="71"/>
      <c r="C53" s="71"/>
      <c r="D53" s="71"/>
      <c r="E53" s="71"/>
      <c r="F53" s="71"/>
      <c r="G53" s="71"/>
    </row>
    <row r="54" spans="2:7" ht="46.5" x14ac:dyDescent="0.25">
      <c r="B54" s="71"/>
      <c r="C54" s="71"/>
      <c r="D54" s="71"/>
      <c r="E54" s="71"/>
      <c r="F54" s="71"/>
      <c r="G54" s="71"/>
    </row>
    <row r="55" spans="2:7" ht="46.5" x14ac:dyDescent="0.25">
      <c r="B55" s="71"/>
      <c r="C55" s="71"/>
      <c r="D55" s="71"/>
      <c r="E55" s="71"/>
      <c r="F55" s="71"/>
      <c r="G55" s="71"/>
    </row>
    <row r="56" spans="2:7" ht="46.5" x14ac:dyDescent="0.25">
      <c r="B56" s="71"/>
      <c r="C56" s="71"/>
      <c r="D56" s="71"/>
      <c r="E56" s="71"/>
      <c r="F56" s="71"/>
      <c r="G56" s="71"/>
    </row>
    <row r="57" spans="2:7" ht="46.5" x14ac:dyDescent="0.25">
      <c r="B57" s="71"/>
      <c r="C57" s="71"/>
      <c r="D57" s="71"/>
      <c r="E57" s="71"/>
      <c r="F57" s="71"/>
      <c r="G57" s="71"/>
    </row>
    <row r="58" spans="2:7" ht="46.5" x14ac:dyDescent="0.25">
      <c r="B58" s="71"/>
      <c r="C58" s="71"/>
      <c r="D58" s="71"/>
      <c r="E58" s="71"/>
      <c r="F58" s="71"/>
      <c r="G58" s="71"/>
    </row>
  </sheetData>
  <mergeCells count="6">
    <mergeCell ref="C17:D17"/>
    <mergeCell ref="C2:F2"/>
    <mergeCell ref="D7:E7"/>
    <mergeCell ref="D13:E13"/>
    <mergeCell ref="C15:D15"/>
    <mergeCell ref="C16:D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D978-1261-4597-86D4-98842B610139}">
  <dimension ref="B10:F26"/>
  <sheetViews>
    <sheetView showGridLines="0" tabSelected="1" topLeftCell="A11" zoomScale="130" zoomScaleNormal="130" workbookViewId="0">
      <selection activeCell="H24" sqref="H24"/>
    </sheetView>
  </sheetViews>
  <sheetFormatPr baseColWidth="10" defaultRowHeight="15" x14ac:dyDescent="0.25"/>
  <cols>
    <col min="1" max="1" width="3.140625" customWidth="1"/>
    <col min="2" max="2" width="35.5703125" customWidth="1"/>
    <col min="5" max="5" width="12.7109375" bestFit="1" customWidth="1"/>
    <col min="6" max="6" width="13" bestFit="1" customWidth="1"/>
    <col min="7" max="7" width="6.28515625" customWidth="1"/>
    <col min="8" max="8" width="40.140625" customWidth="1"/>
    <col min="10" max="11" width="13" bestFit="1" customWidth="1"/>
    <col min="12" max="12" width="13.7109375" customWidth="1"/>
  </cols>
  <sheetData>
    <row r="10" spans="2:6" x14ac:dyDescent="0.25">
      <c r="C10" s="82" t="s">
        <v>47</v>
      </c>
      <c r="D10" s="83"/>
      <c r="E10" s="83"/>
      <c r="F10" s="84"/>
    </row>
    <row r="11" spans="2:6" x14ac:dyDescent="0.25">
      <c r="C11" s="4" t="s">
        <v>0</v>
      </c>
      <c r="D11" s="4" t="s">
        <v>2</v>
      </c>
      <c r="E11" s="4" t="s">
        <v>1</v>
      </c>
      <c r="F11" s="4" t="s">
        <v>3</v>
      </c>
    </row>
    <row r="12" spans="2:6" x14ac:dyDescent="0.25">
      <c r="B12" s="1" t="s">
        <v>38</v>
      </c>
      <c r="C12" s="2">
        <f>'Datos Clariant'!J9</f>
        <v>48</v>
      </c>
      <c r="D12" s="75">
        <f>C12*30.5</f>
        <v>1464</v>
      </c>
      <c r="E12" s="3">
        <v>5.26</v>
      </c>
      <c r="F12" s="3">
        <f>E12*D12</f>
        <v>7700.6399999999994</v>
      </c>
    </row>
    <row r="13" spans="2:6" x14ac:dyDescent="0.25">
      <c r="B13" s="1" t="s">
        <v>41</v>
      </c>
      <c r="C13" s="2">
        <f>'Datos Clariant'!J7+'Datos Clariant'!J8</f>
        <v>140</v>
      </c>
      <c r="D13" s="75">
        <f>C13*30.5</f>
        <v>4270</v>
      </c>
      <c r="E13" s="3">
        <v>5.52</v>
      </c>
      <c r="F13" s="3">
        <f t="shared" ref="F13" si="0">E13*D13</f>
        <v>23570.399999999998</v>
      </c>
    </row>
    <row r="14" spans="2:6" x14ac:dyDescent="0.25">
      <c r="C14" s="96">
        <f>C12+C13</f>
        <v>188</v>
      </c>
      <c r="D14" s="94" t="s">
        <v>0</v>
      </c>
      <c r="E14" s="5" t="s">
        <v>4</v>
      </c>
      <c r="F14" s="6">
        <f>SUM(F12:F13)</f>
        <v>31271.039999999997</v>
      </c>
    </row>
    <row r="18" spans="2:6" x14ac:dyDescent="0.25">
      <c r="C18" s="85" t="s">
        <v>22</v>
      </c>
      <c r="D18" s="85"/>
      <c r="E18" s="85"/>
      <c r="F18" s="86" t="s">
        <v>69</v>
      </c>
    </row>
    <row r="19" spans="2:6" x14ac:dyDescent="0.25">
      <c r="C19" s="4" t="s">
        <v>2</v>
      </c>
      <c r="D19" s="4" t="s">
        <v>1</v>
      </c>
      <c r="E19" s="4" t="s">
        <v>3</v>
      </c>
      <c r="F19" s="87"/>
    </row>
    <row r="20" spans="2:6" hidden="1" x14ac:dyDescent="0.25">
      <c r="B20" s="1" t="s">
        <v>24</v>
      </c>
      <c r="C20" s="74">
        <f>'PQ PECOM'!F5</f>
        <v>4864</v>
      </c>
      <c r="D20" s="3">
        <v>5.87</v>
      </c>
      <c r="E20" s="3">
        <f>C20*D20</f>
        <v>28551.68</v>
      </c>
      <c r="F20" s="22">
        <f>(E20-F14)/F14</f>
        <v>-8.6960970917500574E-2</v>
      </c>
    </row>
    <row r="21" spans="2:6" x14ac:dyDescent="0.25">
      <c r="B21" s="98" t="s">
        <v>78</v>
      </c>
      <c r="C21" s="99">
        <f>'PQ PECOM'!F6</f>
        <v>4864</v>
      </c>
      <c r="D21" s="100">
        <f>'PQ PECOM'!J6</f>
        <v>5.78</v>
      </c>
      <c r="E21" s="100">
        <f>D21*C21</f>
        <v>28113.920000000002</v>
      </c>
      <c r="F21" s="22">
        <f>(E21-F14)/F14</f>
        <v>-0.10095986574159337</v>
      </c>
    </row>
    <row r="22" spans="2:6" x14ac:dyDescent="0.25">
      <c r="B22" s="1" t="str">
        <f>'PQ PECOM'!D7</f>
        <v>DBN1890 - 25%CP</v>
      </c>
      <c r="C22" s="74">
        <f>'PQ PECOM'!F7</f>
        <v>4864</v>
      </c>
      <c r="D22" s="3">
        <f>'PQ PECOM'!J7</f>
        <v>5.57</v>
      </c>
      <c r="E22" s="3">
        <f>D22*C22</f>
        <v>27092.480000000003</v>
      </c>
      <c r="F22" s="22">
        <f>(E22-F14)/F14</f>
        <v>-0.1336239536644766</v>
      </c>
    </row>
    <row r="23" spans="2:6" x14ac:dyDescent="0.25">
      <c r="B23" s="1" t="str">
        <f>'PQ PECOM'!D8</f>
        <v>DBN1890 - 20%CP</v>
      </c>
      <c r="C23" s="74">
        <f>'PQ PECOM'!F8</f>
        <v>4864</v>
      </c>
      <c r="D23" s="3">
        <f>'PQ PECOM'!J8</f>
        <v>5.2</v>
      </c>
      <c r="E23" s="3">
        <f>D23*C23</f>
        <v>25292.799999999999</v>
      </c>
      <c r="F23" s="22">
        <f>(E23-F14)/F14</f>
        <v>-0.1911749657190806</v>
      </c>
    </row>
    <row r="24" spans="2:6" x14ac:dyDescent="0.25">
      <c r="B24" s="92"/>
      <c r="C24" s="93">
        <f>C23/30.5</f>
        <v>159.47540983606558</v>
      </c>
      <c r="D24" s="94" t="s">
        <v>0</v>
      </c>
      <c r="E24" s="94"/>
      <c r="F24" s="95"/>
    </row>
    <row r="26" spans="2:6" x14ac:dyDescent="0.25">
      <c r="B26" s="1" t="s">
        <v>73</v>
      </c>
      <c r="C26" s="74">
        <v>12000</v>
      </c>
      <c r="D26" s="3">
        <v>4.8</v>
      </c>
      <c r="E26" s="3">
        <f>D26*C26</f>
        <v>57600</v>
      </c>
    </row>
  </sheetData>
  <mergeCells count="3">
    <mergeCell ref="C10:F10"/>
    <mergeCell ref="C18:E18"/>
    <mergeCell ref="F18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D422-11E5-42A8-82D9-684B2081951B}">
  <dimension ref="A1:N9"/>
  <sheetViews>
    <sheetView workbookViewId="0">
      <selection activeCell="P5" sqref="P5"/>
    </sheetView>
  </sheetViews>
  <sheetFormatPr baseColWidth="10" defaultRowHeight="15" x14ac:dyDescent="0.25"/>
  <cols>
    <col min="2" max="2" width="32.42578125" bestFit="1" customWidth="1"/>
    <col min="3" max="3" width="17.42578125" hidden="1" customWidth="1"/>
    <col min="4" max="4" width="12.85546875" hidden="1" customWidth="1"/>
    <col min="5" max="5" width="29.85546875" hidden="1" customWidth="1"/>
    <col min="6" max="8" width="0" hidden="1" customWidth="1"/>
    <col min="14" max="14" width="12.28515625" bestFit="1" customWidth="1"/>
  </cols>
  <sheetData>
    <row r="1" spans="1:14" ht="45" x14ac:dyDescent="0.25">
      <c r="A1" s="23" t="s">
        <v>45</v>
      </c>
      <c r="B1" s="23" t="s">
        <v>28</v>
      </c>
      <c r="C1" s="23" t="s">
        <v>29</v>
      </c>
      <c r="D1" s="24" t="s">
        <v>30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5" t="s">
        <v>36</v>
      </c>
      <c r="K1" s="73" t="s">
        <v>65</v>
      </c>
      <c r="L1" s="73" t="s">
        <v>77</v>
      </c>
      <c r="M1" s="32" t="s">
        <v>42</v>
      </c>
      <c r="N1" s="32" t="s">
        <v>46</v>
      </c>
    </row>
    <row r="2" spans="1:14" x14ac:dyDescent="0.25">
      <c r="A2" s="29" t="s">
        <v>43</v>
      </c>
      <c r="B2" s="29" t="s">
        <v>66</v>
      </c>
      <c r="C2" s="29" t="s">
        <v>37</v>
      </c>
      <c r="D2" s="30">
        <v>800100000124</v>
      </c>
      <c r="E2" s="29" t="s">
        <v>41</v>
      </c>
      <c r="F2" s="29" t="s">
        <v>39</v>
      </c>
      <c r="G2" s="29" t="s">
        <v>33</v>
      </c>
      <c r="H2" s="29" t="s">
        <v>40</v>
      </c>
      <c r="I2" s="29">
        <v>70</v>
      </c>
      <c r="J2" s="31">
        <v>60</v>
      </c>
      <c r="K2" s="31">
        <v>1880</v>
      </c>
      <c r="L2" s="31">
        <f>(J2*1000)/K2</f>
        <v>31.914893617021278</v>
      </c>
      <c r="M2" s="34">
        <v>5.52</v>
      </c>
      <c r="N2" s="36">
        <f t="shared" ref="N2:N4" si="0">M2*J2*30.4</f>
        <v>10068.48</v>
      </c>
    </row>
    <row r="3" spans="1:14" x14ac:dyDescent="0.25">
      <c r="A3" s="26" t="s">
        <v>44</v>
      </c>
      <c r="B3" s="26" t="s">
        <v>67</v>
      </c>
      <c r="C3" s="26" t="s">
        <v>37</v>
      </c>
      <c r="D3" s="27">
        <v>800100000124</v>
      </c>
      <c r="E3" s="26" t="s">
        <v>41</v>
      </c>
      <c r="F3" s="26" t="s">
        <v>39</v>
      </c>
      <c r="G3" s="26" t="s">
        <v>33</v>
      </c>
      <c r="H3" s="26" t="s">
        <v>40</v>
      </c>
      <c r="I3" s="26">
        <v>60</v>
      </c>
      <c r="J3" s="28">
        <v>100</v>
      </c>
      <c r="K3" s="28">
        <v>1900</v>
      </c>
      <c r="L3" s="31">
        <f t="shared" ref="L3:L4" si="1">(J3*1000)/K3</f>
        <v>52.631578947368418</v>
      </c>
      <c r="M3" s="33">
        <v>5.52</v>
      </c>
      <c r="N3" s="35">
        <f t="shared" si="0"/>
        <v>16780.8</v>
      </c>
    </row>
    <row r="4" spans="1:14" x14ac:dyDescent="0.25">
      <c r="A4" s="29" t="s">
        <v>44</v>
      </c>
      <c r="B4" s="29" t="s">
        <v>68</v>
      </c>
      <c r="C4" s="29" t="s">
        <v>37</v>
      </c>
      <c r="D4" s="30">
        <v>800106054020</v>
      </c>
      <c r="E4" s="29" t="s">
        <v>38</v>
      </c>
      <c r="F4" s="29" t="s">
        <v>39</v>
      </c>
      <c r="G4" s="29" t="s">
        <v>33</v>
      </c>
      <c r="H4" s="29" t="s">
        <v>40</v>
      </c>
      <c r="I4" s="29">
        <v>13</v>
      </c>
      <c r="J4" s="31">
        <v>60</v>
      </c>
      <c r="K4" s="31">
        <v>1900</v>
      </c>
      <c r="L4" s="31">
        <f t="shared" si="1"/>
        <v>31.578947368421051</v>
      </c>
      <c r="M4" s="34">
        <v>5.26</v>
      </c>
      <c r="N4" s="36">
        <f t="shared" si="0"/>
        <v>9594.239999999998</v>
      </c>
    </row>
    <row r="6" spans="1:14" x14ac:dyDescent="0.25">
      <c r="N6" s="37">
        <f>SUM(N2:N4)</f>
        <v>36443.519999999997</v>
      </c>
    </row>
    <row r="7" spans="1:14" x14ac:dyDescent="0.25">
      <c r="A7" t="s">
        <v>43</v>
      </c>
      <c r="B7" t="s">
        <v>74</v>
      </c>
      <c r="J7">
        <v>40</v>
      </c>
    </row>
    <row r="8" spans="1:14" x14ac:dyDescent="0.25">
      <c r="A8" t="s">
        <v>44</v>
      </c>
      <c r="B8" t="s">
        <v>75</v>
      </c>
      <c r="E8" t="s">
        <v>38</v>
      </c>
      <c r="F8" s="38" t="e">
        <f>#REF!+J4</f>
        <v>#REF!</v>
      </c>
      <c r="J8">
        <v>100</v>
      </c>
    </row>
    <row r="9" spans="1:14" x14ac:dyDescent="0.25">
      <c r="A9" t="s">
        <v>44</v>
      </c>
      <c r="B9" t="s">
        <v>76</v>
      </c>
      <c r="E9" t="s">
        <v>41</v>
      </c>
      <c r="F9" s="38">
        <f>J2+J3</f>
        <v>160</v>
      </c>
      <c r="J9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175-76CA-4722-90D8-E271E1481EE8}">
  <dimension ref="B1:Q9"/>
  <sheetViews>
    <sheetView showGridLines="0" topLeftCell="B1" workbookViewId="0">
      <selection activeCell="I9" sqref="I9"/>
    </sheetView>
  </sheetViews>
  <sheetFormatPr baseColWidth="10" defaultRowHeight="15" x14ac:dyDescent="0.25"/>
  <cols>
    <col min="1" max="1" width="3" customWidth="1"/>
    <col min="4" max="4" width="15.7109375" customWidth="1"/>
  </cols>
  <sheetData>
    <row r="1" spans="2:17" x14ac:dyDescent="0.25">
      <c r="B1" t="s">
        <v>6</v>
      </c>
      <c r="D1">
        <v>881.5</v>
      </c>
      <c r="E1" s="7">
        <v>45421</v>
      </c>
      <c r="F1" t="s">
        <v>7</v>
      </c>
      <c r="N1" s="88" t="s">
        <v>8</v>
      </c>
      <c r="O1" s="89"/>
    </row>
    <row r="2" spans="2:17" x14ac:dyDescent="0.25">
      <c r="N2" s="90">
        <v>5.5E-2</v>
      </c>
      <c r="O2" s="91"/>
    </row>
    <row r="3" spans="2:17" ht="26.25" thickBot="1" x14ac:dyDescent="0.3">
      <c r="B3" s="8" t="s">
        <v>9</v>
      </c>
      <c r="C3" s="9" t="s">
        <v>10</v>
      </c>
      <c r="D3" s="10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2" t="s">
        <v>21</v>
      </c>
    </row>
    <row r="4" spans="2:17" ht="35.25" customHeight="1" thickBot="1" x14ac:dyDescent="0.3">
      <c r="B4" s="13" t="s">
        <v>5</v>
      </c>
      <c r="C4" s="14" t="s">
        <v>57</v>
      </c>
      <c r="D4" s="15" t="s">
        <v>71</v>
      </c>
      <c r="E4" s="16">
        <v>4.7699999999999996</v>
      </c>
      <c r="F4" s="17">
        <v>1</v>
      </c>
      <c r="G4" s="16"/>
      <c r="H4" s="18">
        <v>0.09</v>
      </c>
      <c r="I4" s="18">
        <f>+E4+H4+G4</f>
        <v>4.8599999999999994</v>
      </c>
      <c r="J4" s="19">
        <v>7.78</v>
      </c>
      <c r="K4" s="20">
        <f>J4/I4</f>
        <v>1.6008230452674899</v>
      </c>
      <c r="L4" s="17">
        <f>F4*I4</f>
        <v>4.8599999999999994</v>
      </c>
      <c r="M4" s="17">
        <f>J4*F4</f>
        <v>7.78</v>
      </c>
      <c r="N4" s="17">
        <f>ROUND(M4-L4-$N$2*M4,0)</f>
        <v>2</v>
      </c>
      <c r="O4" s="21">
        <f t="shared" ref="O4" si="0">+N4/M4</f>
        <v>0.25706940874035988</v>
      </c>
      <c r="Q4" s="76" t="s">
        <v>70</v>
      </c>
    </row>
    <row r="5" spans="2:17" ht="35.25" customHeight="1" thickBot="1" x14ac:dyDescent="0.3">
      <c r="B5" s="13" t="s">
        <v>5</v>
      </c>
      <c r="C5" s="14" t="s">
        <v>23</v>
      </c>
      <c r="D5" s="15" t="s">
        <v>24</v>
      </c>
      <c r="E5" s="16">
        <v>4.22</v>
      </c>
      <c r="F5" s="17">
        <f>(80*2000/1000)*30.4</f>
        <v>4864</v>
      </c>
      <c r="G5" s="16"/>
      <c r="H5" s="18">
        <v>0.09</v>
      </c>
      <c r="I5" s="18">
        <f>+E5+H5+G5</f>
        <v>4.3099999999999996</v>
      </c>
      <c r="J5" s="19">
        <v>5.87</v>
      </c>
      <c r="K5" s="20">
        <f>J5/I5</f>
        <v>1.3619489559164735</v>
      </c>
      <c r="L5" s="17">
        <f>F5*I5</f>
        <v>20963.839999999997</v>
      </c>
      <c r="M5" s="17">
        <f>J5*F5</f>
        <v>28551.68</v>
      </c>
      <c r="N5" s="17">
        <f>ROUND(M5-L5-$N$2*M5,0)</f>
        <v>6017</v>
      </c>
      <c r="O5" s="21">
        <f t="shared" ref="O5" si="1">+N5/M5</f>
        <v>0.21074066394692012</v>
      </c>
      <c r="Q5" s="76" t="s">
        <v>70</v>
      </c>
    </row>
    <row r="6" spans="2:17" ht="35.25" customHeight="1" thickBot="1" x14ac:dyDescent="0.3">
      <c r="B6" s="13" t="s">
        <v>5</v>
      </c>
      <c r="C6" s="14" t="s">
        <v>23</v>
      </c>
      <c r="D6" s="15" t="s">
        <v>25</v>
      </c>
      <c r="E6" s="16">
        <v>3.78</v>
      </c>
      <c r="F6" s="17">
        <f>F5</f>
        <v>4864</v>
      </c>
      <c r="G6" s="16"/>
      <c r="H6" s="18">
        <v>0.09</v>
      </c>
      <c r="I6" s="18">
        <f>+E6+H6+G6</f>
        <v>3.8699999999999997</v>
      </c>
      <c r="J6" s="19">
        <v>5.78</v>
      </c>
      <c r="K6" s="20">
        <f>J6/I6</f>
        <v>1.4935400516795867</v>
      </c>
      <c r="L6" s="17">
        <f>F6*I6</f>
        <v>18823.679999999997</v>
      </c>
      <c r="M6" s="17">
        <f>J6*F6</f>
        <v>28113.920000000002</v>
      </c>
      <c r="N6" s="17">
        <f>ROUND(M6-L6-$N$2*M6,0)</f>
        <v>7744</v>
      </c>
      <c r="O6" s="21">
        <f t="shared" ref="O6" si="2">+N6/M6</f>
        <v>0.27545073757056998</v>
      </c>
      <c r="Q6" s="97">
        <f>(J5-J6)/J5</f>
        <v>1.5332197614991458E-2</v>
      </c>
    </row>
    <row r="7" spans="2:17" ht="35.25" customHeight="1" thickBot="1" x14ac:dyDescent="0.3">
      <c r="B7" s="13" t="s">
        <v>5</v>
      </c>
      <c r="C7" s="14" t="s">
        <v>23</v>
      </c>
      <c r="D7" s="15" t="s">
        <v>26</v>
      </c>
      <c r="E7" s="16">
        <v>3.78</v>
      </c>
      <c r="F7" s="17">
        <f>F6</f>
        <v>4864</v>
      </c>
      <c r="G7" s="16"/>
      <c r="H7" s="18">
        <v>0.09</v>
      </c>
      <c r="I7" s="18">
        <f>+E7+H7+G7</f>
        <v>3.8699999999999997</v>
      </c>
      <c r="J7" s="19">
        <v>5.57</v>
      </c>
      <c r="K7" s="20">
        <f>J7/I7</f>
        <v>1.439276485788114</v>
      </c>
      <c r="L7" s="17">
        <f>F7*I7</f>
        <v>18823.679999999997</v>
      </c>
      <c r="M7" s="17">
        <f>J7*F7</f>
        <v>27092.480000000003</v>
      </c>
      <c r="N7" s="17">
        <f>ROUND(M7-L7-$N$2*M7,0)</f>
        <v>6779</v>
      </c>
      <c r="O7" s="21">
        <f t="shared" ref="O7" si="3">+N7/M7</f>
        <v>0.25021703439478404</v>
      </c>
      <c r="Q7" s="76"/>
    </row>
    <row r="8" spans="2:17" ht="35.25" customHeight="1" thickBot="1" x14ac:dyDescent="0.3">
      <c r="B8" s="13" t="s">
        <v>5</v>
      </c>
      <c r="C8" s="14" t="s">
        <v>23</v>
      </c>
      <c r="D8" s="15" t="s">
        <v>27</v>
      </c>
      <c r="E8" s="16">
        <v>3.78</v>
      </c>
      <c r="F8" s="17">
        <f>F7</f>
        <v>4864</v>
      </c>
      <c r="G8" s="16"/>
      <c r="H8" s="18">
        <v>0.09</v>
      </c>
      <c r="I8" s="18">
        <f>+E8+H8+G8</f>
        <v>3.8699999999999997</v>
      </c>
      <c r="J8" s="19">
        <v>5.2</v>
      </c>
      <c r="K8" s="20">
        <f>J8/I8</f>
        <v>1.3436692506459951</v>
      </c>
      <c r="L8" s="17">
        <f>F8*I8</f>
        <v>18823.679999999997</v>
      </c>
      <c r="M8" s="17">
        <f>J8*F8</f>
        <v>25292.799999999999</v>
      </c>
      <c r="N8" s="17">
        <f>ROUND(M8-L8-$N$2*M8,0)</f>
        <v>5078</v>
      </c>
      <c r="O8" s="21">
        <f>+N8/M8</f>
        <v>0.20076859817813766</v>
      </c>
      <c r="Q8" s="76"/>
    </row>
    <row r="9" spans="2:17" ht="35.25" customHeight="1" thickBot="1" x14ac:dyDescent="0.3">
      <c r="B9" s="13" t="s">
        <v>5</v>
      </c>
      <c r="C9" s="14" t="s">
        <v>23</v>
      </c>
      <c r="D9" s="15" t="s">
        <v>72</v>
      </c>
      <c r="E9" s="16">
        <v>3.67</v>
      </c>
      <c r="F9" s="17">
        <v>12000</v>
      </c>
      <c r="G9" s="16"/>
      <c r="H9" s="18">
        <v>0.09</v>
      </c>
      <c r="I9" s="18">
        <f>+E9+H9+G9</f>
        <v>3.76</v>
      </c>
      <c r="J9" s="19">
        <v>4.8</v>
      </c>
      <c r="K9" s="20">
        <f>J9/I9</f>
        <v>1.2765957446808511</v>
      </c>
      <c r="L9" s="17">
        <f>F9*I9</f>
        <v>45120</v>
      </c>
      <c r="M9" s="17">
        <f>J9*F9</f>
        <v>57600</v>
      </c>
      <c r="N9" s="17">
        <f>ROUND(M9-L9-$N$2*M9,0)</f>
        <v>9312</v>
      </c>
      <c r="O9" s="21">
        <f>+N9/M9</f>
        <v>0.16166666666666665</v>
      </c>
      <c r="Q9" s="76"/>
    </row>
  </sheetData>
  <mergeCells count="2">
    <mergeCell ref="N1:O1"/>
    <mergeCell ref="N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14FA8-4B08-40D9-9137-5EE36333E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65305F-E656-4531-99A8-BC92EDB67222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730269a7-69c5-483f-a552-e74dab880ae2"/>
    <ds:schemaRef ds:uri="http://schemas.microsoft.com/office/infopath/2007/PartnerControls"/>
    <ds:schemaRef ds:uri="40de77e2-37bb-4c7a-ab4d-547915d99553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8AEB958-D2AC-4EC6-92B7-1C4143541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Actual Clariant</vt:lpstr>
      <vt:lpstr>Datos Clariant</vt:lpstr>
      <vt:lpstr>PQ PECOM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Lopez, Jimmy</cp:lastModifiedBy>
  <cp:lastPrinted>2024-05-21T15:43:48Z</cp:lastPrinted>
  <dcterms:created xsi:type="dcterms:W3CDTF">2024-03-20T12:02:44Z</dcterms:created>
  <dcterms:modified xsi:type="dcterms:W3CDTF">2024-05-22T19:50:49Z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