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pecom.sharepoint.com/sites/CotizacionessucursalOESTE/Documentos compartidos/General/04 - 2024/1-Cotizaciones y licitaciones/53. PAMPA. Lic Prov de Qco/"/>
    </mc:Choice>
  </mc:AlternateContent>
  <xr:revisionPtr revIDLastSave="637" documentId="14_{F1A42D9A-ABED-4A60-966C-36ECDD50A0FD}" xr6:coauthVersionLast="47" xr6:coauthVersionMax="47" xr10:uidLastSave="{CF0FA9D4-6D64-414C-A32F-B2220544B47C}"/>
  <bookViews>
    <workbookView xWindow="-120" yWindow="-120" windowWidth="24240" windowHeight="13140" firstSheet="3" activeTab="6" xr2:uid="{00000000-000D-0000-FFFF-FFFF00000000}"/>
  </bookViews>
  <sheets>
    <sheet name="EERR" sheetId="37" r:id="rId1"/>
    <sheet name="Planilla A (2022)" sheetId="47" r:id="rId2"/>
    <sheet name="Planilla A" sheetId="35" r:id="rId3"/>
    <sheet name="Hoja1" sheetId="49" r:id="rId4"/>
    <sheet name="Planilla B" sheetId="34" r:id="rId5"/>
    <sheet name="FA" sheetId="26" r:id="rId6"/>
    <sheet name=" AjusteK-Scio" sheetId="29" r:id="rId7"/>
    <sheet name="AjusteK-PQ" sheetId="36" r:id="rId8"/>
    <sheet name="CR(borrar)" sheetId="45" state="hidden" r:id="rId9"/>
    <sheet name="Consumos (Q)" sheetId="48" r:id="rId10"/>
    <sheet name="Sensorización" sheetId="43" r:id="rId11"/>
    <sheet name="Penalidades" sheetId="42" r:id="rId12"/>
    <sheet name="Rtas PESA" sheetId="40" state="hidden" r:id="rId13"/>
    <sheet name="Esquema de tratamiento" sheetId="41" state="hidden" r:id="rId14"/>
    <sheet name="1. S" sheetId="6" r:id="rId15"/>
    <sheet name="MO" sheetId="31" r:id="rId16"/>
    <sheet name="2.IER" sheetId="18" r:id="rId17"/>
    <sheet name="3.CLN" sheetId="17" r:id="rId18"/>
    <sheet name="Cantidad" sheetId="30" r:id="rId19"/>
    <sheet name="4.IM" sheetId="19" r:id="rId20"/>
    <sheet name="5.L" sheetId="20" r:id="rId21"/>
    <sheet name="Trailer vestidor" sheetId="38" r:id="rId22"/>
    <sheet name="5.LI" sheetId="24" r:id="rId23"/>
    <sheet name="6.MBD" sheetId="21" r:id="rId24"/>
    <sheet name="7.II" sheetId="22" r:id="rId25"/>
    <sheet name="8.- Servicio contratado" sheetId="23" r:id="rId26"/>
  </sheets>
  <externalReferences>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s>
  <definedNames>
    <definedName name="\0" localSheetId="19">#REF!</definedName>
    <definedName name="\0" localSheetId="20">#REF!</definedName>
    <definedName name="\0" localSheetId="22">#REF!</definedName>
    <definedName name="\0" localSheetId="23">#REF!</definedName>
    <definedName name="\0" localSheetId="24">#REF!</definedName>
    <definedName name="\0" localSheetId="25">#REF!</definedName>
    <definedName name="\0">#REF!</definedName>
    <definedName name="\00" localSheetId="20">#REF!</definedName>
    <definedName name="\00" localSheetId="24">#REF!</definedName>
    <definedName name="\00" localSheetId="25">#REF!</definedName>
    <definedName name="\00">#REF!</definedName>
    <definedName name="\1" localSheetId="20">#REF!</definedName>
    <definedName name="\1" localSheetId="24">#REF!</definedName>
    <definedName name="\1" localSheetId="25">#REF!</definedName>
    <definedName name="\1">#REF!</definedName>
    <definedName name="\2" localSheetId="20">#REF!</definedName>
    <definedName name="\2" localSheetId="24">#REF!</definedName>
    <definedName name="\2" localSheetId="25">#REF!</definedName>
    <definedName name="\2">#REF!</definedName>
    <definedName name="\A" localSheetId="20">[1]Sheet6!#REF!</definedName>
    <definedName name="\A" localSheetId="24">[1]Sheet6!#REF!</definedName>
    <definedName name="\A" localSheetId="25">[1]Sheet6!#REF!</definedName>
    <definedName name="\A">[1]Sheet6!#REF!</definedName>
    <definedName name="\A11" localSheetId="20">#REF!</definedName>
    <definedName name="\A11" localSheetId="24">#REF!</definedName>
    <definedName name="\A11" localSheetId="25">#REF!</definedName>
    <definedName name="\A11">#REF!</definedName>
    <definedName name="\A15" localSheetId="20">#REF!</definedName>
    <definedName name="\A15" localSheetId="24">#REF!</definedName>
    <definedName name="\A15" localSheetId="25">#REF!</definedName>
    <definedName name="\A15">#REF!</definedName>
    <definedName name="\A17" localSheetId="20">#REF!</definedName>
    <definedName name="\A17" localSheetId="24">#REF!</definedName>
    <definedName name="\A17" localSheetId="25">#REF!</definedName>
    <definedName name="\A17">#REF!</definedName>
    <definedName name="\A27" localSheetId="20">#REF!</definedName>
    <definedName name="\A27" localSheetId="24">#REF!</definedName>
    <definedName name="\A27" localSheetId="25">#REF!</definedName>
    <definedName name="\A27">#REF!</definedName>
    <definedName name="\A28" localSheetId="20">#REF!</definedName>
    <definedName name="\A28" localSheetId="24">#REF!</definedName>
    <definedName name="\A28" localSheetId="25">#REF!</definedName>
    <definedName name="\A28">#REF!</definedName>
    <definedName name="\B" localSheetId="20">[1]Sheet6!#REF!</definedName>
    <definedName name="\B" localSheetId="24">[1]Sheet6!#REF!</definedName>
    <definedName name="\B" localSheetId="25">[1]Sheet6!#REF!</definedName>
    <definedName name="\B">[1]Sheet6!#REF!</definedName>
    <definedName name="\C" localSheetId="20">[1]Sheet6!#REF!</definedName>
    <definedName name="\C" localSheetId="24">[1]Sheet6!#REF!</definedName>
    <definedName name="\C" localSheetId="25">[1]Sheet6!#REF!</definedName>
    <definedName name="\C">[1]Sheet6!#REF!</definedName>
    <definedName name="\D" localSheetId="20">[1]Sheet6!#REF!</definedName>
    <definedName name="\D" localSheetId="24">[1]Sheet6!#REF!</definedName>
    <definedName name="\D" localSheetId="25">[1]Sheet6!#REF!</definedName>
    <definedName name="\D">[1]Sheet6!#REF!</definedName>
    <definedName name="\E" localSheetId="20">[1]Sheet6!#REF!</definedName>
    <definedName name="\E" localSheetId="24">[1]Sheet6!#REF!</definedName>
    <definedName name="\E" localSheetId="25">[1]Sheet6!#REF!</definedName>
    <definedName name="\E">[1]Sheet6!#REF!</definedName>
    <definedName name="\EDIT" localSheetId="20">#REF!</definedName>
    <definedName name="\EDIT" localSheetId="24">#REF!</definedName>
    <definedName name="\EDIT" localSheetId="25">#REF!</definedName>
    <definedName name="\EDIT">#REF!</definedName>
    <definedName name="\EPSNSEL" localSheetId="20">#REF!</definedName>
    <definedName name="\EPSNSEL" localSheetId="24">#REF!</definedName>
    <definedName name="\EPSNSEL" localSheetId="25">#REF!</definedName>
    <definedName name="\EPSNSEL">#REF!</definedName>
    <definedName name="\f" localSheetId="20">#REF!</definedName>
    <definedName name="\f" localSheetId="24">#REF!</definedName>
    <definedName name="\f" localSheetId="25">#REF!</definedName>
    <definedName name="\f">#REF!</definedName>
    <definedName name="\g" localSheetId="20">#REF!</definedName>
    <definedName name="\g" localSheetId="24">#REF!</definedName>
    <definedName name="\g" localSheetId="25">#REF!</definedName>
    <definedName name="\g">#REF!</definedName>
    <definedName name="\j" localSheetId="20">#REF!</definedName>
    <definedName name="\j" localSheetId="24">#REF!</definedName>
    <definedName name="\j" localSheetId="25">#REF!</definedName>
    <definedName name="\j">#REF!</definedName>
    <definedName name="\K" localSheetId="20">[1]Sheet6!#REF!</definedName>
    <definedName name="\K" localSheetId="24">[1]Sheet6!#REF!</definedName>
    <definedName name="\K" localSheetId="25">[1]Sheet6!#REF!</definedName>
    <definedName name="\K">[1]Sheet6!#REF!</definedName>
    <definedName name="\l" localSheetId="20">#REF!</definedName>
    <definedName name="\l" localSheetId="24">#REF!</definedName>
    <definedName name="\l" localSheetId="25">#REF!</definedName>
    <definedName name="\l">#REF!</definedName>
    <definedName name="\LJSEL" localSheetId="20">#REF!</definedName>
    <definedName name="\LJSEL" localSheetId="24">#REF!</definedName>
    <definedName name="\LJSEL" localSheetId="25">#REF!</definedName>
    <definedName name="\LJSEL">#REF!</definedName>
    <definedName name="\m" localSheetId="20">#REF!</definedName>
    <definedName name="\m" localSheetId="24">#REF!</definedName>
    <definedName name="\m" localSheetId="25">#REF!</definedName>
    <definedName name="\m">#REF!</definedName>
    <definedName name="\MESS" localSheetId="20">#REF!</definedName>
    <definedName name="\MESS" localSheetId="24">#REF!</definedName>
    <definedName name="\MESS" localSheetId="25">#REF!</definedName>
    <definedName name="\MESS">#REF!</definedName>
    <definedName name="\MESS0" localSheetId="20">#REF!</definedName>
    <definedName name="\MESS0" localSheetId="24">#REF!</definedName>
    <definedName name="\MESS0" localSheetId="25">#REF!</definedName>
    <definedName name="\MESS0">#REF!</definedName>
    <definedName name="\MESS1" localSheetId="20">#REF!</definedName>
    <definedName name="\MESS1" localSheetId="24">#REF!</definedName>
    <definedName name="\MESS1" localSheetId="25">#REF!</definedName>
    <definedName name="\MESS1">#REF!</definedName>
    <definedName name="\MESS2" localSheetId="20">#REF!</definedName>
    <definedName name="\MESS2" localSheetId="24">#REF!</definedName>
    <definedName name="\MESS2" localSheetId="25">#REF!</definedName>
    <definedName name="\MESS2">#REF!</definedName>
    <definedName name="\P" localSheetId="20">[1]Sheet6!#REF!</definedName>
    <definedName name="\P" localSheetId="24">[1]Sheet6!#REF!</definedName>
    <definedName name="\P" localSheetId="25">[1]Sheet6!#REF!</definedName>
    <definedName name="\P">[1]Sheet6!#REF!</definedName>
    <definedName name="\PALL" localSheetId="20">#REF!</definedName>
    <definedName name="\PALL" localSheetId="24">#REF!</definedName>
    <definedName name="\PALL" localSheetId="25">#REF!</definedName>
    <definedName name="\PALL">#REF!</definedName>
    <definedName name="\PRES" localSheetId="20">#REF!</definedName>
    <definedName name="\PRES" localSheetId="24">#REF!</definedName>
    <definedName name="\PRES" localSheetId="25">#REF!</definedName>
    <definedName name="\PRES">#REF!</definedName>
    <definedName name="\PRES1" localSheetId="20">#REF!</definedName>
    <definedName name="\PRES1" localSheetId="24">#REF!</definedName>
    <definedName name="\PRES1" localSheetId="25">#REF!</definedName>
    <definedName name="\PRES1">#REF!</definedName>
    <definedName name="\r" localSheetId="20">#REF!</definedName>
    <definedName name="\r" localSheetId="24">#REF!</definedName>
    <definedName name="\r" localSheetId="25">#REF!</definedName>
    <definedName name="\r">#REF!</definedName>
    <definedName name="\s" localSheetId="20">[2]costo!#REF!</definedName>
    <definedName name="\s" localSheetId="24">[2]costo!#REF!</definedName>
    <definedName name="\s" localSheetId="25">[2]costo!#REF!</definedName>
    <definedName name="\s">[2]costo!#REF!</definedName>
    <definedName name="\t" localSheetId="20">#REF!</definedName>
    <definedName name="\t" localSheetId="24">#REF!</definedName>
    <definedName name="\t" localSheetId="25">#REF!</definedName>
    <definedName name="\t">#REF!</definedName>
    <definedName name="\v" localSheetId="20">#REF!</definedName>
    <definedName name="\v" localSheetId="24">#REF!</definedName>
    <definedName name="\v" localSheetId="25">#REF!</definedName>
    <definedName name="\v">#REF!</definedName>
    <definedName name="\w" localSheetId="20">[2]costo!#REF!</definedName>
    <definedName name="\w" localSheetId="24">[2]costo!#REF!</definedName>
    <definedName name="\w" localSheetId="25">[2]costo!#REF!</definedName>
    <definedName name="\w">[2]costo!#REF!</definedName>
    <definedName name="\Y" localSheetId="20">[1]Sheet6!#REF!</definedName>
    <definedName name="\Y" localSheetId="24">[1]Sheet6!#REF!</definedName>
    <definedName name="\Y" localSheetId="25">[1]Sheet6!#REF!</definedName>
    <definedName name="\Y">[1]Sheet6!#REF!</definedName>
    <definedName name="\Z" localSheetId="20">[1]Sheet6!#REF!</definedName>
    <definedName name="\Z" localSheetId="24">[1]Sheet6!#REF!</definedName>
    <definedName name="\Z" localSheetId="25">[1]Sheet6!#REF!</definedName>
    <definedName name="\Z">[1]Sheet6!#REF!</definedName>
    <definedName name="_____________F" localSheetId="19">#REF!</definedName>
    <definedName name="_____________F" localSheetId="20">#REF!</definedName>
    <definedName name="_____________F" localSheetId="22">#REF!</definedName>
    <definedName name="_____________F" localSheetId="23">#REF!</definedName>
    <definedName name="_____________F" localSheetId="24">#REF!</definedName>
    <definedName name="_____________F" localSheetId="25">#REF!</definedName>
    <definedName name="_____________F">#REF!</definedName>
    <definedName name="_____________PAG1" localSheetId="19">#REF!</definedName>
    <definedName name="_____________PAG1" localSheetId="20">#REF!</definedName>
    <definedName name="_____________PAG1" localSheetId="22">#REF!</definedName>
    <definedName name="_____________PAG1" localSheetId="23">#REF!</definedName>
    <definedName name="_____________PAG1" localSheetId="24">#REF!</definedName>
    <definedName name="_____________PAG1" localSheetId="25">#REF!</definedName>
    <definedName name="_____________PAG1">#REF!</definedName>
    <definedName name="_____________PAG2" localSheetId="19">#REF!</definedName>
    <definedName name="_____________PAG2" localSheetId="20">#REF!</definedName>
    <definedName name="_____________PAG2" localSheetId="22">#REF!</definedName>
    <definedName name="_____________PAG2" localSheetId="23">#REF!</definedName>
    <definedName name="_____________PAG2" localSheetId="24">#REF!</definedName>
    <definedName name="_____________PAG2" localSheetId="25">#REF!</definedName>
    <definedName name="_____________PAG2">#REF!</definedName>
    <definedName name="_____________PAG3" localSheetId="19">#REF!</definedName>
    <definedName name="_____________PAG3" localSheetId="20">#REF!</definedName>
    <definedName name="_____________PAG3" localSheetId="22">#REF!</definedName>
    <definedName name="_____________PAG3" localSheetId="23">#REF!</definedName>
    <definedName name="_____________PAG3" localSheetId="24">#REF!</definedName>
    <definedName name="_____________PAG3" localSheetId="25">#REF!</definedName>
    <definedName name="_____________PAG3">#REF!</definedName>
    <definedName name="____________F" localSheetId="19">#REF!</definedName>
    <definedName name="____________F" localSheetId="20">#REF!</definedName>
    <definedName name="____________F" localSheetId="22">#REF!</definedName>
    <definedName name="____________F" localSheetId="23">#REF!</definedName>
    <definedName name="____________F" localSheetId="24">#REF!</definedName>
    <definedName name="____________F" localSheetId="25">#REF!</definedName>
    <definedName name="____________F">#REF!</definedName>
    <definedName name="____________PAG1" localSheetId="19">#REF!</definedName>
    <definedName name="____________PAG1" localSheetId="20">#REF!</definedName>
    <definedName name="____________PAG1" localSheetId="22">#REF!</definedName>
    <definedName name="____________PAG1" localSheetId="23">#REF!</definedName>
    <definedName name="____________PAG1" localSheetId="24">#REF!</definedName>
    <definedName name="____________PAG1" localSheetId="25">#REF!</definedName>
    <definedName name="____________PAG1">#REF!</definedName>
    <definedName name="____________PAG2" localSheetId="19">#REF!</definedName>
    <definedName name="____________PAG2" localSheetId="20">#REF!</definedName>
    <definedName name="____________PAG2" localSheetId="22">#REF!</definedName>
    <definedName name="____________PAG2" localSheetId="23">#REF!</definedName>
    <definedName name="____________PAG2" localSheetId="24">#REF!</definedName>
    <definedName name="____________PAG2" localSheetId="25">#REF!</definedName>
    <definedName name="____________PAG2">#REF!</definedName>
    <definedName name="____________PAG3" localSheetId="19">#REF!</definedName>
    <definedName name="____________PAG3" localSheetId="20">#REF!</definedName>
    <definedName name="____________PAG3" localSheetId="22">#REF!</definedName>
    <definedName name="____________PAG3" localSheetId="23">#REF!</definedName>
    <definedName name="____________PAG3" localSheetId="24">#REF!</definedName>
    <definedName name="____________PAG3" localSheetId="25">#REF!</definedName>
    <definedName name="____________PAG3">#REF!</definedName>
    <definedName name="___________F" localSheetId="19">#REF!</definedName>
    <definedName name="___________F" localSheetId="20">#REF!</definedName>
    <definedName name="___________F" localSheetId="22">#REF!</definedName>
    <definedName name="___________F" localSheetId="23">#REF!</definedName>
    <definedName name="___________F" localSheetId="24">#REF!</definedName>
    <definedName name="___________F" localSheetId="25">#REF!</definedName>
    <definedName name="___________F">#REF!</definedName>
    <definedName name="___________PAG1" localSheetId="19">#REF!</definedName>
    <definedName name="___________PAG1" localSheetId="20">#REF!</definedName>
    <definedName name="___________PAG1" localSheetId="22">#REF!</definedName>
    <definedName name="___________PAG1" localSheetId="23">#REF!</definedName>
    <definedName name="___________PAG1" localSheetId="24">#REF!</definedName>
    <definedName name="___________PAG1" localSheetId="25">#REF!</definedName>
    <definedName name="___________PAG1">#REF!</definedName>
    <definedName name="___________PAG2" localSheetId="19">#REF!</definedName>
    <definedName name="___________PAG2" localSheetId="20">#REF!</definedName>
    <definedName name="___________PAG2" localSheetId="22">#REF!</definedName>
    <definedName name="___________PAG2" localSheetId="23">#REF!</definedName>
    <definedName name="___________PAG2" localSheetId="24">#REF!</definedName>
    <definedName name="___________PAG2" localSheetId="25">#REF!</definedName>
    <definedName name="___________PAG2">#REF!</definedName>
    <definedName name="___________PAG3" localSheetId="19">#REF!</definedName>
    <definedName name="___________PAG3" localSheetId="20">#REF!</definedName>
    <definedName name="___________PAG3" localSheetId="22">#REF!</definedName>
    <definedName name="___________PAG3" localSheetId="23">#REF!</definedName>
    <definedName name="___________PAG3" localSheetId="24">#REF!</definedName>
    <definedName name="___________PAG3" localSheetId="25">#REF!</definedName>
    <definedName name="___________PAG3">#REF!</definedName>
    <definedName name="__________F" localSheetId="19">#REF!</definedName>
    <definedName name="__________F" localSheetId="20">#REF!</definedName>
    <definedName name="__________F" localSheetId="22">#REF!</definedName>
    <definedName name="__________F" localSheetId="23">#REF!</definedName>
    <definedName name="__________F" localSheetId="24">#REF!</definedName>
    <definedName name="__________F" localSheetId="25">#REF!</definedName>
    <definedName name="__________F">#REF!</definedName>
    <definedName name="__________PAG1" localSheetId="19">#REF!</definedName>
    <definedName name="__________PAG1" localSheetId="20">#REF!</definedName>
    <definedName name="__________PAG1" localSheetId="22">#REF!</definedName>
    <definedName name="__________PAG1" localSheetId="23">#REF!</definedName>
    <definedName name="__________PAG1" localSheetId="24">#REF!</definedName>
    <definedName name="__________PAG1" localSheetId="25">#REF!</definedName>
    <definedName name="__________PAG1">#REF!</definedName>
    <definedName name="__________PAG2" localSheetId="19">#REF!</definedName>
    <definedName name="__________PAG2" localSheetId="20">#REF!</definedName>
    <definedName name="__________PAG2" localSheetId="22">#REF!</definedName>
    <definedName name="__________PAG2" localSheetId="23">#REF!</definedName>
    <definedName name="__________PAG2" localSheetId="24">#REF!</definedName>
    <definedName name="__________PAG2" localSheetId="25">#REF!</definedName>
    <definedName name="__________PAG2">#REF!</definedName>
    <definedName name="__________PAG3" localSheetId="19">#REF!</definedName>
    <definedName name="__________PAG3" localSheetId="20">#REF!</definedName>
    <definedName name="__________PAG3" localSheetId="22">#REF!</definedName>
    <definedName name="__________PAG3" localSheetId="23">#REF!</definedName>
    <definedName name="__________PAG3" localSheetId="24">#REF!</definedName>
    <definedName name="__________PAG3" localSheetId="25">#REF!</definedName>
    <definedName name="__________PAG3">#REF!</definedName>
    <definedName name="_________F" localSheetId="19">#REF!</definedName>
    <definedName name="_________F" localSheetId="20">#REF!</definedName>
    <definedName name="_________F" localSheetId="22">#REF!</definedName>
    <definedName name="_________F" localSheetId="23">#REF!</definedName>
    <definedName name="_________F" localSheetId="24">#REF!</definedName>
    <definedName name="_________F" localSheetId="25">#REF!</definedName>
    <definedName name="_________F">#REF!</definedName>
    <definedName name="_________PAG1" localSheetId="19">#REF!</definedName>
    <definedName name="_________PAG1" localSheetId="20">#REF!</definedName>
    <definedName name="_________PAG1" localSheetId="22">#REF!</definedName>
    <definedName name="_________PAG1" localSheetId="23">#REF!</definedName>
    <definedName name="_________PAG1" localSheetId="24">#REF!</definedName>
    <definedName name="_________PAG1" localSheetId="25">#REF!</definedName>
    <definedName name="_________PAG1">#REF!</definedName>
    <definedName name="_________PAG2" localSheetId="19">#REF!</definedName>
    <definedName name="_________PAG2" localSheetId="20">#REF!</definedName>
    <definedName name="_________PAG2" localSheetId="22">#REF!</definedName>
    <definedName name="_________PAG2" localSheetId="23">#REF!</definedName>
    <definedName name="_________PAG2" localSheetId="24">#REF!</definedName>
    <definedName name="_________PAG2" localSheetId="25">#REF!</definedName>
    <definedName name="_________PAG2">#REF!</definedName>
    <definedName name="_________PAG3" localSheetId="19">#REF!</definedName>
    <definedName name="_________PAG3" localSheetId="20">#REF!</definedName>
    <definedName name="_________PAG3" localSheetId="22">#REF!</definedName>
    <definedName name="_________PAG3" localSheetId="23">#REF!</definedName>
    <definedName name="_________PAG3" localSheetId="24">#REF!</definedName>
    <definedName name="_________PAG3" localSheetId="25">#REF!</definedName>
    <definedName name="_________PAG3">#REF!</definedName>
    <definedName name="________F" localSheetId="19">#REF!</definedName>
    <definedName name="________F" localSheetId="20">#REF!</definedName>
    <definedName name="________F" localSheetId="22">#REF!</definedName>
    <definedName name="________F" localSheetId="23">#REF!</definedName>
    <definedName name="________F" localSheetId="24">#REF!</definedName>
    <definedName name="________F" localSheetId="25">#REF!</definedName>
    <definedName name="________F">#REF!</definedName>
    <definedName name="________PAG1" localSheetId="19">#REF!</definedName>
    <definedName name="________PAG1" localSheetId="20">#REF!</definedName>
    <definedName name="________PAG1" localSheetId="22">#REF!</definedName>
    <definedName name="________PAG1" localSheetId="23">#REF!</definedName>
    <definedName name="________PAG1" localSheetId="24">#REF!</definedName>
    <definedName name="________PAG1" localSheetId="25">#REF!</definedName>
    <definedName name="________PAG1">#REF!</definedName>
    <definedName name="________PAG2" localSheetId="19">#REF!</definedName>
    <definedName name="________PAG2" localSheetId="20">#REF!</definedName>
    <definedName name="________PAG2" localSheetId="22">#REF!</definedName>
    <definedName name="________PAG2" localSheetId="23">#REF!</definedName>
    <definedName name="________PAG2" localSheetId="24">#REF!</definedName>
    <definedName name="________PAG2" localSheetId="25">#REF!</definedName>
    <definedName name="________PAG2">#REF!</definedName>
    <definedName name="________PAG3" localSheetId="19">#REF!</definedName>
    <definedName name="________PAG3" localSheetId="20">#REF!</definedName>
    <definedName name="________PAG3" localSheetId="22">#REF!</definedName>
    <definedName name="________PAG3" localSheetId="23">#REF!</definedName>
    <definedName name="________PAG3" localSheetId="24">#REF!</definedName>
    <definedName name="________PAG3" localSheetId="25">#REF!</definedName>
    <definedName name="________PAG3">#REF!</definedName>
    <definedName name="_______F" localSheetId="19">#REF!</definedName>
    <definedName name="_______F" localSheetId="20">#REF!</definedName>
    <definedName name="_______F" localSheetId="22">#REF!</definedName>
    <definedName name="_______F" localSheetId="23">#REF!</definedName>
    <definedName name="_______F" localSheetId="24">#REF!</definedName>
    <definedName name="_______F" localSheetId="25">#REF!</definedName>
    <definedName name="_______F">#REF!</definedName>
    <definedName name="_______PAG1" localSheetId="19">#REF!</definedName>
    <definedName name="_______PAG1" localSheetId="20">#REF!</definedName>
    <definedName name="_______PAG1" localSheetId="22">#REF!</definedName>
    <definedName name="_______PAG1" localSheetId="23">#REF!</definedName>
    <definedName name="_______PAG1" localSheetId="24">#REF!</definedName>
    <definedName name="_______PAG1" localSheetId="25">#REF!</definedName>
    <definedName name="_______PAG1">#REF!</definedName>
    <definedName name="_______PAG2" localSheetId="19">#REF!</definedName>
    <definedName name="_______PAG2" localSheetId="20">#REF!</definedName>
    <definedName name="_______PAG2" localSheetId="22">#REF!</definedName>
    <definedName name="_______PAG2" localSheetId="23">#REF!</definedName>
    <definedName name="_______PAG2" localSheetId="24">#REF!</definedName>
    <definedName name="_______PAG2" localSheetId="25">#REF!</definedName>
    <definedName name="_______PAG2">#REF!</definedName>
    <definedName name="_______PAG3" localSheetId="19">#REF!</definedName>
    <definedName name="_______PAG3" localSheetId="20">#REF!</definedName>
    <definedName name="_______PAG3" localSheetId="22">#REF!</definedName>
    <definedName name="_______PAG3" localSheetId="23">#REF!</definedName>
    <definedName name="_______PAG3" localSheetId="24">#REF!</definedName>
    <definedName name="_______PAG3" localSheetId="25">#REF!</definedName>
    <definedName name="_______PAG3">#REF!</definedName>
    <definedName name="______F" localSheetId="19">#REF!</definedName>
    <definedName name="______F" localSheetId="20">#REF!</definedName>
    <definedName name="______F" localSheetId="22">#REF!</definedName>
    <definedName name="______F" localSheetId="23">#REF!</definedName>
    <definedName name="______F" localSheetId="24">#REF!</definedName>
    <definedName name="______F" localSheetId="25">#REF!</definedName>
    <definedName name="______F">#REF!</definedName>
    <definedName name="______PAG1" localSheetId="19">#REF!</definedName>
    <definedName name="______PAG1" localSheetId="20">#REF!</definedName>
    <definedName name="______PAG1" localSheetId="22">#REF!</definedName>
    <definedName name="______PAG1" localSheetId="23">#REF!</definedName>
    <definedName name="______PAG1" localSheetId="24">#REF!</definedName>
    <definedName name="______PAG1" localSheetId="25">#REF!</definedName>
    <definedName name="______PAG1">#REF!</definedName>
    <definedName name="______PAG2" localSheetId="19">#REF!</definedName>
    <definedName name="______PAG2" localSheetId="20">#REF!</definedName>
    <definedName name="______PAG2" localSheetId="22">#REF!</definedName>
    <definedName name="______PAG2" localSheetId="23">#REF!</definedName>
    <definedName name="______PAG2" localSheetId="24">#REF!</definedName>
    <definedName name="______PAG2" localSheetId="25">#REF!</definedName>
    <definedName name="______PAG2">#REF!</definedName>
    <definedName name="______PAG3" localSheetId="19">#REF!</definedName>
    <definedName name="______PAG3" localSheetId="20">#REF!</definedName>
    <definedName name="______PAG3" localSheetId="22">#REF!</definedName>
    <definedName name="______PAG3" localSheetId="23">#REF!</definedName>
    <definedName name="______PAG3" localSheetId="24">#REF!</definedName>
    <definedName name="______PAG3" localSheetId="25">#REF!</definedName>
    <definedName name="______PAG3">#REF!</definedName>
    <definedName name="_____F" localSheetId="19">#REF!</definedName>
    <definedName name="_____F" localSheetId="20">#REF!</definedName>
    <definedName name="_____F" localSheetId="22">#REF!</definedName>
    <definedName name="_____F" localSheetId="23">#REF!</definedName>
    <definedName name="_____F" localSheetId="24">#REF!</definedName>
    <definedName name="_____F" localSheetId="25">#REF!</definedName>
    <definedName name="_____F">#REF!</definedName>
    <definedName name="_____PAG1" localSheetId="19">#REF!</definedName>
    <definedName name="_____PAG1" localSheetId="20">#REF!</definedName>
    <definedName name="_____PAG1" localSheetId="22">#REF!</definedName>
    <definedName name="_____PAG1" localSheetId="23">#REF!</definedName>
    <definedName name="_____PAG1" localSheetId="24">#REF!</definedName>
    <definedName name="_____PAG1" localSheetId="25">#REF!</definedName>
    <definedName name="_____PAG1">#REF!</definedName>
    <definedName name="_____PAG2" localSheetId="19">#REF!</definedName>
    <definedName name="_____PAG2" localSheetId="20">#REF!</definedName>
    <definedName name="_____PAG2" localSheetId="22">#REF!</definedName>
    <definedName name="_____PAG2" localSheetId="23">#REF!</definedName>
    <definedName name="_____PAG2" localSheetId="24">#REF!</definedName>
    <definedName name="_____PAG2" localSheetId="25">#REF!</definedName>
    <definedName name="_____PAG2">#REF!</definedName>
    <definedName name="_____PAG3" localSheetId="19">#REF!</definedName>
    <definedName name="_____PAG3" localSheetId="20">#REF!</definedName>
    <definedName name="_____PAG3" localSheetId="22">#REF!</definedName>
    <definedName name="_____PAG3" localSheetId="23">#REF!</definedName>
    <definedName name="_____PAG3" localSheetId="24">#REF!</definedName>
    <definedName name="_____PAG3" localSheetId="25">#REF!</definedName>
    <definedName name="_____PAG3">#REF!</definedName>
    <definedName name="____F" localSheetId="19">#REF!</definedName>
    <definedName name="____F" localSheetId="20">#REF!</definedName>
    <definedName name="____F" localSheetId="22">#REF!</definedName>
    <definedName name="____F" localSheetId="23">#REF!</definedName>
    <definedName name="____F" localSheetId="24">#REF!</definedName>
    <definedName name="____F" localSheetId="25">#REF!</definedName>
    <definedName name="____F">#REF!</definedName>
    <definedName name="____PAG1" localSheetId="19">#REF!</definedName>
    <definedName name="____PAG1" localSheetId="20">#REF!</definedName>
    <definedName name="____PAG1" localSheetId="22">#REF!</definedName>
    <definedName name="____PAG1" localSheetId="23">#REF!</definedName>
    <definedName name="____PAG1" localSheetId="24">#REF!</definedName>
    <definedName name="____PAG1" localSheetId="25">#REF!</definedName>
    <definedName name="____PAG1">#REF!</definedName>
    <definedName name="____PAG2" localSheetId="19">#REF!</definedName>
    <definedName name="____PAG2" localSheetId="20">#REF!</definedName>
    <definedName name="____PAG2" localSheetId="22">#REF!</definedName>
    <definedName name="____PAG2" localSheetId="23">#REF!</definedName>
    <definedName name="____PAG2" localSheetId="24">#REF!</definedName>
    <definedName name="____PAG2" localSheetId="25">#REF!</definedName>
    <definedName name="____PAG2">#REF!</definedName>
    <definedName name="____PAG3" localSheetId="19">#REF!</definedName>
    <definedName name="____PAG3" localSheetId="20">#REF!</definedName>
    <definedName name="____PAG3" localSheetId="22">#REF!</definedName>
    <definedName name="____PAG3" localSheetId="23">#REF!</definedName>
    <definedName name="____PAG3" localSheetId="24">#REF!</definedName>
    <definedName name="____PAG3" localSheetId="25">#REF!</definedName>
    <definedName name="____PAG3">#REF!</definedName>
    <definedName name="___F" localSheetId="19">#REF!</definedName>
    <definedName name="___F" localSheetId="20">#REF!</definedName>
    <definedName name="___F" localSheetId="22">#REF!</definedName>
    <definedName name="___F" localSheetId="23">#REF!</definedName>
    <definedName name="___F" localSheetId="24">#REF!</definedName>
    <definedName name="___F" localSheetId="25">#REF!</definedName>
    <definedName name="___F">#REF!</definedName>
    <definedName name="___PAG1" localSheetId="19">#REF!</definedName>
    <definedName name="___PAG1" localSheetId="20">#REF!</definedName>
    <definedName name="___PAG1" localSheetId="22">#REF!</definedName>
    <definedName name="___PAG1" localSheetId="23">#REF!</definedName>
    <definedName name="___PAG1" localSheetId="24">#REF!</definedName>
    <definedName name="___PAG1" localSheetId="25">#REF!</definedName>
    <definedName name="___PAG1">#REF!</definedName>
    <definedName name="___PAG2" localSheetId="19">#REF!</definedName>
    <definedName name="___PAG2" localSheetId="20">#REF!</definedName>
    <definedName name="___PAG2" localSheetId="22">#REF!</definedName>
    <definedName name="___PAG2" localSheetId="23">#REF!</definedName>
    <definedName name="___PAG2" localSheetId="24">#REF!</definedName>
    <definedName name="___PAG2" localSheetId="25">#REF!</definedName>
    <definedName name="___PAG2">#REF!</definedName>
    <definedName name="___PAG3" localSheetId="19">#REF!</definedName>
    <definedName name="___PAG3" localSheetId="20">#REF!</definedName>
    <definedName name="___PAG3" localSheetId="22">#REF!</definedName>
    <definedName name="___PAG3" localSheetId="23">#REF!</definedName>
    <definedName name="___PAG3" localSheetId="24">#REF!</definedName>
    <definedName name="___PAG3" localSheetId="25">#REF!</definedName>
    <definedName name="___PAG3">#REF!</definedName>
    <definedName name="__123Graph_A" hidden="1">[1]Sheet2!$H$23:$H$228</definedName>
    <definedName name="__123Graph_B" hidden="1">[1]Sheet2!$R$23:$R$228</definedName>
    <definedName name="__123Graph_C" hidden="1">[1]Sheet2!$S$23:$S$228</definedName>
    <definedName name="__123Graph_D" hidden="1">[3]INFREP!$A$1:$A$1</definedName>
    <definedName name="__123Graph_X" hidden="1">[1]Sheet2!$C$23:$C$228</definedName>
    <definedName name="__AAA1" localSheetId="20">[1]Sheet6!#REF!</definedName>
    <definedName name="__AAA1" localSheetId="24">[1]Sheet6!#REF!</definedName>
    <definedName name="__AAA1" localSheetId="25">[1]Sheet6!#REF!</definedName>
    <definedName name="__AAA1">[1]Sheet6!#REF!</definedName>
    <definedName name="__ABA40" localSheetId="20">[1]Sheet4!#REF!</definedName>
    <definedName name="__ABA40" localSheetId="24">[1]Sheet4!#REF!</definedName>
    <definedName name="__ABA40" localSheetId="25">[1]Sheet4!#REF!</definedName>
    <definedName name="__ABA40">[1]Sheet4!#REF!</definedName>
    <definedName name="__F" localSheetId="19">#REF!</definedName>
    <definedName name="__F" localSheetId="20">#REF!</definedName>
    <definedName name="__F" localSheetId="22">#REF!</definedName>
    <definedName name="__F" localSheetId="23">#REF!</definedName>
    <definedName name="__F" localSheetId="24">#REF!</definedName>
    <definedName name="__F" localSheetId="25">#REF!</definedName>
    <definedName name="__F">#REF!</definedName>
    <definedName name="__PAG1" localSheetId="19">#REF!</definedName>
    <definedName name="__PAG1" localSheetId="20">#REF!</definedName>
    <definedName name="__PAG1" localSheetId="22">#REF!</definedName>
    <definedName name="__PAG1" localSheetId="23">#REF!</definedName>
    <definedName name="__PAG1" localSheetId="24">#REF!</definedName>
    <definedName name="__PAG1" localSheetId="25">#REF!</definedName>
    <definedName name="__PAG1">#REF!</definedName>
    <definedName name="__PAG2" localSheetId="19">#REF!</definedName>
    <definedName name="__PAG2" localSheetId="20">#REF!</definedName>
    <definedName name="__PAG2" localSheetId="22">#REF!</definedName>
    <definedName name="__PAG2" localSheetId="23">#REF!</definedName>
    <definedName name="__PAG2" localSheetId="24">#REF!</definedName>
    <definedName name="__PAG2" localSheetId="25">#REF!</definedName>
    <definedName name="__PAG2">#REF!</definedName>
    <definedName name="__PAG3" localSheetId="19">#REF!</definedName>
    <definedName name="__PAG3" localSheetId="20">#REF!</definedName>
    <definedName name="__PAG3" localSheetId="22">#REF!</definedName>
    <definedName name="__PAG3" localSheetId="23">#REF!</definedName>
    <definedName name="__PAG3" localSheetId="24">#REF!</definedName>
    <definedName name="__PAG3" localSheetId="25">#REF!</definedName>
    <definedName name="__PAG3">#REF!</definedName>
    <definedName name="__SEG2" localSheetId="20">[1]Sheet5!#REF!</definedName>
    <definedName name="__SEG2" localSheetId="24">[1]Sheet5!#REF!</definedName>
    <definedName name="__SEG2" localSheetId="25">[1]Sheet5!#REF!</definedName>
    <definedName name="__SEG2">[1]Sheet5!#REF!</definedName>
    <definedName name="__TER2" localSheetId="20">[1]Sheet5!#REF!</definedName>
    <definedName name="__TER2" localSheetId="24">[1]Sheet5!#REF!</definedName>
    <definedName name="__TER2" localSheetId="25">[1]Sheet5!#REF!</definedName>
    <definedName name="__TER2">[1]Sheet5!#REF!</definedName>
    <definedName name="_1">#N/A</definedName>
    <definedName name="_11" localSheetId="20">[2]costo!#REF!</definedName>
    <definedName name="_11" localSheetId="24">[2]costo!#REF!</definedName>
    <definedName name="_11" localSheetId="25">[2]costo!#REF!</definedName>
    <definedName name="_11">[2]costo!#REF!</definedName>
    <definedName name="_12" localSheetId="20">[2]costo!#REF!</definedName>
    <definedName name="_12" localSheetId="24">[2]costo!#REF!</definedName>
    <definedName name="_12" localSheetId="25">[2]costo!#REF!</definedName>
    <definedName name="_12">[2]costo!#REF!</definedName>
    <definedName name="_13" localSheetId="20">[2]costo!#REF!</definedName>
    <definedName name="_13" localSheetId="24">[2]costo!#REF!</definedName>
    <definedName name="_13" localSheetId="25">[2]costo!#REF!</definedName>
    <definedName name="_13">[2]costo!#REF!</definedName>
    <definedName name="_14" localSheetId="20">[2]costo!#REF!</definedName>
    <definedName name="_14" localSheetId="24">[2]costo!#REF!</definedName>
    <definedName name="_14" localSheetId="25">[2]costo!#REF!</definedName>
    <definedName name="_14">[2]costo!#REF!</definedName>
    <definedName name="_15" localSheetId="20">[2]costo!#REF!</definedName>
    <definedName name="_15" localSheetId="24">[2]costo!#REF!</definedName>
    <definedName name="_15" localSheetId="25">[2]costo!#REF!</definedName>
    <definedName name="_15">[2]costo!#REF!</definedName>
    <definedName name="_16" localSheetId="20">[2]costo!#REF!</definedName>
    <definedName name="_16" localSheetId="24">[2]costo!#REF!</definedName>
    <definedName name="_16" localSheetId="25">[2]costo!#REF!</definedName>
    <definedName name="_16">[2]costo!#REF!</definedName>
    <definedName name="_17" localSheetId="20">[2]costo!#REF!</definedName>
    <definedName name="_17" localSheetId="24">[2]costo!#REF!</definedName>
    <definedName name="_17" localSheetId="25">[2]costo!#REF!</definedName>
    <definedName name="_17">[2]costo!#REF!</definedName>
    <definedName name="_2" localSheetId="20">[2]costo!#REF!</definedName>
    <definedName name="_2" localSheetId="24">[2]costo!#REF!</definedName>
    <definedName name="_2" localSheetId="25">[2]costo!#REF!</definedName>
    <definedName name="_2">[2]costo!#REF!</definedName>
    <definedName name="_21" localSheetId="20">[2]costo!#REF!</definedName>
    <definedName name="_21" localSheetId="24">[2]costo!#REF!</definedName>
    <definedName name="_21" localSheetId="25">[2]costo!#REF!</definedName>
    <definedName name="_21">[2]costo!#REF!</definedName>
    <definedName name="_22" localSheetId="20">[2]costo!#REF!</definedName>
    <definedName name="_22" localSheetId="24">[2]costo!#REF!</definedName>
    <definedName name="_22" localSheetId="25">[2]costo!#REF!</definedName>
    <definedName name="_22">[2]costo!#REF!</definedName>
    <definedName name="_23" localSheetId="20">[2]costo!#REF!</definedName>
    <definedName name="_23" localSheetId="24">[2]costo!#REF!</definedName>
    <definedName name="_23" localSheetId="25">[2]costo!#REF!</definedName>
    <definedName name="_23">[2]costo!#REF!</definedName>
    <definedName name="_24" localSheetId="20">[2]costo!#REF!</definedName>
    <definedName name="_24" localSheetId="24">[2]costo!#REF!</definedName>
    <definedName name="_24" localSheetId="25">[2]costo!#REF!</definedName>
    <definedName name="_24">[2]costo!#REF!</definedName>
    <definedName name="_26" localSheetId="20">[2]costo!#REF!</definedName>
    <definedName name="_26" localSheetId="24">[2]costo!#REF!</definedName>
    <definedName name="_26" localSheetId="25">[2]costo!#REF!</definedName>
    <definedName name="_26">[2]costo!#REF!</definedName>
    <definedName name="_27" localSheetId="20">[2]costo!#REF!</definedName>
    <definedName name="_27" localSheetId="24">[2]costo!#REF!</definedName>
    <definedName name="_27" localSheetId="25">[2]costo!#REF!</definedName>
    <definedName name="_27">[2]costo!#REF!</definedName>
    <definedName name="_3" localSheetId="20">[2]costo!#REF!</definedName>
    <definedName name="_3" localSheetId="24">[2]costo!#REF!</definedName>
    <definedName name="_3" localSheetId="25">[2]costo!#REF!</definedName>
    <definedName name="_3">[2]costo!#REF!</definedName>
    <definedName name="_4" localSheetId="20">[2]costo!#REF!</definedName>
    <definedName name="_4" localSheetId="24">[2]costo!#REF!</definedName>
    <definedName name="_4" localSheetId="25">[2]costo!#REF!</definedName>
    <definedName name="_4">[2]costo!#REF!</definedName>
    <definedName name="_5" localSheetId="20">[2]costo!#REF!</definedName>
    <definedName name="_5" localSheetId="24">[2]costo!#REF!</definedName>
    <definedName name="_5" localSheetId="25">[2]costo!#REF!</definedName>
    <definedName name="_5">[2]costo!#REF!</definedName>
    <definedName name="_6" localSheetId="20">[2]costo!#REF!</definedName>
    <definedName name="_6" localSheetId="24">[2]costo!#REF!</definedName>
    <definedName name="_6" localSheetId="25">[2]costo!#REF!</definedName>
    <definedName name="_6">[2]costo!#REF!</definedName>
    <definedName name="_7" localSheetId="20">[2]costo!#REF!</definedName>
    <definedName name="_7" localSheetId="24">[2]costo!#REF!</definedName>
    <definedName name="_7" localSheetId="25">[2]costo!#REF!</definedName>
    <definedName name="_7">[2]costo!#REF!</definedName>
    <definedName name="_COM1" localSheetId="20">#REF!</definedName>
    <definedName name="_COM1" localSheetId="24">#REF!</definedName>
    <definedName name="_COM1" localSheetId="25">#REF!</definedName>
    <definedName name="_COM1">#REF!</definedName>
    <definedName name="_COM2" localSheetId="20">#REF!</definedName>
    <definedName name="_COM2" localSheetId="24">#REF!</definedName>
    <definedName name="_COM2" localSheetId="25">#REF!</definedName>
    <definedName name="_COM2">#REF!</definedName>
    <definedName name="_COM3" localSheetId="20">#REF!</definedName>
    <definedName name="_COM3" localSheetId="24">#REF!</definedName>
    <definedName name="_COM3" localSheetId="25">#REF!</definedName>
    <definedName name="_COM3">#REF!</definedName>
    <definedName name="_F" localSheetId="19">#REF!</definedName>
    <definedName name="_F" localSheetId="20">#REF!</definedName>
    <definedName name="_F" localSheetId="22">#REF!</definedName>
    <definedName name="_F" localSheetId="23">#REF!</definedName>
    <definedName name="_F" localSheetId="24">#REF!</definedName>
    <definedName name="_F" localSheetId="25">#REF!</definedName>
    <definedName name="_F">#REF!</definedName>
    <definedName name="_FC" localSheetId="19">#REF!</definedName>
    <definedName name="_FC" localSheetId="20">#REF!</definedName>
    <definedName name="_FC" localSheetId="22">#REF!</definedName>
    <definedName name="_FC" localSheetId="24">#REF!</definedName>
    <definedName name="_FC" localSheetId="25">#REF!</definedName>
    <definedName name="_FC">#REF!</definedName>
    <definedName name="_Fill" localSheetId="17" hidden="1">#REF!</definedName>
    <definedName name="_Fill" localSheetId="19" hidden="1">#REF!</definedName>
    <definedName name="_Fill" localSheetId="20" hidden="1">#REF!</definedName>
    <definedName name="_Fill" localSheetId="22" hidden="1">#REF!</definedName>
    <definedName name="_Fill" localSheetId="23" hidden="1">#REF!</definedName>
    <definedName name="_Fill" localSheetId="24" hidden="1">#REF!</definedName>
    <definedName name="_Fill" localSheetId="25" hidden="1">#REF!</definedName>
    <definedName name="_Fill" hidden="1">#REF!</definedName>
    <definedName name="_xlnm._FilterDatabase" localSheetId="13" hidden="1">'Esquema de tratamiento'!$A$2:$I$147</definedName>
    <definedName name="_GOR2" localSheetId="20">#REF!</definedName>
    <definedName name="_GOR2" localSheetId="24">#REF!</definedName>
    <definedName name="_GOR2" localSheetId="25">#REF!</definedName>
    <definedName name="_GOR2">#REF!</definedName>
    <definedName name="_Key1" localSheetId="17" hidden="1">#REF!</definedName>
    <definedName name="_Key1" localSheetId="19" hidden="1">#REF!</definedName>
    <definedName name="_Key1" localSheetId="20" hidden="1">#REF!</definedName>
    <definedName name="_Key1" localSheetId="22" hidden="1">#REF!</definedName>
    <definedName name="_Key1" localSheetId="23" hidden="1">#REF!</definedName>
    <definedName name="_Key1" localSheetId="24" hidden="1">#REF!</definedName>
    <definedName name="_Key1" localSheetId="25" hidden="1">#REF!</definedName>
    <definedName name="_Key1" hidden="1">#REF!</definedName>
    <definedName name="_Key2" localSheetId="20" hidden="1">#REF!</definedName>
    <definedName name="_Key2" localSheetId="24" hidden="1">#REF!</definedName>
    <definedName name="_Key2" localSheetId="25" hidden="1">#REF!</definedName>
    <definedName name="_Key2" hidden="1">#REF!</definedName>
    <definedName name="_MACRO">#N/A</definedName>
    <definedName name="_MSG2" localSheetId="20">#REF!</definedName>
    <definedName name="_MSG2" localSheetId="24">#REF!</definedName>
    <definedName name="_MSG2" localSheetId="25">#REF!</definedName>
    <definedName name="_MSG2">#REF!</definedName>
    <definedName name="_MTR1" localSheetId="20">#REF!</definedName>
    <definedName name="_MTR1" localSheetId="24">#REF!</definedName>
    <definedName name="_MTR1" localSheetId="25">#REF!</definedName>
    <definedName name="_MTR1">#REF!</definedName>
    <definedName name="_Order1" hidden="1">255</definedName>
    <definedName name="_Order2" hidden="1">255</definedName>
    <definedName name="_P" localSheetId="20">#REF!</definedName>
    <definedName name="_P" localSheetId="24">#REF!</definedName>
    <definedName name="_P" localSheetId="25">#REF!</definedName>
    <definedName name="_P">#REF!</definedName>
    <definedName name="_PAG1" localSheetId="19">#REF!</definedName>
    <definedName name="_PAG1" localSheetId="20">#REF!</definedName>
    <definedName name="_PAG1" localSheetId="22">#REF!</definedName>
    <definedName name="_PAG1" localSheetId="23">#REF!</definedName>
    <definedName name="_PAG1" localSheetId="24">#REF!</definedName>
    <definedName name="_PAG1" localSheetId="25">#REF!</definedName>
    <definedName name="_PAG1">#REF!</definedName>
    <definedName name="_PAG2" localSheetId="19">#REF!</definedName>
    <definedName name="_PAG2" localSheetId="20">#REF!</definedName>
    <definedName name="_PAG2" localSheetId="22">#REF!</definedName>
    <definedName name="_PAG2" localSheetId="23">#REF!</definedName>
    <definedName name="_PAG2" localSheetId="24">#REF!</definedName>
    <definedName name="_PAG2" localSheetId="25">#REF!</definedName>
    <definedName name="_PAG2">#REF!</definedName>
    <definedName name="_PAG3" localSheetId="19">#REF!</definedName>
    <definedName name="_PAG3" localSheetId="20">#REF!</definedName>
    <definedName name="_PAG3" localSheetId="22">#REF!</definedName>
    <definedName name="_PAG3" localSheetId="23">#REF!</definedName>
    <definedName name="_PAG3" localSheetId="24">#REF!</definedName>
    <definedName name="_PAG3" localSheetId="25">#REF!</definedName>
    <definedName name="_PAG3">#REF!</definedName>
    <definedName name="_pc97">'[4]PC97 98'!$A$7</definedName>
    <definedName name="_PCO1" localSheetId="20">#REF!</definedName>
    <definedName name="_PCO1" localSheetId="24">#REF!</definedName>
    <definedName name="_PCO1" localSheetId="25">#REF!</definedName>
    <definedName name="_PCO1">#REF!</definedName>
    <definedName name="_PCO2" localSheetId="20">#REF!</definedName>
    <definedName name="_PCO2" localSheetId="24">#REF!</definedName>
    <definedName name="_PCO2" localSheetId="25">#REF!</definedName>
    <definedName name="_PCO2">#REF!</definedName>
    <definedName name="_PCO3" localSheetId="20">#REF!</definedName>
    <definedName name="_PCO3" localSheetId="24">#REF!</definedName>
    <definedName name="_PCO3" localSheetId="25">#REF!</definedName>
    <definedName name="_PCO3">#REF!</definedName>
    <definedName name="_PCO4" localSheetId="20">#REF!</definedName>
    <definedName name="_PCO4" localSheetId="24">#REF!</definedName>
    <definedName name="_PCO4" localSheetId="25">#REF!</definedName>
    <definedName name="_PCO4">#REF!</definedName>
    <definedName name="_PDG1" localSheetId="20">#REF!</definedName>
    <definedName name="_PDG1" localSheetId="24">#REF!</definedName>
    <definedName name="_PDG1" localSheetId="25">#REF!</definedName>
    <definedName name="_PDG1">#REF!</definedName>
    <definedName name="_PDG2" localSheetId="20">#REF!</definedName>
    <definedName name="_PDG2" localSheetId="24">#REF!</definedName>
    <definedName name="_PDG2" localSheetId="25">#REF!</definedName>
    <definedName name="_PDG2">#REF!</definedName>
    <definedName name="_PDG3" localSheetId="20">#REF!</definedName>
    <definedName name="_PDG3" localSheetId="24">#REF!</definedName>
    <definedName name="_PDG3" localSheetId="25">#REF!</definedName>
    <definedName name="_PDG3">#REF!</definedName>
    <definedName name="_PDG4" localSheetId="20">#REF!</definedName>
    <definedName name="_PDG4" localSheetId="24">#REF!</definedName>
    <definedName name="_PDG4" localSheetId="25">#REF!</definedName>
    <definedName name="_PDG4">#REF!</definedName>
    <definedName name="_PDG5" localSheetId="20">#REF!</definedName>
    <definedName name="_PDG5" localSheetId="24">#REF!</definedName>
    <definedName name="_PDG5" localSheetId="25">#REF!</definedName>
    <definedName name="_PDG5">#REF!</definedName>
    <definedName name="_PDG6" localSheetId="20">#REF!</definedName>
    <definedName name="_PDG6" localSheetId="24">#REF!</definedName>
    <definedName name="_PDG6" localSheetId="25">#REF!</definedName>
    <definedName name="_PDG6">#REF!</definedName>
    <definedName name="_RC5" localSheetId="19">#REF!</definedName>
    <definedName name="_RC5" localSheetId="20">#REF!</definedName>
    <definedName name="_RC5" localSheetId="22">#REF!</definedName>
    <definedName name="_RC5" localSheetId="24">#REF!</definedName>
    <definedName name="_RC5" localSheetId="25">#REF!</definedName>
    <definedName name="_RC5">#REF!</definedName>
    <definedName name="_Sort" localSheetId="17" hidden="1">#REF!</definedName>
    <definedName name="_Sort" localSheetId="19" hidden="1">#REF!</definedName>
    <definedName name="_Sort" localSheetId="20" hidden="1">#REF!</definedName>
    <definedName name="_Sort" localSheetId="22" hidden="1">#REF!</definedName>
    <definedName name="_Sort" localSheetId="23" hidden="1">#REF!</definedName>
    <definedName name="_Sort" localSheetId="24" hidden="1">#REF!</definedName>
    <definedName name="_Sort" localSheetId="25" hidden="1">#REF!</definedName>
    <definedName name="_Sort" hidden="1">#REF!</definedName>
    <definedName name="_TP" localSheetId="20">#REF!</definedName>
    <definedName name="_TP" localSheetId="24">#REF!</definedName>
    <definedName name="_TP" localSheetId="25">#REF!</definedName>
    <definedName name="_TP">#REF!</definedName>
    <definedName name="_TPF" localSheetId="20">#REF!</definedName>
    <definedName name="_TPF" localSheetId="24">#REF!</definedName>
    <definedName name="_TPF" localSheetId="25">#REF!</definedName>
    <definedName name="_TPF">#REF!</definedName>
    <definedName name="_WO2006" localSheetId="20">[5]InfRep.11_2003!#REF!</definedName>
    <definedName name="_WO2006" localSheetId="24">[5]InfRep.11_2003!#REF!</definedName>
    <definedName name="_WO2006" localSheetId="25">[5]InfRep.11_2003!#REF!</definedName>
    <definedName name="_WO2006">[5]InfRep.11_2003!#REF!</definedName>
    <definedName name="_WTI1" localSheetId="20">#REF!</definedName>
    <definedName name="_WTI1" localSheetId="24">#REF!</definedName>
    <definedName name="_WTI1" localSheetId="25">#REF!</definedName>
    <definedName name="_WTI1">#REF!</definedName>
    <definedName name="_WTI2" localSheetId="20">#REF!</definedName>
    <definedName name="_WTI2" localSheetId="24">#REF!</definedName>
    <definedName name="_WTI2" localSheetId="25">#REF!</definedName>
    <definedName name="_WTI2">#REF!</definedName>
    <definedName name="_WTI3" localSheetId="20">#REF!</definedName>
    <definedName name="_WTI3" localSheetId="24">#REF!</definedName>
    <definedName name="_WTI3" localSheetId="25">#REF!</definedName>
    <definedName name="_WTI3">#REF!</definedName>
    <definedName name="_WTI4" localSheetId="20">#REF!</definedName>
    <definedName name="_WTI4" localSheetId="24">#REF!</definedName>
    <definedName name="_WTI4" localSheetId="25">#REF!</definedName>
    <definedName name="_WTI4">#REF!</definedName>
    <definedName name="_x002">'[6]500'!$A$1:$N$60</definedName>
    <definedName name="_X01">'[6]500'!$A$1:$N$60</definedName>
    <definedName name="A" localSheetId="19">#REF!</definedName>
    <definedName name="A" localSheetId="20">#REF!</definedName>
    <definedName name="A" localSheetId="22">#REF!</definedName>
    <definedName name="A" localSheetId="23">#REF!</definedName>
    <definedName name="A" localSheetId="24">#REF!</definedName>
    <definedName name="A" localSheetId="25">#REF!</definedName>
    <definedName name="A">#REF!</definedName>
    <definedName name="A_IMPRESION_IM" localSheetId="19">#REF!</definedName>
    <definedName name="A_IMPRESION_IM" localSheetId="20">#REF!</definedName>
    <definedName name="A_IMPRESION_IM" localSheetId="22">#REF!</definedName>
    <definedName name="A_IMPRESION_IM" localSheetId="23">#REF!</definedName>
    <definedName name="A_IMPRESION_IM" localSheetId="24">#REF!</definedName>
    <definedName name="A_IMPRESION_IM" localSheetId="25">#REF!</definedName>
    <definedName name="A_IMPRESION_IM">#REF!</definedName>
    <definedName name="A_impresión_IM" localSheetId="19">#REF!</definedName>
    <definedName name="A_impresión_IM" localSheetId="20">#REF!</definedName>
    <definedName name="A_impresión_IM" localSheetId="22">#REF!</definedName>
    <definedName name="A_impresión_IM" localSheetId="23">#REF!</definedName>
    <definedName name="A_impresión_IM" localSheetId="24">#REF!</definedName>
    <definedName name="A_impresión_IM" localSheetId="25">#REF!</definedName>
    <definedName name="A_impresión_IM">#REF!</definedName>
    <definedName name="A_IMPRESIÚN_IM" localSheetId="19">#REF!</definedName>
    <definedName name="A_IMPRESIÚN_IM" localSheetId="20">#REF!</definedName>
    <definedName name="A_IMPRESIÚN_IM" localSheetId="22">#REF!</definedName>
    <definedName name="A_IMPRESIÚN_IM" localSheetId="23">#REF!</definedName>
    <definedName name="A_IMPRESIÚN_IM" localSheetId="24">#REF!</definedName>
    <definedName name="A_IMPRESIÚN_IM" localSheetId="25">#REF!</definedName>
    <definedName name="A_IMPRESIÚN_IM">#REF!</definedName>
    <definedName name="AbrirImprimir" localSheetId="20">[7]!AbrirImprimir</definedName>
    <definedName name="AbrirImprimir" localSheetId="24">[7]!AbrirImprimir</definedName>
    <definedName name="AbrirImprimir" localSheetId="25">[7]!AbrirImprimir</definedName>
    <definedName name="AbrirImprimir">[7]!AbrirImprimir</definedName>
    <definedName name="ACT" localSheetId="20">#REF!</definedName>
    <definedName name="ACT" localSheetId="24">#REF!</definedName>
    <definedName name="ACT" localSheetId="25">#REF!</definedName>
    <definedName name="ACT">#REF!</definedName>
    <definedName name="Actual" localSheetId="20">#REF!</definedName>
    <definedName name="Actual" localSheetId="24">#REF!</definedName>
    <definedName name="Actual" localSheetId="25">#REF!</definedName>
    <definedName name="Actual">#REF!</definedName>
    <definedName name="Adic">[8]CS!$A$31:$A$38</definedName>
    <definedName name="ADIC_CCT">[9]BD_ADICIONALES!$A$8:$A$14</definedName>
    <definedName name="ADIC_IMPORTE">[9]BD_ADICIONALES!$B$8:$ER$14</definedName>
    <definedName name="ADIC_ITEM">[9]BD_ADICIONALES!$B$6:$ET$6</definedName>
    <definedName name="ADIC_MES">[9]BD_ADICIONALES!$B$7:$FQ$7</definedName>
    <definedName name="ADIC_PROVINCIA">[10]BD_ADICIONALES!$B$8:$B$16</definedName>
    <definedName name="Afe_Buscado" localSheetId="20">[11]Cotizaciones!#REF!</definedName>
    <definedName name="Afe_Buscado" localSheetId="24">[11]Cotizaciones!#REF!</definedName>
    <definedName name="Afe_Buscado" localSheetId="25">[11]Cotizaciones!#REF!</definedName>
    <definedName name="Afe_Buscado">[11]Cotizaciones!#REF!</definedName>
    <definedName name="Agua" localSheetId="20">#REF!</definedName>
    <definedName name="Agua" localSheetId="24">#REF!</definedName>
    <definedName name="Agua" localSheetId="25">#REF!</definedName>
    <definedName name="Agua">#REF!</definedName>
    <definedName name="AGUA.INY" localSheetId="20">#REF!</definedName>
    <definedName name="AGUA.INY" localSheetId="24">#REF!</definedName>
    <definedName name="AGUA.INY" localSheetId="25">#REF!</definedName>
    <definedName name="AGUA.INY">#REF!</definedName>
    <definedName name="AGUA_ACTUAL_YAC11" localSheetId="20">'[12]producción por yac-bloques'!#REF!</definedName>
    <definedName name="AGUA_ACTUAL_YAC11" localSheetId="24">'[12]producción por yac-bloques'!#REF!</definedName>
    <definedName name="AGUA_ACTUAL_YAC11" localSheetId="25">'[12]producción por yac-bloques'!#REF!</definedName>
    <definedName name="AGUA_ACTUAL_YAC11">'[12]producción por yac-bloques'!#REF!</definedName>
    <definedName name="aisla150" localSheetId="19">#REF!</definedName>
    <definedName name="aisla150" localSheetId="20">#REF!</definedName>
    <definedName name="aisla150" localSheetId="22">#REF!</definedName>
    <definedName name="aisla150" localSheetId="23">#REF!</definedName>
    <definedName name="aisla150" localSheetId="24">#REF!</definedName>
    <definedName name="aisla150" localSheetId="25">#REF!</definedName>
    <definedName name="aisla150">#REF!</definedName>
    <definedName name="aisla600" localSheetId="19">#REF!</definedName>
    <definedName name="aisla600" localSheetId="20">#REF!</definedName>
    <definedName name="aisla600" localSheetId="22">#REF!</definedName>
    <definedName name="aisla600" localSheetId="23">#REF!</definedName>
    <definedName name="aisla600" localSheetId="24">#REF!</definedName>
    <definedName name="aisla600" localSheetId="25">#REF!</definedName>
    <definedName name="aisla600">#REF!</definedName>
    <definedName name="amamam">#N/A</definedName>
    <definedName name="amamama">#N/A</definedName>
    <definedName name="Amperaje" localSheetId="20">#REF!</definedName>
    <definedName name="Amperaje" localSheetId="24">#REF!</definedName>
    <definedName name="Amperaje" localSheetId="25">#REF!</definedName>
    <definedName name="Amperaje">#REF!</definedName>
    <definedName name="Analisis" localSheetId="20">#REF!</definedName>
    <definedName name="Analisis" localSheetId="24">#REF!</definedName>
    <definedName name="Analisis" localSheetId="25">#REF!</definedName>
    <definedName name="Analisis">#REF!</definedName>
    <definedName name="Analisis_Final" localSheetId="20">#REF!</definedName>
    <definedName name="Analisis_Final" localSheetId="24">#REF!</definedName>
    <definedName name="Analisis_Final" localSheetId="25">#REF!</definedName>
    <definedName name="Analisis_Final">#REF!</definedName>
    <definedName name="anlisis" localSheetId="20">#REF!</definedName>
    <definedName name="anlisis" localSheetId="24">#REF!</definedName>
    <definedName name="anlisis" localSheetId="25">#REF!</definedName>
    <definedName name="anlisis">#REF!</definedName>
    <definedName name="ANSW" localSheetId="20">#REF!</definedName>
    <definedName name="ANSW" localSheetId="24">#REF!</definedName>
    <definedName name="ANSW" localSheetId="25">#REF!</definedName>
    <definedName name="ANSW">#REF!</definedName>
    <definedName name="API" localSheetId="20">#REF!</definedName>
    <definedName name="API" localSheetId="24">#REF!</definedName>
    <definedName name="API" localSheetId="25">#REF!</definedName>
    <definedName name="API">#REF!</definedName>
    <definedName name="APIDB">[13]API!$A$2:$M$102</definedName>
    <definedName name="_xlnm.Print_Area" localSheetId="6">' AjusteK-Scio'!$B$1:$E$10</definedName>
    <definedName name="_xlnm.Print_Area" localSheetId="9">'Consumos (Q)'!$B$1:$D$32</definedName>
    <definedName name="_xlnm.Print_Area" localSheetId="2">'Planilla A'!$B$1:$E$29</definedName>
    <definedName name="_xlnm.Print_Area" localSheetId="1">'Planilla A (2022)'!$B$1:$E$50</definedName>
    <definedName name="_xlnm.Print_Area" localSheetId="4">'Planilla B'!$B$1:$F$16</definedName>
    <definedName name="areaniv" localSheetId="19">#REF!</definedName>
    <definedName name="areaniv" localSheetId="20">#REF!</definedName>
    <definedName name="areaniv" localSheetId="22">#REF!</definedName>
    <definedName name="areaniv" localSheetId="24">#REF!</definedName>
    <definedName name="areaniv" localSheetId="25">#REF!</definedName>
    <definedName name="areaniv">#REF!</definedName>
    <definedName name="ary" localSheetId="20">#REF!</definedName>
    <definedName name="ary" localSheetId="24">#REF!</definedName>
    <definedName name="ary" localSheetId="25">#REF!</definedName>
    <definedName name="ary">#REF!</definedName>
    <definedName name="asd" localSheetId="20">#REF!</definedName>
    <definedName name="asd" localSheetId="24">#REF!</definedName>
    <definedName name="asd" localSheetId="25">#REF!</definedName>
    <definedName name="asd">#REF!</definedName>
    <definedName name="asdf" localSheetId="20">#REF!</definedName>
    <definedName name="asdf" localSheetId="24">#REF!</definedName>
    <definedName name="asdf" localSheetId="25">#REF!</definedName>
    <definedName name="asdf">#REF!</definedName>
    <definedName name="Atención" localSheetId="19">#REF!</definedName>
    <definedName name="Atención" localSheetId="20">#REF!</definedName>
    <definedName name="Atención" localSheetId="22">#REF!</definedName>
    <definedName name="Atención" localSheetId="24">#REF!</definedName>
    <definedName name="Atención" localSheetId="25">#REF!</definedName>
    <definedName name="Atención">#REF!</definedName>
    <definedName name="B" localSheetId="19">#REF!</definedName>
    <definedName name="B" localSheetId="20">#REF!</definedName>
    <definedName name="B" localSheetId="22">#REF!</definedName>
    <definedName name="B" localSheetId="23">#REF!</definedName>
    <definedName name="B" localSheetId="24">#REF!</definedName>
    <definedName name="B" localSheetId="25">#REF!</definedName>
    <definedName name="B">#REF!</definedName>
    <definedName name="Bacterias" localSheetId="23">'[14]Ultima Medicion'!$V$1:$W$5</definedName>
    <definedName name="Bacterias" localSheetId="24">'[14]Ultima Medicion'!$V$1:$W$5</definedName>
    <definedName name="Bacterias">'[15]Ultima Medicion'!$V$1:$W$5</definedName>
    <definedName name="BaseDatos" localSheetId="20">#REF!</definedName>
    <definedName name="BaseDatos" localSheetId="24">#REF!</definedName>
    <definedName name="BaseDatos" localSheetId="25">#REF!</definedName>
    <definedName name="BaseDatos">#REF!</definedName>
    <definedName name="_xlnm.Database" localSheetId="19">#REF!</definedName>
    <definedName name="_xlnm.Database" localSheetId="20">#REF!</definedName>
    <definedName name="_xlnm.Database" localSheetId="22">#REF!</definedName>
    <definedName name="_xlnm.Database" localSheetId="23">#REF!</definedName>
    <definedName name="_xlnm.Database" localSheetId="24">#REF!</definedName>
    <definedName name="_xlnm.Database" localSheetId="25">#REF!</definedName>
    <definedName name="_xlnm.Database">#REF!</definedName>
    <definedName name="bbaINY" localSheetId="23">'[14]Impulsion Bomba Inyectora'!$A$4:$U$231</definedName>
    <definedName name="bbaINY" localSheetId="24">'[14]Impulsion Bomba Inyectora'!$A$4:$U$231</definedName>
    <definedName name="bbaINY">'[15]Impulsion Bomba Inyectora'!$A$4:$U$231</definedName>
    <definedName name="Bbl">[16]Tablas!$I$4</definedName>
    <definedName name="BHP" localSheetId="20">#REF!</definedName>
    <definedName name="BHP" localSheetId="24">#REF!</definedName>
    <definedName name="BHP" localSheetId="25">#REF!</definedName>
    <definedName name="BHP">#REF!</definedName>
    <definedName name="BHT" localSheetId="20">#REF!</definedName>
    <definedName name="BHT" localSheetId="24">#REF!</definedName>
    <definedName name="BHT" localSheetId="25">#REF!</definedName>
    <definedName name="BHT">#REF!</definedName>
    <definedName name="BorrarHoja" localSheetId="20">[7]!BorrarHoja</definedName>
    <definedName name="BorrarHoja" localSheetId="24">[7]!BorrarHoja</definedName>
    <definedName name="BorrarHoja" localSheetId="25">[7]!BorrarHoja</definedName>
    <definedName name="BorrarHoja">[7]!BorrarHoja</definedName>
    <definedName name="BorrarProducc">[17]Production!$C$6:$L$306</definedName>
    <definedName name="brantes" localSheetId="20">[18]Sheet1!#REF!</definedName>
    <definedName name="brantes" localSheetId="24">[18]Sheet1!#REF!</definedName>
    <definedName name="brantes" localSheetId="25">[18]Sheet1!#REF!</definedName>
    <definedName name="brantes">[18]Sheet1!#REF!</definedName>
    <definedName name="brdesp" localSheetId="20">[18]Sheet1!#REF!</definedName>
    <definedName name="brdesp" localSheetId="24">[18]Sheet1!#REF!</definedName>
    <definedName name="brdesp" localSheetId="25">[18]Sheet1!#REF!</definedName>
    <definedName name="brdesp">[18]Sheet1!#REF!</definedName>
    <definedName name="BRUTA" localSheetId="20">#REF!</definedName>
    <definedName name="BRUTA" localSheetId="24">#REF!</definedName>
    <definedName name="BRUTA" localSheetId="25">#REF!</definedName>
    <definedName name="BRUTA">#REF!</definedName>
    <definedName name="Bruta_Antes" localSheetId="20">#REF!</definedName>
    <definedName name="Bruta_Antes" localSheetId="24">#REF!</definedName>
    <definedName name="Bruta_Antes" localSheetId="25">#REF!</definedName>
    <definedName name="Bruta_Antes">#REF!</definedName>
    <definedName name="Bruta_despues" localSheetId="20">#REF!</definedName>
    <definedName name="Bruta_despues" localSheetId="24">#REF!</definedName>
    <definedName name="Bruta_despues" localSheetId="25">#REF!</definedName>
    <definedName name="Bruta_despues">#REF!</definedName>
    <definedName name="BSW" localSheetId="20">#REF!</definedName>
    <definedName name="BSW" localSheetId="24">#REF!</definedName>
    <definedName name="BSW" localSheetId="25">#REF!</definedName>
    <definedName name="BSW">#REF!</definedName>
    <definedName name="BUILDUP" localSheetId="20">#REF!</definedName>
    <definedName name="BUILDUP" localSheetId="24">#REF!</definedName>
    <definedName name="BUILDUP" localSheetId="25">#REF!</definedName>
    <definedName name="BUILDUP">#REF!</definedName>
    <definedName name="C_" localSheetId="20">#REF!</definedName>
    <definedName name="C_" localSheetId="24">#REF!</definedName>
    <definedName name="C_" localSheetId="25">#REF!</definedName>
    <definedName name="C_">#REF!</definedName>
    <definedName name="c_Afe" localSheetId="20">#REF!</definedName>
    <definedName name="c_Afe" localSheetId="24">#REF!</definedName>
    <definedName name="c_Afe" localSheetId="25">#REF!</definedName>
    <definedName name="c_Afe">#REF!</definedName>
    <definedName name="c_Analisis" localSheetId="20">#REF!</definedName>
    <definedName name="c_Analisis" localSheetId="24">#REF!</definedName>
    <definedName name="c_Analisis" localSheetId="25">#REF!</definedName>
    <definedName name="c_Analisis">#REF!</definedName>
    <definedName name="c_Equipo" localSheetId="20">#REF!</definedName>
    <definedName name="c_Equipo" localSheetId="24">#REF!</definedName>
    <definedName name="c_Equipo" localSheetId="25">#REF!</definedName>
    <definedName name="c_Equipo">#REF!</definedName>
    <definedName name="c_Estado" localSheetId="20">#REF!</definedName>
    <definedName name="c_Estado" localSheetId="24">#REF!</definedName>
    <definedName name="c_Estado" localSheetId="25">#REF!</definedName>
    <definedName name="c_Estado">#REF!</definedName>
    <definedName name="c_Fin" localSheetId="20">#REF!</definedName>
    <definedName name="c_Fin" localSheetId="24">#REF!</definedName>
    <definedName name="c_Fin" localSheetId="25">#REF!</definedName>
    <definedName name="c_Fin">#REF!</definedName>
    <definedName name="c_Inicio" localSheetId="20">#REF!</definedName>
    <definedName name="c_Inicio" localSheetId="24">#REF!</definedName>
    <definedName name="c_Inicio" localSheetId="25">#REF!</definedName>
    <definedName name="c_Inicio">#REF!</definedName>
    <definedName name="c_Objetivo" localSheetId="20">#REF!</definedName>
    <definedName name="c_Objetivo" localSheetId="24">#REF!</definedName>
    <definedName name="c_Objetivo" localSheetId="25">#REF!</definedName>
    <definedName name="c_Objetivo">#REF!</definedName>
    <definedName name="c_Pozo" localSheetId="20">#REF!</definedName>
    <definedName name="c_Pozo" localSheetId="24">#REF!</definedName>
    <definedName name="c_Pozo" localSheetId="25">#REF!</definedName>
    <definedName name="c_Pozo">#REF!</definedName>
    <definedName name="CA" localSheetId="20">#REF!</definedName>
    <definedName name="CA" localSheetId="24">#REF!</definedName>
    <definedName name="CA" localSheetId="25">#REF!</definedName>
    <definedName name="CA">#REF!</definedName>
    <definedName name="cables" localSheetId="19">#REF!</definedName>
    <definedName name="cables" localSheetId="20">#REF!</definedName>
    <definedName name="cables" localSheetId="22">#REF!</definedName>
    <definedName name="cables" localSheetId="23">#REF!</definedName>
    <definedName name="cables" localSheetId="24">#REF!</definedName>
    <definedName name="cables" localSheetId="25">#REF!</definedName>
    <definedName name="cables">#REF!</definedName>
    <definedName name="CALCULOS" localSheetId="20">#REF!</definedName>
    <definedName name="CALCULOS" localSheetId="24">#REF!</definedName>
    <definedName name="CALCULOS" localSheetId="25">#REF!</definedName>
    <definedName name="CALCULOS">#REF!</definedName>
    <definedName name="CALIB" localSheetId="20">#REF!</definedName>
    <definedName name="CALIB" localSheetId="24">#REF!</definedName>
    <definedName name="CALIB" localSheetId="25">#REF!</definedName>
    <definedName name="CALIB">#REF!</definedName>
    <definedName name="CALIB1" localSheetId="20">#REF!</definedName>
    <definedName name="CALIB1" localSheetId="24">#REF!</definedName>
    <definedName name="CALIB1" localSheetId="25">#REF!</definedName>
    <definedName name="CALIB1">#REF!</definedName>
    <definedName name="CamionerosPozos" localSheetId="19">#REF!</definedName>
    <definedName name="CamionerosPozos" localSheetId="20">#REF!</definedName>
    <definedName name="CamionerosPozos" localSheetId="22">#REF!</definedName>
    <definedName name="CamionerosPozos" localSheetId="24">#REF!</definedName>
    <definedName name="CamionerosPozos" localSheetId="25">#REF!</definedName>
    <definedName name="CamionerosPozos">#REF!</definedName>
    <definedName name="Camisa">'[19]Coef.'!$J$112:$J$115</definedName>
    <definedName name="CANO" localSheetId="20">#REF!</definedName>
    <definedName name="CANO" localSheetId="24">#REF!</definedName>
    <definedName name="CANO" localSheetId="25">#REF!</definedName>
    <definedName name="CANO">#REF!</definedName>
    <definedName name="CANTESP" localSheetId="19">#REF!</definedName>
    <definedName name="CANTESP" localSheetId="20">#REF!</definedName>
    <definedName name="CANTESP" localSheetId="22">#REF!</definedName>
    <definedName name="CANTESP" localSheetId="23">#REF!</definedName>
    <definedName name="CANTESP" localSheetId="24">#REF!</definedName>
    <definedName name="CANTESP" localSheetId="25">#REF!</definedName>
    <definedName name="CANTESP">#REF!</definedName>
    <definedName name="CARGAR" localSheetId="20">#REF!</definedName>
    <definedName name="CARGAR" localSheetId="24">#REF!</definedName>
    <definedName name="CARGAR" localSheetId="25">#REF!</definedName>
    <definedName name="CARGAR">#REF!</definedName>
    <definedName name="Carrera" localSheetId="20">#REF!</definedName>
    <definedName name="Carrera" localSheetId="24">#REF!</definedName>
    <definedName name="Carrera" localSheetId="25">#REF!</definedName>
    <definedName name="Carrera">#REF!</definedName>
    <definedName name="cash" localSheetId="20">#REF!</definedName>
    <definedName name="cash" localSheetId="24">#REF!</definedName>
    <definedName name="cash" localSheetId="25">#REF!</definedName>
    <definedName name="cash">#REF!</definedName>
    <definedName name="Categoria" localSheetId="23">[20]Hoja3!$A$2:$A$9</definedName>
    <definedName name="Categoria" localSheetId="24">[20]Hoja3!$A$2:$A$9</definedName>
    <definedName name="Categoria">[21]Hoja3!$A$2:$A$9</definedName>
    <definedName name="Catepp">[8]GdP!$F$5:$K$5</definedName>
    <definedName name="Catot">[8]GdP!$F$61:$K$61</definedName>
    <definedName name="ccc" localSheetId="20">#REF!</definedName>
    <definedName name="ccc" localSheetId="24">#REF!</definedName>
    <definedName name="ccc" localSheetId="25">#REF!</definedName>
    <definedName name="ccc">#REF!</definedName>
    <definedName name="CCT_1" localSheetId="19">#REF!</definedName>
    <definedName name="CCT_1" localSheetId="20">#REF!</definedName>
    <definedName name="CCT_1" localSheetId="22">#REF!</definedName>
    <definedName name="CCT_1" localSheetId="24">#REF!</definedName>
    <definedName name="CCT_1" localSheetId="25">#REF!</definedName>
    <definedName name="CCT_1">#REF!</definedName>
    <definedName name="CCT_2" localSheetId="19">#REF!</definedName>
    <definedName name="CCT_2" localSheetId="20">#REF!</definedName>
    <definedName name="CCT_2" localSheetId="22">#REF!</definedName>
    <definedName name="CCT_2" localSheetId="24">#REF!</definedName>
    <definedName name="CCT_2" localSheetId="25">#REF!</definedName>
    <definedName name="CCT_2">#REF!</definedName>
    <definedName name="Ce" localSheetId="19">#REF!</definedName>
    <definedName name="Ce" localSheetId="20">#REF!</definedName>
    <definedName name="Ce" localSheetId="22">#REF!</definedName>
    <definedName name="Ce" localSheetId="23">#REF!</definedName>
    <definedName name="Ce" localSheetId="24">#REF!</definedName>
    <definedName name="Ce" localSheetId="25">#REF!</definedName>
    <definedName name="Ce">#REF!</definedName>
    <definedName name="Ce35A">[22]Pulling!$C$24</definedName>
    <definedName name="CeCos">[23]CeCos!$D$2:$D$1842</definedName>
    <definedName name="Celdasaborrar">[24]Planilla!$B$9:$C$33,[24]Planilla!$BG$8:$BM$33</definedName>
    <definedName name="CENTENARIO" localSheetId="20">#REF!</definedName>
    <definedName name="CENTENARIO" localSheetId="24">#REF!</definedName>
    <definedName name="CENTENARIO" localSheetId="25">#REF!</definedName>
    <definedName name="CENTENARIO">#REF!</definedName>
    <definedName name="CF" localSheetId="20">#REF!</definedName>
    <definedName name="CF" localSheetId="24">#REF!</definedName>
    <definedName name="CF" localSheetId="25">#REF!</definedName>
    <definedName name="CF">#REF!</definedName>
    <definedName name="cftr">'[25]500'!$A$1:$N$61</definedName>
    <definedName name="CH_DATE" localSheetId="20">#REF!</definedName>
    <definedName name="CH_DATE" localSheetId="24">#REF!</definedName>
    <definedName name="CH_DATE" localSheetId="25">#REF!</definedName>
    <definedName name="CH_DATE">#REF!</definedName>
    <definedName name="CH_PAGE" localSheetId="20">#REF!</definedName>
    <definedName name="CH_PAGE" localSheetId="24">#REF!</definedName>
    <definedName name="CH_PAGE" localSheetId="25">#REF!</definedName>
    <definedName name="CH_PAGE">#REF!</definedName>
    <definedName name="chapa" localSheetId="19">#REF!</definedName>
    <definedName name="chapa" localSheetId="20">#REF!</definedName>
    <definedName name="chapa" localSheetId="22">#REF!</definedName>
    <definedName name="chapa" localSheetId="23">#REF!</definedName>
    <definedName name="chapa" localSheetId="24">#REF!</definedName>
    <definedName name="chapa" localSheetId="25">#REF!</definedName>
    <definedName name="chapa">#REF!</definedName>
    <definedName name="CHECK" localSheetId="20">#REF!</definedName>
    <definedName name="CHECK" localSheetId="24">#REF!</definedName>
    <definedName name="CHECK" localSheetId="25">#REF!</definedName>
    <definedName name="CHECK">#REF!</definedName>
    <definedName name="CINCO">"Lista desplegable 1"</definedName>
    <definedName name="cmax" localSheetId="20">#REF!</definedName>
    <definedName name="cmax" localSheetId="24">#REF!</definedName>
    <definedName name="cmax" localSheetId="25">#REF!</definedName>
    <definedName name="cmax">#REF!</definedName>
    <definedName name="cmin" localSheetId="20">#REF!</definedName>
    <definedName name="cmin" localSheetId="24">#REF!</definedName>
    <definedName name="cmin" localSheetId="25">#REF!</definedName>
    <definedName name="cmin">#REF!</definedName>
    <definedName name="CNT" localSheetId="20">#REF!</definedName>
    <definedName name="CNT" localSheetId="24">#REF!</definedName>
    <definedName name="CNT" localSheetId="25">#REF!</definedName>
    <definedName name="CNT">#REF!</definedName>
    <definedName name="CNTR" localSheetId="20">#REF!</definedName>
    <definedName name="CNTR" localSheetId="24">#REF!</definedName>
    <definedName name="CNTR" localSheetId="25">#REF!</definedName>
    <definedName name="CNTR">#REF!</definedName>
    <definedName name="code">[13]Data!$I$13</definedName>
    <definedName name="coef">'[26]COEF. C'!$A$5:$B$104</definedName>
    <definedName name="Cola_camisa">'[19]Coef.'!$J$117:$J$122</definedName>
    <definedName name="COLOR" localSheetId="20">#REF!</definedName>
    <definedName name="COLOR" localSheetId="24">#REF!</definedName>
    <definedName name="COLOR" localSheetId="25">#REF!</definedName>
    <definedName name="COLOR">#REF!</definedName>
    <definedName name="columna1" localSheetId="19">#REF!</definedName>
    <definedName name="columna1" localSheetId="20">#REF!</definedName>
    <definedName name="columna1" localSheetId="22">#REF!</definedName>
    <definedName name="columna1" localSheetId="24">#REF!</definedName>
    <definedName name="columna1" localSheetId="25">#REF!</definedName>
    <definedName name="columna1">#REF!</definedName>
    <definedName name="columna10" localSheetId="19">#REF!</definedName>
    <definedName name="columna10" localSheetId="20">#REF!</definedName>
    <definedName name="columna10" localSheetId="22">#REF!</definedName>
    <definedName name="columna10" localSheetId="24">#REF!</definedName>
    <definedName name="columna10" localSheetId="25">#REF!</definedName>
    <definedName name="columna10">#REF!</definedName>
    <definedName name="columna11" localSheetId="19">#REF!</definedName>
    <definedName name="columna11" localSheetId="20">#REF!</definedName>
    <definedName name="columna11" localSheetId="22">#REF!</definedName>
    <definedName name="columna11" localSheetId="24">#REF!</definedName>
    <definedName name="columna11" localSheetId="25">#REF!</definedName>
    <definedName name="columna11">#REF!</definedName>
    <definedName name="columna12" localSheetId="19">#REF!</definedName>
    <definedName name="columna12" localSheetId="20">#REF!</definedName>
    <definedName name="columna12" localSheetId="22">#REF!</definedName>
    <definedName name="columna12" localSheetId="24">#REF!</definedName>
    <definedName name="columna12" localSheetId="25">#REF!</definedName>
    <definedName name="columna12">#REF!</definedName>
    <definedName name="columna13" localSheetId="19">#REF!</definedName>
    <definedName name="columna13" localSheetId="20">#REF!</definedName>
    <definedName name="columna13" localSheetId="22">#REF!</definedName>
    <definedName name="columna13" localSheetId="24">#REF!</definedName>
    <definedName name="columna13" localSheetId="25">#REF!</definedName>
    <definedName name="columna13">#REF!</definedName>
    <definedName name="columna14" localSheetId="19">#REF!</definedName>
    <definedName name="columna14" localSheetId="20">#REF!</definedName>
    <definedName name="columna14" localSheetId="22">#REF!</definedName>
    <definedName name="columna14" localSheetId="24">#REF!</definedName>
    <definedName name="columna14" localSheetId="25">#REF!</definedName>
    <definedName name="columna14">#REF!</definedName>
    <definedName name="columna2" localSheetId="19">#REF!</definedName>
    <definedName name="columna2" localSheetId="20">#REF!</definedName>
    <definedName name="columna2" localSheetId="22">#REF!</definedName>
    <definedName name="columna2" localSheetId="24">#REF!</definedName>
    <definedName name="columna2" localSheetId="25">#REF!</definedName>
    <definedName name="columna2">#REF!</definedName>
    <definedName name="columna3" localSheetId="19">#REF!</definedName>
    <definedName name="columna3" localSheetId="20">#REF!</definedName>
    <definedName name="columna3" localSheetId="22">#REF!</definedName>
    <definedName name="columna3" localSheetId="24">#REF!</definedName>
    <definedName name="columna3" localSheetId="25">#REF!</definedName>
    <definedName name="columna3">#REF!</definedName>
    <definedName name="columna4" localSheetId="19">#REF!</definedName>
    <definedName name="columna4" localSheetId="20">#REF!</definedName>
    <definedName name="columna4" localSheetId="22">#REF!</definedName>
    <definedName name="columna4" localSheetId="24">#REF!</definedName>
    <definedName name="columna4" localSheetId="25">#REF!</definedName>
    <definedName name="columna4">#REF!</definedName>
    <definedName name="columna5" localSheetId="19">#REF!</definedName>
    <definedName name="columna5" localSheetId="20">#REF!</definedName>
    <definedName name="columna5" localSheetId="22">#REF!</definedName>
    <definedName name="columna5" localSheetId="24">#REF!</definedName>
    <definedName name="columna5" localSheetId="25">#REF!</definedName>
    <definedName name="columna5">#REF!</definedName>
    <definedName name="columna6" localSheetId="19">#REF!</definedName>
    <definedName name="columna6" localSheetId="20">#REF!</definedName>
    <definedName name="columna6" localSheetId="22">#REF!</definedName>
    <definedName name="columna6" localSheetId="24">#REF!</definedName>
    <definedName name="columna6" localSheetId="25">#REF!</definedName>
    <definedName name="columna6">#REF!</definedName>
    <definedName name="columna7" localSheetId="19">#REF!</definedName>
    <definedName name="columna7" localSheetId="20">#REF!</definedName>
    <definedName name="columna7" localSheetId="22">#REF!</definedName>
    <definedName name="columna7" localSheetId="24">#REF!</definedName>
    <definedName name="columna7" localSheetId="25">#REF!</definedName>
    <definedName name="columna7">#REF!</definedName>
    <definedName name="columna8" localSheetId="19">#REF!</definedName>
    <definedName name="columna8" localSheetId="20">#REF!</definedName>
    <definedName name="columna8" localSheetId="22">#REF!</definedName>
    <definedName name="columna8" localSheetId="24">#REF!</definedName>
    <definedName name="columna8" localSheetId="25">#REF!</definedName>
    <definedName name="columna8">#REF!</definedName>
    <definedName name="columna9" localSheetId="19">#REF!</definedName>
    <definedName name="columna9" localSheetId="20">#REF!</definedName>
    <definedName name="columna9" localSheetId="22">#REF!</definedName>
    <definedName name="columna9" localSheetId="24">#REF!</definedName>
    <definedName name="columna9" localSheetId="25">#REF!</definedName>
    <definedName name="columna9">#REF!</definedName>
    <definedName name="CombPerf" localSheetId="20">#REF!</definedName>
    <definedName name="CombPerf" localSheetId="24">#REF!</definedName>
    <definedName name="CombPerf" localSheetId="25">#REF!</definedName>
    <definedName name="CombPerf">#REF!</definedName>
    <definedName name="CombustibleF4000" localSheetId="20">#REF!</definedName>
    <definedName name="CombustibleF4000" localSheetId="24">#REF!</definedName>
    <definedName name="CombustibleF4000" localSheetId="25">#REF!</definedName>
    <definedName name="CombustibleF4000">#REF!</definedName>
    <definedName name="CombustibleRanger" localSheetId="20">#REF!</definedName>
    <definedName name="CombustibleRanger" localSheetId="24">#REF!</definedName>
    <definedName name="CombustibleRanger" localSheetId="25">#REF!</definedName>
    <definedName name="CombustibleRanger">#REF!</definedName>
    <definedName name="CombustibleRetro" localSheetId="20">#REF!</definedName>
    <definedName name="CombustibleRetro" localSheetId="24">#REF!</definedName>
    <definedName name="CombustibleRetro" localSheetId="25">#REF!</definedName>
    <definedName name="CombustibleRetro">#REF!</definedName>
    <definedName name="COMENT" localSheetId="20">#REF!</definedName>
    <definedName name="COMENT" localSheetId="24">#REF!</definedName>
    <definedName name="COMENT" localSheetId="25">#REF!</definedName>
    <definedName name="COMENT">#REF!</definedName>
    <definedName name="Comer" localSheetId="20">#REF!</definedName>
    <definedName name="Comer" localSheetId="24">#REF!</definedName>
    <definedName name="Comer" localSheetId="25">#REF!</definedName>
    <definedName name="Comer">#REF!</definedName>
    <definedName name="Comerc" localSheetId="20">#REF!</definedName>
    <definedName name="Comerc" localSheetId="24">#REF!</definedName>
    <definedName name="Comerc" localSheetId="25">#REF!</definedName>
    <definedName name="Comerc">#REF!</definedName>
    <definedName name="CompC" localSheetId="20">#REF!</definedName>
    <definedName name="CompC" localSheetId="24">#REF!</definedName>
    <definedName name="CompC" localSheetId="25">#REF!</definedName>
    <definedName name="CompC">#REF!</definedName>
    <definedName name="ComprPeriods">[17]Production!$P$4</definedName>
    <definedName name="cond">[13]Data!$J$13</definedName>
    <definedName name="CONT\Y" localSheetId="20">[1]Sheet6!#REF!</definedName>
    <definedName name="CONT\Y" localSheetId="24">[1]Sheet6!#REF!</definedName>
    <definedName name="CONT\Y" localSheetId="25">[1]Sheet6!#REF!</definedName>
    <definedName name="CONT\Y">[1]Sheet6!#REF!</definedName>
    <definedName name="CONTADOR" localSheetId="20">[1]Sheet6!#REF!</definedName>
    <definedName name="CONTADOR" localSheetId="24">[1]Sheet6!#REF!</definedName>
    <definedName name="CONTADOR" localSheetId="25">[1]Sheet6!#REF!</definedName>
    <definedName name="CONTADOR">[1]Sheet6!#REF!</definedName>
    <definedName name="continua" localSheetId="16">'2.IER'!continua</definedName>
    <definedName name="continua" localSheetId="17">'3.CLN'!continua</definedName>
    <definedName name="continua" localSheetId="19">'4.IM'!continua</definedName>
    <definedName name="continua" localSheetId="20">'5.L'!continua</definedName>
    <definedName name="continua" localSheetId="22">'5.LI'!continua</definedName>
    <definedName name="continua" localSheetId="23">'6.MBD'!continua</definedName>
    <definedName name="continua" localSheetId="24">'7.II'!continua</definedName>
    <definedName name="continua" localSheetId="25">'8.- Servicio contratado'!continua</definedName>
    <definedName name="continua">[0]!continua</definedName>
    <definedName name="Control" localSheetId="20">#REF!</definedName>
    <definedName name="Control" localSheetId="24">#REF!</definedName>
    <definedName name="Control" localSheetId="25">#REF!</definedName>
    <definedName name="Control">#REF!</definedName>
    <definedName name="CONTROLADOR" localSheetId="20">[1]Sheet6!#REF!</definedName>
    <definedName name="CONTROLADOR" localSheetId="24">[1]Sheet6!#REF!</definedName>
    <definedName name="CONTROLADOR" localSheetId="25">[1]Sheet6!#REF!</definedName>
    <definedName name="CONTROLADOR">[1]Sheet6!#REF!</definedName>
    <definedName name="conv1">[13]Data!$AF$3</definedName>
    <definedName name="conv2">[13]Data!$AF$4</definedName>
    <definedName name="conv3">[13]Data!$AF$5</definedName>
    <definedName name="COTA" localSheetId="20">#REF!</definedName>
    <definedName name="COTA" localSheetId="24">#REF!</definedName>
    <definedName name="COTA" localSheetId="25">#REF!</definedName>
    <definedName name="COTA">#REF!</definedName>
    <definedName name="Coti" localSheetId="20">#REF!</definedName>
    <definedName name="Coti" localSheetId="24">#REF!</definedName>
    <definedName name="Coti" localSheetId="25">#REF!</definedName>
    <definedName name="Coti">#REF!</definedName>
    <definedName name="Coti_01">[27]Tablas!$D$4</definedName>
    <definedName name="Coti_02">[27]Tablas!$D$5</definedName>
    <definedName name="Coti_03">[27]Tablas!$D$6</definedName>
    <definedName name="Coti_04">[27]Tablas!$D$7</definedName>
    <definedName name="Coti_05">[27]Tablas!$D$8</definedName>
    <definedName name="Coti_06">[27]Tablas!$D$9</definedName>
    <definedName name="Coti_07">[27]Tablas!$D$10</definedName>
    <definedName name="Coti_08">[27]Tablas!$D$11</definedName>
    <definedName name="Coti_09">[27]Tablas!$D$12</definedName>
    <definedName name="Coti_10">[27]Tablas!$D$13</definedName>
    <definedName name="Coti_11">[27]Tablas!$D$14</definedName>
    <definedName name="Coti_12">[27]Tablas!$D$15</definedName>
    <definedName name="cotiz">'[24]WO 1'!$Q$53</definedName>
    <definedName name="CP" localSheetId="20">#REF!</definedName>
    <definedName name="CP" localSheetId="24">#REF!</definedName>
    <definedName name="CP" localSheetId="25">#REF!</definedName>
    <definedName name="CP">#REF!</definedName>
    <definedName name="CPG" localSheetId="19">#REF!</definedName>
    <definedName name="CPG" localSheetId="20">#REF!</definedName>
    <definedName name="CPG" localSheetId="22">#REF!</definedName>
    <definedName name="CPG" localSheetId="23">#REF!</definedName>
    <definedName name="CPG" localSheetId="24">#REF!</definedName>
    <definedName name="CPG" localSheetId="25">#REF!</definedName>
    <definedName name="CPG">#REF!</definedName>
    <definedName name="CPL" localSheetId="19">#REF!</definedName>
    <definedName name="CPL" localSheetId="20">#REF!</definedName>
    <definedName name="CPL" localSheetId="22">#REF!</definedName>
    <definedName name="CPL" localSheetId="23">#REF!</definedName>
    <definedName name="CPL" localSheetId="24">#REF!</definedName>
    <definedName name="CPL" localSheetId="25">#REF!</definedName>
    <definedName name="CPL">#REF!</definedName>
    <definedName name="CS" localSheetId="20">#REF!</definedName>
    <definedName name="CS" localSheetId="24">#REF!</definedName>
    <definedName name="CS" localSheetId="25">#REF!</definedName>
    <definedName name="CS">#REF!</definedName>
    <definedName name="CSUB2" localSheetId="20">#REF!</definedName>
    <definedName name="CSUB2" localSheetId="24">#REF!</definedName>
    <definedName name="CSUB2" localSheetId="25">#REF!</definedName>
    <definedName name="CSUB2">#REF!</definedName>
    <definedName name="CUAR" localSheetId="20">[1]Sheet6!#REF!</definedName>
    <definedName name="CUAR" localSheetId="24">[1]Sheet6!#REF!</definedName>
    <definedName name="CUAR" localSheetId="25">[1]Sheet6!#REF!</definedName>
    <definedName name="CUAR">[1]Sheet6!#REF!</definedName>
    <definedName name="CUAR2" localSheetId="20">[1]Sheet5!#REF!</definedName>
    <definedName name="CUAR2" localSheetId="24">[1]Sheet5!#REF!</definedName>
    <definedName name="CUAR2" localSheetId="25">[1]Sheet5!#REF!</definedName>
    <definedName name="CUAR2">[1]Sheet5!#REF!</definedName>
    <definedName name="Curvaprog" localSheetId="20">#REF!</definedName>
    <definedName name="Curvaprog" localSheetId="24">#REF!</definedName>
    <definedName name="Curvaprog" localSheetId="25">#REF!</definedName>
    <definedName name="Curvaprog">#REF!</definedName>
    <definedName name="CUST" localSheetId="20">#REF!</definedName>
    <definedName name="CUST" localSheetId="24">#REF!</definedName>
    <definedName name="CUST" localSheetId="25">#REF!</definedName>
    <definedName name="CUST">#REF!</definedName>
    <definedName name="D" localSheetId="19">#REF!</definedName>
    <definedName name="D" localSheetId="20">#REF!</definedName>
    <definedName name="D" localSheetId="22">#REF!</definedName>
    <definedName name="D" localSheetId="23">#REF!</definedName>
    <definedName name="D" localSheetId="24">#REF!</definedName>
    <definedName name="D" localSheetId="25">#REF!</definedName>
    <definedName name="D">#REF!</definedName>
    <definedName name="DATA_PRES.DIN" localSheetId="19">#REF!</definedName>
    <definedName name="DATA_PRES.DIN" localSheetId="20">#REF!</definedName>
    <definedName name="DATA_PRES.DIN" localSheetId="22">#REF!</definedName>
    <definedName name="DATA_PRES.DIN" localSheetId="24">#REF!</definedName>
    <definedName name="DATA_PRES.DIN" localSheetId="25">#REF!</definedName>
    <definedName name="DATA_PRES.DIN">#REF!</definedName>
    <definedName name="DATA_PRES_DIN" localSheetId="19">#REF!</definedName>
    <definedName name="DATA_PRES_DIN" localSheetId="20">#REF!</definedName>
    <definedName name="DATA_PRES_DIN" localSheetId="22">#REF!</definedName>
    <definedName name="DATA_PRES_DIN" localSheetId="24">#REF!</definedName>
    <definedName name="DATA_PRES_DIN" localSheetId="25">#REF!</definedName>
    <definedName name="DATA_PRES_DIN">#REF!</definedName>
    <definedName name="DATE" localSheetId="20">#REF!</definedName>
    <definedName name="DATE" localSheetId="24">#REF!</definedName>
    <definedName name="DATE" localSheetId="25">#REF!</definedName>
    <definedName name="DATE">#REF!</definedName>
    <definedName name="DATE0" localSheetId="20">#REF!</definedName>
    <definedName name="DATE0" localSheetId="24">#REF!</definedName>
    <definedName name="DATE0" localSheetId="25">#REF!</definedName>
    <definedName name="DATE0">#REF!</definedName>
    <definedName name="DATOS">[28]DATOS!$A$1:$B$29</definedName>
    <definedName name="Datosaingresar" localSheetId="20">#REF!</definedName>
    <definedName name="Datosaingresar" localSheetId="24">#REF!</definedName>
    <definedName name="Datosaingresar" localSheetId="25">#REF!</definedName>
    <definedName name="Datosaingresar">#REF!</definedName>
    <definedName name="datosimp" localSheetId="19">#REF!</definedName>
    <definedName name="datosimp" localSheetId="20">#REF!</definedName>
    <definedName name="datosimp" localSheetId="22">#REF!</definedName>
    <definedName name="datosimp" localSheetId="24">#REF!</definedName>
    <definedName name="datosimp" localSheetId="25">#REF!</definedName>
    <definedName name="datosimp">#REF!</definedName>
    <definedName name="datosparo" localSheetId="19">#REF!</definedName>
    <definedName name="datosparo" localSheetId="20">#REF!</definedName>
    <definedName name="datosparo" localSheetId="22">#REF!</definedName>
    <definedName name="datosparo" localSheetId="24">#REF!</definedName>
    <definedName name="datosparo" localSheetId="25">#REF!</definedName>
    <definedName name="datosparo">#REF!</definedName>
    <definedName name="dd" localSheetId="16" hidden="1">{#N/A,#N/A,FALSE,"SERIE_150";#N/A,#N/A,FALSE,"SERIE_600 "}</definedName>
    <definedName name="dd" localSheetId="17" hidden="1">{#N/A,#N/A,FALSE,"SERIE_150";#N/A,#N/A,FALSE,"SERIE_600 "}</definedName>
    <definedName name="dd" localSheetId="19" hidden="1">{#N/A,#N/A,FALSE,"SERIE_150";#N/A,#N/A,FALSE,"SERIE_600 "}</definedName>
    <definedName name="dd" localSheetId="20" hidden="1">{#N/A,#N/A,FALSE,"SERIE_150";#N/A,#N/A,FALSE,"SERIE_600 "}</definedName>
    <definedName name="dd" localSheetId="22" hidden="1">{#N/A,#N/A,FALSE,"SERIE_150";#N/A,#N/A,FALSE,"SERIE_600 "}</definedName>
    <definedName name="dd" localSheetId="23" hidden="1">{#N/A,#N/A,FALSE,"SERIE_150";#N/A,#N/A,FALSE,"SERIE_600 "}</definedName>
    <definedName name="dd" localSheetId="24" hidden="1">{#N/A,#N/A,FALSE,"SERIE_150";#N/A,#N/A,FALSE,"SERIE_600 "}</definedName>
    <definedName name="dd" localSheetId="25" hidden="1">{#N/A,#N/A,FALSE,"SERIE_150";#N/A,#N/A,FALSE,"SERIE_600 "}</definedName>
    <definedName name="dd" hidden="1">{#N/A,#N/A,FALSE,"SERIE_150";#N/A,#N/A,FALSE,"SERIE_600 "}</definedName>
    <definedName name="Desarrollo" localSheetId="20">#REF!</definedName>
    <definedName name="Desarrollo" localSheetId="24">#REF!</definedName>
    <definedName name="Desarrollo" localSheetId="25">#REF!</definedName>
    <definedName name="Desarrollo">#REF!</definedName>
    <definedName name="dhsl" localSheetId="20">#REF!</definedName>
    <definedName name="dhsl" localSheetId="24">#REF!</definedName>
    <definedName name="dhsl" localSheetId="25">#REF!</definedName>
    <definedName name="dhsl">#REF!</definedName>
    <definedName name="diagrama" localSheetId="20">#REF!</definedName>
    <definedName name="diagrama" localSheetId="24">#REF!</definedName>
    <definedName name="diagrama" localSheetId="25">#REF!</definedName>
    <definedName name="diagrama">#REF!</definedName>
    <definedName name="diam">[13]Data!$E$7</definedName>
    <definedName name="DIFF" localSheetId="20">#REF!</definedName>
    <definedName name="DIFF" localSheetId="24">#REF!</definedName>
    <definedName name="DIFF" localSheetId="25">#REF!</definedName>
    <definedName name="DIFF">#REF!</definedName>
    <definedName name="dlev">[13]Data!$D$11</definedName>
    <definedName name="Dolar" localSheetId="20">#REF!</definedName>
    <definedName name="Dolar" localSheetId="24">#REF!</definedName>
    <definedName name="Dolar" localSheetId="25">#REF!</definedName>
    <definedName name="Dolar">#REF!</definedName>
    <definedName name="Dólar" localSheetId="20">#REF!</definedName>
    <definedName name="Dólar" localSheetId="24">#REF!</definedName>
    <definedName name="Dólar" localSheetId="25">#REF!</definedName>
    <definedName name="Dólar">#REF!</definedName>
    <definedName name="dp">[13]Data!$H$7</definedName>
    <definedName name="DR_" localSheetId="20">#REF!</definedName>
    <definedName name="DR_" localSheetId="24">#REF!</definedName>
    <definedName name="DR_" localSheetId="25">#REF!</definedName>
    <definedName name="DR_">#REF!</definedName>
    <definedName name="DR_1" localSheetId="20">#REF!</definedName>
    <definedName name="DR_1" localSheetId="24">#REF!</definedName>
    <definedName name="DR_1" localSheetId="25">#REF!</definedName>
    <definedName name="DR_1">#REF!</definedName>
    <definedName name="drf" localSheetId="20">#REF!</definedName>
    <definedName name="drf" localSheetId="24">#REF!</definedName>
    <definedName name="drf" localSheetId="25">#REF!</definedName>
    <definedName name="drf">#REF!</definedName>
    <definedName name="dro">[13]Data!$D$17</definedName>
    <definedName name="drw">[13]Data!$D$19</definedName>
    <definedName name="dyyi" localSheetId="20">#REF!</definedName>
    <definedName name="dyyi" localSheetId="24">#REF!</definedName>
    <definedName name="dyyi" localSheetId="25">#REF!</definedName>
    <definedName name="dyyi">#REF!</definedName>
    <definedName name="E" localSheetId="19">#REF!</definedName>
    <definedName name="E" localSheetId="20">#REF!</definedName>
    <definedName name="E" localSheetId="22">#REF!</definedName>
    <definedName name="E" localSheetId="23">#REF!</definedName>
    <definedName name="E" localSheetId="24">#REF!</definedName>
    <definedName name="E" localSheetId="25">#REF!</definedName>
    <definedName name="E">#REF!</definedName>
    <definedName name="EC_ANtes" localSheetId="20">#REF!</definedName>
    <definedName name="EC_ANtes" localSheetId="24">#REF!</definedName>
    <definedName name="EC_ANtes" localSheetId="25">#REF!</definedName>
    <definedName name="EC_ANtes">#REF!</definedName>
    <definedName name="ec_despues" localSheetId="20">#REF!</definedName>
    <definedName name="ec_despues" localSheetId="24">#REF!</definedName>
    <definedName name="ec_despues" localSheetId="25">#REF!</definedName>
    <definedName name="ec_despues">#REF!</definedName>
    <definedName name="ecant" localSheetId="20">[18]Sheet1!#REF!</definedName>
    <definedName name="ecant" localSheetId="24">[18]Sheet1!#REF!</definedName>
    <definedName name="ecant" localSheetId="25">[18]Sheet1!#REF!</definedName>
    <definedName name="ecant">[18]Sheet1!#REF!</definedName>
    <definedName name="ecdesp" localSheetId="20">[18]Sheet1!#REF!</definedName>
    <definedName name="ecdesp" localSheetId="24">[18]Sheet1!#REF!</definedName>
    <definedName name="ecdesp" localSheetId="25">[18]Sheet1!#REF!</definedName>
    <definedName name="ecdesp">[18]Sheet1!#REF!</definedName>
    <definedName name="EDIT2" localSheetId="20">#REF!</definedName>
    <definedName name="EDIT2" localSheetId="24">#REF!</definedName>
    <definedName name="EDIT2" localSheetId="25">#REF!</definedName>
    <definedName name="EDIT2">#REF!</definedName>
    <definedName name="ejecucion" localSheetId="20">#REF!</definedName>
    <definedName name="ejecucion" localSheetId="24">#REF!</definedName>
    <definedName name="ejecucion" localSheetId="25">#REF!</definedName>
    <definedName name="ejecucion">#REF!</definedName>
    <definedName name="EL__PORVENIR" localSheetId="20">#REF!</definedName>
    <definedName name="EL__PORVENIR" localSheetId="24">#REF!</definedName>
    <definedName name="EL__PORVENIR" localSheetId="25">#REF!</definedName>
    <definedName name="EL__PORVENIR">#REF!</definedName>
    <definedName name="ELAPS" localSheetId="20">#REF!</definedName>
    <definedName name="ELAPS" localSheetId="24">#REF!</definedName>
    <definedName name="ELAPS" localSheetId="25">#REF!</definedName>
    <definedName name="ELAPS">#REF!</definedName>
    <definedName name="Empresa">[29]Hoja1!$B$55:$B$56</definedName>
    <definedName name="END" localSheetId="16">'2.IER'!END</definedName>
    <definedName name="END" localSheetId="17">'3.CLN'!END</definedName>
    <definedName name="END" localSheetId="19">'4.IM'!END</definedName>
    <definedName name="END" localSheetId="20">'5.L'!END</definedName>
    <definedName name="END" localSheetId="22">'5.LI'!END</definedName>
    <definedName name="END" localSheetId="23">'6.MBD'!END</definedName>
    <definedName name="END" localSheetId="24">'7.II'!END</definedName>
    <definedName name="END" localSheetId="25">'8.- Servicio contratado'!END</definedName>
    <definedName name="END">[0]!END</definedName>
    <definedName name="entAPI" localSheetId="19">#REF!</definedName>
    <definedName name="entAPI" localSheetId="20">#REF!</definedName>
    <definedName name="entAPI" localSheetId="22">#REF!</definedName>
    <definedName name="entAPI" localSheetId="23">#REF!</definedName>
    <definedName name="entAPI" localSheetId="24">#REF!</definedName>
    <definedName name="entAPI" localSheetId="25">#REF!</definedName>
    <definedName name="entAPI">#REF!</definedName>
    <definedName name="entBAF" localSheetId="23">'[14]Entrada Tk Bafle'!$A$7:$P$81</definedName>
    <definedName name="entBAF" localSheetId="24">'[14]Entrada Tk Bafle'!$A$7:$P$81</definedName>
    <definedName name="entBAF">'[15]Entrada Tk Bafle'!$A$7:$P$81</definedName>
    <definedName name="enter150" localSheetId="19">#REF!</definedName>
    <definedName name="enter150" localSheetId="20">#REF!</definedName>
    <definedName name="enter150" localSheetId="22">#REF!</definedName>
    <definedName name="enter150" localSheetId="23">#REF!</definedName>
    <definedName name="enter150" localSheetId="24">#REF!</definedName>
    <definedName name="enter150" localSheetId="25">#REF!</definedName>
    <definedName name="enter150">#REF!</definedName>
    <definedName name="enter600" localSheetId="19">#REF!</definedName>
    <definedName name="enter600" localSheetId="20">#REF!</definedName>
    <definedName name="enter600" localSheetId="22">#REF!</definedName>
    <definedName name="enter600" localSheetId="23">#REF!</definedName>
    <definedName name="enter600" localSheetId="24">#REF!</definedName>
    <definedName name="enter600" localSheetId="25">#REF!</definedName>
    <definedName name="enter600">#REF!</definedName>
    <definedName name="entidad" localSheetId="19">#REF!</definedName>
    <definedName name="entidad" localSheetId="20">#REF!</definedName>
    <definedName name="entidad" localSheetId="22">#REF!</definedName>
    <definedName name="entidad" localSheetId="24">#REF!</definedName>
    <definedName name="entidad" localSheetId="25">#REF!</definedName>
    <definedName name="entidad">#REF!</definedName>
    <definedName name="EQUIPAMIENTO" localSheetId="20">#REF!</definedName>
    <definedName name="EQUIPAMIENTO" localSheetId="24">#REF!</definedName>
    <definedName name="EQUIPAMIENTO" localSheetId="25">#REF!</definedName>
    <definedName name="EQUIPAMIENTO">#REF!</definedName>
    <definedName name="equipo" localSheetId="20">#REF!</definedName>
    <definedName name="equipo" localSheetId="24">#REF!</definedName>
    <definedName name="equipo" localSheetId="25">#REF!</definedName>
    <definedName name="equipo">#REF!</definedName>
    <definedName name="EquipoBASE" localSheetId="20">#REF!</definedName>
    <definedName name="EquipoBASE" localSheetId="24">#REF!</definedName>
    <definedName name="EquipoBASE" localSheetId="25">#REF!</definedName>
    <definedName name="EquipoBASE">#REF!</definedName>
    <definedName name="EquipoCIS" localSheetId="20">#REF!</definedName>
    <definedName name="EquipoCIS" localSheetId="24">#REF!</definedName>
    <definedName name="EquipoCIS" localSheetId="25">#REF!</definedName>
    <definedName name="EquipoCIS">#REF!</definedName>
    <definedName name="EquipoFUGAS" localSheetId="20">#REF!</definedName>
    <definedName name="EquipoFUGAS" localSheetId="24">#REF!</definedName>
    <definedName name="EquipoFUGAS" localSheetId="25">#REF!</definedName>
    <definedName name="EquipoFUGAS">#REF!</definedName>
    <definedName name="EquipoPAT" localSheetId="20">#REF!</definedName>
    <definedName name="EquipoPAT" localSheetId="24">#REF!</definedName>
    <definedName name="EquipoPAT" localSheetId="25">#REF!</definedName>
    <definedName name="EquipoPAT">#REF!</definedName>
    <definedName name="EquipoPCM" localSheetId="20">#REF!</definedName>
    <definedName name="EquipoPCM" localSheetId="24">#REF!</definedName>
    <definedName name="EquipoPCM" localSheetId="25">#REF!</definedName>
    <definedName name="EquipoPCM">#REF!</definedName>
    <definedName name="Equipos" localSheetId="20">#REF!</definedName>
    <definedName name="Equipos" localSheetId="24">#REF!</definedName>
    <definedName name="Equipos" localSheetId="25">#REF!</definedName>
    <definedName name="Equipos">#REF!</definedName>
    <definedName name="EquiposPC" localSheetId="20">#REF!</definedName>
    <definedName name="EquiposPC" localSheetId="24">#REF!</definedName>
    <definedName name="EquiposPC" localSheetId="25">#REF!</definedName>
    <definedName name="EquiposPC">#REF!</definedName>
    <definedName name="er" localSheetId="20">#REF!</definedName>
    <definedName name="er" localSheetId="24">#REF!</definedName>
    <definedName name="er" localSheetId="25">#REF!</definedName>
    <definedName name="er">#REF!</definedName>
    <definedName name="esc1bbainy" localSheetId="19">#REF!</definedName>
    <definedName name="esc1bbainy" localSheetId="20">#REF!</definedName>
    <definedName name="esc1bbainy" localSheetId="22">#REF!</definedName>
    <definedName name="esc1bbainy" localSheetId="23">#REF!</definedName>
    <definedName name="esc1bbainy" localSheetId="24">#REF!</definedName>
    <definedName name="esc1bbainy" localSheetId="25">#REF!</definedName>
    <definedName name="esc1bbainy">#REF!</definedName>
    <definedName name="esc1ipe843" localSheetId="19">#REF!</definedName>
    <definedName name="esc1ipe843" localSheetId="20">#REF!</definedName>
    <definedName name="esc1ipe843" localSheetId="22">#REF!</definedName>
    <definedName name="esc1ipe843" localSheetId="23">#REF!</definedName>
    <definedName name="esc1ipe843" localSheetId="24">#REF!</definedName>
    <definedName name="esc1ipe843" localSheetId="25">#REF!</definedName>
    <definedName name="esc1ipe843">#REF!</definedName>
    <definedName name="esc1salfw" localSheetId="19">#REF!</definedName>
    <definedName name="esc1salfw" localSheetId="20">#REF!</definedName>
    <definedName name="esc1salfw" localSheetId="22">#REF!</definedName>
    <definedName name="esc1salfw" localSheetId="23">#REF!</definedName>
    <definedName name="esc1salfw" localSheetId="24">#REF!</definedName>
    <definedName name="esc1salfw" localSheetId="25">#REF!</definedName>
    <definedName name="esc1salfw">#REF!</definedName>
    <definedName name="ESPA" localSheetId="19">#REF!</definedName>
    <definedName name="ESPA" localSheetId="20">#REF!</definedName>
    <definedName name="ESPA" localSheetId="22">#REF!</definedName>
    <definedName name="ESPA" localSheetId="23">#REF!</definedName>
    <definedName name="ESPA" localSheetId="24">#REF!</definedName>
    <definedName name="ESPA" localSheetId="25">#REF!</definedName>
    <definedName name="ESPA">#REF!</definedName>
    <definedName name="Est">[8]GE!$I$5:$I$36</definedName>
    <definedName name="et" localSheetId="20">#REF!</definedName>
    <definedName name="et" localSheetId="24">#REF!</definedName>
    <definedName name="et" localSheetId="25">#REF!</definedName>
    <definedName name="et">#REF!</definedName>
    <definedName name="ETAPA">[30]MODELO!$D$7</definedName>
    <definedName name="ex_despues" localSheetId="20">#REF!</definedName>
    <definedName name="ex_despues" localSheetId="24">#REF!</definedName>
    <definedName name="ex_despues" localSheetId="25">#REF!</definedName>
    <definedName name="ex_despues">#REF!</definedName>
    <definedName name="exdesp" localSheetId="20">[18]Sheet1!#REF!</definedName>
    <definedName name="exdesp" localSheetId="24">[18]Sheet1!#REF!</definedName>
    <definedName name="exdesp" localSheetId="25">[18]Sheet1!#REF!</definedName>
    <definedName name="exdesp">[18]Sheet1!#REF!</definedName>
    <definedName name="FB" localSheetId="20">#REF!</definedName>
    <definedName name="FB" localSheetId="24">#REF!</definedName>
    <definedName name="FB" localSheetId="25">#REF!</definedName>
    <definedName name="FB">#REF!</definedName>
    <definedName name="FC.DURACION" localSheetId="19">'[31]FUERA DE CONVENIO'!#REF!</definedName>
    <definedName name="FC.DURACION" localSheetId="20">'[31]FUERA DE CONVENIO'!#REF!</definedName>
    <definedName name="FC.DURACION" localSheetId="22">'[31]FUERA DE CONVENIO'!#REF!</definedName>
    <definedName name="FC.DURACION" localSheetId="24">'[31]FUERA DE CONVENIO'!#REF!</definedName>
    <definedName name="FC.DURACION" localSheetId="25">'[31]FUERA DE CONVENIO'!#REF!</definedName>
    <definedName name="FC.DURACION">'[31]FUERA DE CONVENIO'!#REF!</definedName>
    <definedName name="FC.MES">'[31]FUERA DE CONVENIO'!$D$8</definedName>
    <definedName name="Fecha" localSheetId="19">#REF!</definedName>
    <definedName name="Fecha" localSheetId="20">#REF!</definedName>
    <definedName name="Fecha" localSheetId="22">#REF!</definedName>
    <definedName name="Fecha" localSheetId="23">#REF!</definedName>
    <definedName name="Fecha" localSheetId="24">#REF!</definedName>
    <definedName name="Fecha" localSheetId="25">#REF!</definedName>
    <definedName name="Fecha">#REF!</definedName>
    <definedName name="Fecha_Antes" localSheetId="20">#REF!</definedName>
    <definedName name="Fecha_Antes" localSheetId="24">#REF!</definedName>
    <definedName name="Fecha_Antes" localSheetId="25">#REF!</definedName>
    <definedName name="Fecha_Antes">#REF!</definedName>
    <definedName name="Fecha_Cierre">'[11]Datos Generales'!$C$3</definedName>
    <definedName name="Fecha_despues" localSheetId="20">#REF!</definedName>
    <definedName name="Fecha_despues" localSheetId="24">#REF!</definedName>
    <definedName name="Fecha_despues" localSheetId="25">#REF!</definedName>
    <definedName name="Fecha_despues">#REF!</definedName>
    <definedName name="FECHAFINAL" localSheetId="20">[1]Sheet5!#REF!</definedName>
    <definedName name="FECHAFINAL" localSheetId="24">[1]Sheet5!#REF!</definedName>
    <definedName name="FECHAFINAL" localSheetId="25">[1]Sheet5!#REF!</definedName>
    <definedName name="FECHAFINAL">[1]Sheet5!#REF!</definedName>
    <definedName name="FECHAFINAL1" localSheetId="20">[1]Sheet5!#REF!</definedName>
    <definedName name="FECHAFINAL1" localSheetId="24">[1]Sheet5!#REF!</definedName>
    <definedName name="FECHAFINAL1" localSheetId="25">[1]Sheet5!#REF!</definedName>
    <definedName name="FECHAFINAL1">[1]Sheet5!#REF!</definedName>
    <definedName name="FECHAINICIAL" localSheetId="20">[1]Sheet5!#REF!</definedName>
    <definedName name="FECHAINICIAL" localSheetId="24">[1]Sheet5!#REF!</definedName>
    <definedName name="FECHAINICIAL" localSheetId="25">[1]Sheet5!#REF!</definedName>
    <definedName name="FECHAINICIAL">[1]Sheet5!#REF!</definedName>
    <definedName name="FECHAINICIAL1" localSheetId="20">[1]Sheet5!#REF!</definedName>
    <definedName name="FECHAINICIAL1" localSheetId="24">[1]Sheet5!#REF!</definedName>
    <definedName name="FECHAINICIAL1" localSheetId="25">[1]Sheet5!#REF!</definedName>
    <definedName name="FECHAINICIAL1">[1]Sheet5!#REF!</definedName>
    <definedName name="fechant" localSheetId="20">[18]Sheet1!#REF!</definedName>
    <definedName name="fechant" localSheetId="24">[18]Sheet1!#REF!</definedName>
    <definedName name="fechant" localSheetId="25">[18]Sheet1!#REF!</definedName>
    <definedName name="fechant">[18]Sheet1!#REF!</definedName>
    <definedName name="fechdesp" localSheetId="20">[18]Sheet1!#REF!</definedName>
    <definedName name="fechdesp" localSheetId="24">[18]Sheet1!#REF!</definedName>
    <definedName name="fechdesp" localSheetId="25">[18]Sheet1!#REF!</definedName>
    <definedName name="fechdesp">[18]Sheet1!#REF!</definedName>
    <definedName name="FG" localSheetId="20">#REF!</definedName>
    <definedName name="FG" localSheetId="24">#REF!</definedName>
    <definedName name="FG" localSheetId="25">#REF!</definedName>
    <definedName name="FG">#REF!</definedName>
    <definedName name="FIEL" localSheetId="20">#REF!</definedName>
    <definedName name="FIEL" localSheetId="24">#REF!</definedName>
    <definedName name="FIEL" localSheetId="25">#REF!</definedName>
    <definedName name="FIEL">#REF!</definedName>
    <definedName name="FIL" localSheetId="20">#REF!</definedName>
    <definedName name="FIL" localSheetId="24">#REF!</definedName>
    <definedName name="FIL" localSheetId="25">#REF!</definedName>
    <definedName name="FIL">#REF!</definedName>
    <definedName name="FixedC" localSheetId="20">#REF!</definedName>
    <definedName name="FixedC" localSheetId="24">#REF!</definedName>
    <definedName name="FixedC" localSheetId="25">#REF!</definedName>
    <definedName name="FixedC">#REF!</definedName>
    <definedName name="Fluido" localSheetId="20">#REF!</definedName>
    <definedName name="Fluido" localSheetId="24">#REF!</definedName>
    <definedName name="Fluido" localSheetId="25">#REF!</definedName>
    <definedName name="Fluido">#REF!</definedName>
    <definedName name="Ford4000" localSheetId="20">#REF!</definedName>
    <definedName name="Ford4000" localSheetId="24">#REF!</definedName>
    <definedName name="Ford4000" localSheetId="25">#REF!</definedName>
    <definedName name="Ford4000">#REF!</definedName>
    <definedName name="FORM" localSheetId="20">#REF!</definedName>
    <definedName name="FORM" localSheetId="24">#REF!</definedName>
    <definedName name="FORM" localSheetId="25">#REF!</definedName>
    <definedName name="FORM">#REF!</definedName>
    <definedName name="FORMAC" localSheetId="20">#REF!</definedName>
    <definedName name="FORMAC" localSheetId="24">#REF!</definedName>
    <definedName name="FORMAC" localSheetId="25">#REF!</definedName>
    <definedName name="FORMAC">#REF!</definedName>
    <definedName name="FPDe">[13]Data!$D$13</definedName>
    <definedName name="FPV" localSheetId="20">#REF!</definedName>
    <definedName name="FPV" localSheetId="24">#REF!</definedName>
    <definedName name="FPV" localSheetId="25">#REF!</definedName>
    <definedName name="FPV">#REF!</definedName>
    <definedName name="FS" localSheetId="19">#REF!</definedName>
    <definedName name="FS" localSheetId="20">#REF!</definedName>
    <definedName name="FS" localSheetId="22">#REF!</definedName>
    <definedName name="FS" localSheetId="23">#REF!</definedName>
    <definedName name="FS" localSheetId="24">#REF!</definedName>
    <definedName name="FS" localSheetId="25">#REF!</definedName>
    <definedName name="FS">#REF!</definedName>
    <definedName name="FSDFSD">#N/A</definedName>
    <definedName name="FTF" localSheetId="20">#REF!</definedName>
    <definedName name="FTF" localSheetId="24">#REF!</definedName>
    <definedName name="FTF" localSheetId="25">#REF!</definedName>
    <definedName name="FTF">#REF!</definedName>
    <definedName name="FU" localSheetId="20">#REF!</definedName>
    <definedName name="FU" localSheetId="24">#REF!</definedName>
    <definedName name="FU" localSheetId="25">#REF!</definedName>
    <definedName name="FU">#REF!</definedName>
    <definedName name="fyioo" localSheetId="20">#REF!</definedName>
    <definedName name="fyioo" localSheetId="24">#REF!</definedName>
    <definedName name="fyioo" localSheetId="25">#REF!</definedName>
    <definedName name="fyioo">#REF!</definedName>
    <definedName name="G" localSheetId="19">#REF!</definedName>
    <definedName name="G" localSheetId="20">#REF!</definedName>
    <definedName name="G" localSheetId="22">#REF!</definedName>
    <definedName name="G" localSheetId="23">#REF!</definedName>
    <definedName name="G" localSheetId="24">#REF!</definedName>
    <definedName name="G" localSheetId="25">#REF!</definedName>
    <definedName name="G">#REF!</definedName>
    <definedName name="G.1" localSheetId="20">#REF!</definedName>
    <definedName name="G.1" localSheetId="24">#REF!</definedName>
    <definedName name="G.1" localSheetId="25">#REF!</definedName>
    <definedName name="G.1">#REF!</definedName>
    <definedName name="G.2" localSheetId="20">#REF!</definedName>
    <definedName name="G.2" localSheetId="24">#REF!</definedName>
    <definedName name="G.2" localSheetId="25">#REF!</definedName>
    <definedName name="G.2">#REF!</definedName>
    <definedName name="G.3" localSheetId="20">#REF!</definedName>
    <definedName name="G.3" localSheetId="24">#REF!</definedName>
    <definedName name="G.3" localSheetId="25">#REF!</definedName>
    <definedName name="G.3">#REF!</definedName>
    <definedName name="Gas" localSheetId="20">#REF!</definedName>
    <definedName name="Gas" localSheetId="24">#REF!</definedName>
    <definedName name="Gas" localSheetId="25">#REF!</definedName>
    <definedName name="Gas">#REF!</definedName>
    <definedName name="GAS.INY" localSheetId="20">#REF!</definedName>
    <definedName name="GAS.INY" localSheetId="24">#REF!</definedName>
    <definedName name="GAS.INY" localSheetId="25">#REF!</definedName>
    <definedName name="GAS.INY">#REF!</definedName>
    <definedName name="GAS_A" localSheetId="20">#REF!</definedName>
    <definedName name="GAS_A" localSheetId="24">#REF!</definedName>
    <definedName name="GAS_A" localSheetId="25">#REF!</definedName>
    <definedName name="GAS_A">#REF!</definedName>
    <definedName name="Gas_Antes" localSheetId="20">#REF!</definedName>
    <definedName name="Gas_Antes" localSheetId="24">#REF!</definedName>
    <definedName name="Gas_Antes" localSheetId="25">#REF!</definedName>
    <definedName name="Gas_Antes">#REF!</definedName>
    <definedName name="Gas_despues" localSheetId="20">#REF!</definedName>
    <definedName name="Gas_despues" localSheetId="24">#REF!</definedName>
    <definedName name="Gas_despues" localSheetId="25">#REF!</definedName>
    <definedName name="Gas_despues">#REF!</definedName>
    <definedName name="gasant" localSheetId="20">[18]Sheet1!#REF!</definedName>
    <definedName name="gasant" localSheetId="24">[18]Sheet1!#REF!</definedName>
    <definedName name="gasant" localSheetId="25">[18]Sheet1!#REF!</definedName>
    <definedName name="gasant">[18]Sheet1!#REF!</definedName>
    <definedName name="gasdesp" localSheetId="20">[18]Sheet1!#REF!</definedName>
    <definedName name="gasdesp" localSheetId="24">[18]Sheet1!#REF!</definedName>
    <definedName name="gasdesp" localSheetId="25">[18]Sheet1!#REF!</definedName>
    <definedName name="gasdesp">[18]Sheet1!#REF!</definedName>
    <definedName name="GAST" localSheetId="20">#REF!</definedName>
    <definedName name="GAST" localSheetId="24">#REF!</definedName>
    <definedName name="GAST" localSheetId="25">#REF!</definedName>
    <definedName name="GAST">#REF!</definedName>
    <definedName name="GDEP" localSheetId="20">#REF!</definedName>
    <definedName name="GDEP" localSheetId="24">#REF!</definedName>
    <definedName name="GDEP" localSheetId="25">#REF!</definedName>
    <definedName name="GDEP">#REF!</definedName>
    <definedName name="GETDAT" localSheetId="20">#REF!</definedName>
    <definedName name="GETDAT" localSheetId="24">#REF!</definedName>
    <definedName name="GETDAT" localSheetId="25">#REF!</definedName>
    <definedName name="GETDAT">#REF!</definedName>
    <definedName name="GG" localSheetId="19">#REF!</definedName>
    <definedName name="GG" localSheetId="20">#REF!</definedName>
    <definedName name="GG" localSheetId="22">#REF!</definedName>
    <definedName name="GG" localSheetId="23">#REF!</definedName>
    <definedName name="GG" localSheetId="24">#REF!</definedName>
    <definedName name="GG" localSheetId="25">#REF!</definedName>
    <definedName name="GG">#REF!</definedName>
    <definedName name="GGRA" localSheetId="20">#REF!</definedName>
    <definedName name="GGRA" localSheetId="24">#REF!</definedName>
    <definedName name="GGRA" localSheetId="25">#REF!</definedName>
    <definedName name="GGRA">#REF!</definedName>
    <definedName name="GL" localSheetId="19">#REF!</definedName>
    <definedName name="GL" localSheetId="20">#REF!</definedName>
    <definedName name="GL" localSheetId="22">#REF!</definedName>
    <definedName name="GL" localSheetId="23">#REF!</definedName>
    <definedName name="GL" localSheetId="24">#REF!</definedName>
    <definedName name="GL" localSheetId="25">#REF!</definedName>
    <definedName name="GL">#REF!</definedName>
    <definedName name="GM3D" localSheetId="20">#REF!</definedName>
    <definedName name="GM3D" localSheetId="24">#REF!</definedName>
    <definedName name="GM3D" localSheetId="25">#REF!</definedName>
    <definedName name="GM3D">#REF!</definedName>
    <definedName name="GOR" localSheetId="20">#REF!</definedName>
    <definedName name="GOR" localSheetId="24">#REF!</definedName>
    <definedName name="GOR" localSheetId="25">#REF!</definedName>
    <definedName name="GOR">#REF!</definedName>
    <definedName name="Gor_Antes" localSheetId="20">#REF!</definedName>
    <definedName name="Gor_Antes" localSheetId="24">#REF!</definedName>
    <definedName name="Gor_Antes" localSheetId="25">#REF!</definedName>
    <definedName name="Gor_Antes">#REF!</definedName>
    <definedName name="GOR_despues" localSheetId="20">#REF!</definedName>
    <definedName name="GOR_despues" localSheetId="24">#REF!</definedName>
    <definedName name="GOR_despues" localSheetId="25">#REF!</definedName>
    <definedName name="GOR_despues">#REF!</definedName>
    <definedName name="gorant" localSheetId="20">[18]Sheet1!#REF!</definedName>
    <definedName name="gorant" localSheetId="24">[18]Sheet1!#REF!</definedName>
    <definedName name="gorant" localSheetId="25">[18]Sheet1!#REF!</definedName>
    <definedName name="gorant">[18]Sheet1!#REF!</definedName>
    <definedName name="GPM" localSheetId="20">#REF!</definedName>
    <definedName name="GPM" localSheetId="24">#REF!</definedName>
    <definedName name="GPM" localSheetId="25">#REF!</definedName>
    <definedName name="GPM">#REF!</definedName>
    <definedName name="GRABAR" localSheetId="20">#REF!</definedName>
    <definedName name="GRABAR" localSheetId="24">#REF!</definedName>
    <definedName name="GRABAR" localSheetId="25">#REF!</definedName>
    <definedName name="GRABAR">#REF!</definedName>
    <definedName name="GrabarCambios" localSheetId="20">[7]!GrabarCambios</definedName>
    <definedName name="GrabarCambios" localSheetId="24">[7]!GrabarCambios</definedName>
    <definedName name="GrabarCambios" localSheetId="25">[7]!GrabarCambios</definedName>
    <definedName name="GrabarCambios">[7]!GrabarCambios</definedName>
    <definedName name="GRABARDIAS" localSheetId="20">[1]Sheet6!#REF!</definedName>
    <definedName name="GRABARDIAS" localSheetId="24">[1]Sheet6!#REF!</definedName>
    <definedName name="GRABARDIAS" localSheetId="25">[1]Sheet6!#REF!</definedName>
    <definedName name="GRABARDIAS">[1]Sheet6!#REF!</definedName>
    <definedName name="grade">[13]Data!$K$13</definedName>
    <definedName name="H2O" localSheetId="20">#REF!</definedName>
    <definedName name="H2O" localSheetId="24">#REF!</definedName>
    <definedName name="H2O" localSheetId="25">#REF!</definedName>
    <definedName name="H2O">#REF!</definedName>
    <definedName name="hdp" localSheetId="20">[32]WTPO0197!#REF!</definedName>
    <definedName name="hdp" localSheetId="24">[32]WTPO0197!#REF!</definedName>
    <definedName name="hdp" localSheetId="25">[32]WTPO0197!#REF!</definedName>
    <definedName name="hdp">[32]WTPO0197!#REF!</definedName>
    <definedName name="HeatValue" localSheetId="20">#REF!</definedName>
    <definedName name="HeatValue" localSheetId="24">#REF!</definedName>
    <definedName name="HeatValue" localSheetId="25">#REF!</definedName>
    <definedName name="HeatValue">#REF!</definedName>
    <definedName name="HERRA" localSheetId="20">#REF!</definedName>
    <definedName name="HERRA" localSheetId="24">#REF!</definedName>
    <definedName name="HERRA" localSheetId="25">#REF!</definedName>
    <definedName name="HERRA">#REF!</definedName>
    <definedName name="hi" localSheetId="20">#REF!</definedName>
    <definedName name="hi" localSheetId="24">#REF!</definedName>
    <definedName name="hi" localSheetId="25">#REF!</definedName>
    <definedName name="hi">#REF!</definedName>
    <definedName name="hoja2" localSheetId="19">#REF!</definedName>
    <definedName name="hoja2" localSheetId="20">#REF!</definedName>
    <definedName name="hoja2" localSheetId="22">#REF!</definedName>
    <definedName name="hoja2" localSheetId="23">#REF!</definedName>
    <definedName name="hoja2" localSheetId="24">#REF!</definedName>
    <definedName name="hoja2" localSheetId="25">#REF!</definedName>
    <definedName name="hoja2">#REF!</definedName>
    <definedName name="hoja3" localSheetId="19">#REF!</definedName>
    <definedName name="hoja3" localSheetId="20">#REF!</definedName>
    <definedName name="hoja3" localSheetId="22">#REF!</definedName>
    <definedName name="hoja3" localSheetId="23">#REF!</definedName>
    <definedName name="hoja3" localSheetId="24">#REF!</definedName>
    <definedName name="hoja3" localSheetId="25">#REF!</definedName>
    <definedName name="hoja3">#REF!</definedName>
    <definedName name="hoja4" localSheetId="19">#REF!</definedName>
    <definedName name="hoja4" localSheetId="20">#REF!</definedName>
    <definedName name="hoja4" localSheetId="22">#REF!</definedName>
    <definedName name="hoja4" localSheetId="23">#REF!</definedName>
    <definedName name="hoja4" localSheetId="24">#REF!</definedName>
    <definedName name="hoja4" localSheetId="25">#REF!</definedName>
    <definedName name="hoja4">#REF!</definedName>
    <definedName name="hoja5" localSheetId="23">'[14]Salida Tk Bafle'!$A$7:$P$500</definedName>
    <definedName name="hoja5" localSheetId="24">'[14]Salida Tk Bafle'!$A$7:$P$500</definedName>
    <definedName name="hoja5">'[15]Salida Tk Bafle'!$A$7:$P$500</definedName>
    <definedName name="hoja6" localSheetId="23">'[14]Impulsion Bomba Inyectora'!$A$4:$U$502</definedName>
    <definedName name="hoja6" localSheetId="24">'[14]Impulsion Bomba Inyectora'!$A$4:$U$502</definedName>
    <definedName name="hoja6">'[15]Impulsion Bomba Inyectora'!$A$4:$U$502</definedName>
    <definedName name="horasp" localSheetId="19">#REF!</definedName>
    <definedName name="horasp" localSheetId="20">#REF!</definedName>
    <definedName name="horasp" localSheetId="22">#REF!</definedName>
    <definedName name="horasp" localSheetId="24">#REF!</definedName>
    <definedName name="horasp" localSheetId="25">#REF!</definedName>
    <definedName name="horasp">#REF!</definedName>
    <definedName name="HP" localSheetId="20">#REF!</definedName>
    <definedName name="HP" localSheetId="24">#REF!</definedName>
    <definedName name="HP" localSheetId="25">#REF!</definedName>
    <definedName name="HP">#REF!</definedName>
    <definedName name="hsd" localSheetId="20">#REF!</definedName>
    <definedName name="hsd" localSheetId="24">#REF!</definedName>
    <definedName name="hsd" localSheetId="25">#REF!</definedName>
    <definedName name="hsd">#REF!</definedName>
    <definedName name="HVGI" localSheetId="19">#REF!</definedName>
    <definedName name="HVGI" localSheetId="20">#REF!</definedName>
    <definedName name="HVGI" localSheetId="22">#REF!</definedName>
    <definedName name="HVGI" localSheetId="23">#REF!</definedName>
    <definedName name="HVGI" localSheetId="24">#REF!</definedName>
    <definedName name="HVGI" localSheetId="25">#REF!</definedName>
    <definedName name="HVGI">#REF!</definedName>
    <definedName name="HVGS" localSheetId="19">#REF!</definedName>
    <definedName name="HVGS" localSheetId="20">#REF!</definedName>
    <definedName name="HVGS" localSheetId="22">#REF!</definedName>
    <definedName name="HVGS" localSheetId="23">#REF!</definedName>
    <definedName name="HVGS" localSheetId="24">#REF!</definedName>
    <definedName name="HVGS" localSheetId="25">#REF!</definedName>
    <definedName name="HVGS">#REF!</definedName>
    <definedName name="HVLS" localSheetId="19">#REF!</definedName>
    <definedName name="HVLS" localSheetId="20">#REF!</definedName>
    <definedName name="HVLS" localSheetId="22">#REF!</definedName>
    <definedName name="HVLS" localSheetId="23">#REF!</definedName>
    <definedName name="HVLS" localSheetId="24">#REF!</definedName>
    <definedName name="HVLS" localSheetId="25">#REF!</definedName>
    <definedName name="HVLS">#REF!</definedName>
    <definedName name="IB" localSheetId="20">#REF!</definedName>
    <definedName name="IB" localSheetId="24">#REF!</definedName>
    <definedName name="IB" localSheetId="25">#REF!</definedName>
    <definedName name="IB">#REF!</definedName>
    <definedName name="iff" localSheetId="20">#REF!</definedName>
    <definedName name="iff" localSheetId="24">#REF!</definedName>
    <definedName name="iff" localSheetId="25">#REF!</definedName>
    <definedName name="iff">#REF!</definedName>
    <definedName name="Impuestos" localSheetId="20">#REF!</definedName>
    <definedName name="Impuestos" localSheetId="24">#REF!</definedName>
    <definedName name="Impuestos" localSheetId="25">#REF!</definedName>
    <definedName name="Impuestos">#REF!</definedName>
    <definedName name="Income" localSheetId="20">#REF!</definedName>
    <definedName name="Income" localSheetId="24">#REF!</definedName>
    <definedName name="Income" localSheetId="25">#REF!</definedName>
    <definedName name="Income">#REF!</definedName>
    <definedName name="Indices">[33]Validaciones!$B$79:$B$83</definedName>
    <definedName name="INI" localSheetId="20">#REF!</definedName>
    <definedName name="INI" localSheetId="24">#REF!</definedName>
    <definedName name="INI" localSheetId="25">#REF!</definedName>
    <definedName name="INI">#REF!</definedName>
    <definedName name="INICIAL" localSheetId="20">[1]Sheet5!#REF!</definedName>
    <definedName name="INICIAL" localSheetId="24">[1]Sheet5!#REF!</definedName>
    <definedName name="INICIAL" localSheetId="25">[1]Sheet5!#REF!</definedName>
    <definedName name="INICIAL">[1]Sheet5!#REF!</definedName>
    <definedName name="inicio" localSheetId="20">#REF!</definedName>
    <definedName name="inicio" localSheetId="24">#REF!</definedName>
    <definedName name="inicio" localSheetId="25">#REF!</definedName>
    <definedName name="inicio">#REF!</definedName>
    <definedName name="InjectionVC">[17]Datos!$F$66</definedName>
    <definedName name="Insumos_Directo_Indirecto">[34]Validaciones!$B$61:$B$63</definedName>
    <definedName name="INT" localSheetId="20">#REF!</definedName>
    <definedName name="INT" localSheetId="24">#REF!</definedName>
    <definedName name="INT" localSheetId="25">#REF!</definedName>
    <definedName name="INT">#REF!</definedName>
    <definedName name="INV" localSheetId="16" hidden="1">{#N/A,#N/A,FALSE,"RES-ANUAL";#N/A,#N/A,FALSE,"RES-CUENTA";#N/A,#N/A,FALSE,"AREA-RESP"}</definedName>
    <definedName name="INV" localSheetId="17" hidden="1">{#N/A,#N/A,FALSE,"RES-ANUAL";#N/A,#N/A,FALSE,"RES-CUENTA";#N/A,#N/A,FALSE,"AREA-RESP"}</definedName>
    <definedName name="INV" localSheetId="19" hidden="1">{#N/A,#N/A,FALSE,"RES-ANUAL";#N/A,#N/A,FALSE,"RES-CUENTA";#N/A,#N/A,FALSE,"AREA-RESP"}</definedName>
    <definedName name="INV" localSheetId="20" hidden="1">{#N/A,#N/A,FALSE,"RES-ANUAL";#N/A,#N/A,FALSE,"RES-CUENTA";#N/A,#N/A,FALSE,"AREA-RESP"}</definedName>
    <definedName name="INV" localSheetId="22" hidden="1">{#N/A,#N/A,FALSE,"RES-ANUAL";#N/A,#N/A,FALSE,"RES-CUENTA";#N/A,#N/A,FALSE,"AREA-RESP"}</definedName>
    <definedName name="INV" localSheetId="23" hidden="1">{#N/A,#N/A,FALSE,"RES-ANUAL";#N/A,#N/A,FALSE,"RES-CUENTA";#N/A,#N/A,FALSE,"AREA-RESP"}</definedName>
    <definedName name="INV" localSheetId="24" hidden="1">{#N/A,#N/A,FALSE,"RES-ANUAL";#N/A,#N/A,FALSE,"RES-CUENTA";#N/A,#N/A,FALSE,"AREA-RESP"}</definedName>
    <definedName name="INV" localSheetId="25" hidden="1">{#N/A,#N/A,FALSE,"RES-ANUAL";#N/A,#N/A,FALSE,"RES-CUENTA";#N/A,#N/A,FALSE,"AREA-RESP"}</definedName>
    <definedName name="INV" hidden="1">{#N/A,#N/A,FALSE,"RES-ANUAL";#N/A,#N/A,FALSE,"RES-CUENTA";#N/A,#N/A,FALSE,"AREA-RESP"}</definedName>
    <definedName name="Inversiones" localSheetId="20">#REF!</definedName>
    <definedName name="Inversiones" localSheetId="24">#REF!</definedName>
    <definedName name="Inversiones" localSheetId="25">#REF!</definedName>
    <definedName name="Inversiones">#REF!</definedName>
    <definedName name="Investment" localSheetId="20">#REF!</definedName>
    <definedName name="Investment" localSheetId="24">#REF!</definedName>
    <definedName name="Investment" localSheetId="25">#REF!</definedName>
    <definedName name="Investment">#REF!</definedName>
    <definedName name="Inygas" localSheetId="20">#REF!</definedName>
    <definedName name="Inygas" localSheetId="24">#REF!</definedName>
    <definedName name="Inygas" localSheetId="25">#REF!</definedName>
    <definedName name="Inygas">#REF!</definedName>
    <definedName name="IS" localSheetId="20">#REF!</definedName>
    <definedName name="IS" localSheetId="24">#REF!</definedName>
    <definedName name="IS" localSheetId="25">#REF!</definedName>
    <definedName name="IS">#REF!</definedName>
    <definedName name="ITB" localSheetId="20">#REF!</definedName>
    <definedName name="ITB" localSheetId="24">#REF!</definedName>
    <definedName name="ITB" localSheetId="25">#REF!</definedName>
    <definedName name="ITB">#REF!</definedName>
    <definedName name="IVA_AÑO">[35]IVA!$C$6:$G$6</definedName>
    <definedName name="IVA_IMPORTE">[35]IVA!$C$7:$G$90</definedName>
    <definedName name="IVA_JURISDICCION">[35]IVA!$B$7:$B$90</definedName>
    <definedName name="j" localSheetId="20">#REF!</definedName>
    <definedName name="j" localSheetId="24">#REF!</definedName>
    <definedName name="j" localSheetId="25">#REF!</definedName>
    <definedName name="j">#REF!</definedName>
    <definedName name="JJJF">'[6]PROD DIA Y MES'!$A$1:$P$55</definedName>
    <definedName name="KFAC" localSheetId="20">#REF!</definedName>
    <definedName name="KFAC" localSheetId="24">#REF!</definedName>
    <definedName name="KFAC" localSheetId="25">#REF!</definedName>
    <definedName name="KFAC">#REF!</definedName>
    <definedName name="L._DEL__MOJON_____JARILLOSA_____PTO._SILVA" localSheetId="20">#REF!</definedName>
    <definedName name="L._DEL__MOJON_____JARILLOSA_____PTO._SILVA" localSheetId="24">#REF!</definedName>
    <definedName name="L._DEL__MOJON_____JARILLOSA_____PTO._SILVA" localSheetId="25">#REF!</definedName>
    <definedName name="L._DEL__MOJON_____JARILLOSA_____PTO._SILVA">#REF!</definedName>
    <definedName name="LABEL" localSheetId="20">#REF!</definedName>
    <definedName name="LABEL" localSheetId="24">#REF!</definedName>
    <definedName name="LABEL" localSheetId="25">#REF!</definedName>
    <definedName name="LABEL">#REF!</definedName>
    <definedName name="lapso" localSheetId="20">#REF!</definedName>
    <definedName name="lapso" localSheetId="24">#REF!</definedName>
    <definedName name="lapso" localSheetId="25">#REF!</definedName>
    <definedName name="lapso">#REF!</definedName>
    <definedName name="Lavadero" localSheetId="20">#REF!</definedName>
    <definedName name="Lavadero" localSheetId="24">#REF!</definedName>
    <definedName name="Lavadero" localSheetId="25">#REF!</definedName>
    <definedName name="Lavadero">#REF!</definedName>
    <definedName name="LIN" localSheetId="20">#REF!</definedName>
    <definedName name="LIN" localSheetId="24">#REF!</definedName>
    <definedName name="LIN" localSheetId="25">#REF!</definedName>
    <definedName name="LIN">#REF!</definedName>
    <definedName name="ListaActividades">[36]Datos!$G$6:$G$29</definedName>
    <definedName name="ListaCombustibles" localSheetId="20">#REF!</definedName>
    <definedName name="ListaCombustibles" localSheetId="24">#REF!</definedName>
    <definedName name="ListaCombustibles" localSheetId="25">#REF!</definedName>
    <definedName name="ListaCombustibles">#REF!</definedName>
    <definedName name="ListaNeumaticos" localSheetId="20">#REF!</definedName>
    <definedName name="ListaNeumaticos" localSheetId="24">#REF!</definedName>
    <definedName name="ListaNeumaticos" localSheetId="25">#REF!</definedName>
    <definedName name="ListaNeumaticos">#REF!</definedName>
    <definedName name="ListaSueldos" localSheetId="20">#REF!</definedName>
    <definedName name="ListaSueldos" localSheetId="24">#REF!</definedName>
    <definedName name="ListaSueldos" localSheetId="25">#REF!</definedName>
    <definedName name="ListaSueldos">#REF!</definedName>
    <definedName name="ListaTiemposUnidades">[36]Datos!$K$6:$K$10</definedName>
    <definedName name="loistadf" localSheetId="16" hidden="1">{#N/A,#N/A,FALSE,"GENERAL";#N/A,#N/A,FALSE,"USP 1";#N/A,#N/A,FALSE,"USP 2";#N/A,#N/A,FALSE,"UTE"}</definedName>
    <definedName name="loistadf" localSheetId="17" hidden="1">{#N/A,#N/A,FALSE,"GENERAL";#N/A,#N/A,FALSE,"USP 1";#N/A,#N/A,FALSE,"USP 2";#N/A,#N/A,FALSE,"UTE"}</definedName>
    <definedName name="loistadf" localSheetId="19" hidden="1">{#N/A,#N/A,FALSE,"GENERAL";#N/A,#N/A,FALSE,"USP 1";#N/A,#N/A,FALSE,"USP 2";#N/A,#N/A,FALSE,"UTE"}</definedName>
    <definedName name="loistadf" localSheetId="20" hidden="1">{#N/A,#N/A,FALSE,"GENERAL";#N/A,#N/A,FALSE,"USP 1";#N/A,#N/A,FALSE,"USP 2";#N/A,#N/A,FALSE,"UTE"}</definedName>
    <definedName name="loistadf" localSheetId="22" hidden="1">{#N/A,#N/A,FALSE,"GENERAL";#N/A,#N/A,FALSE,"USP 1";#N/A,#N/A,FALSE,"USP 2";#N/A,#N/A,FALSE,"UTE"}</definedName>
    <definedName name="loistadf" localSheetId="23" hidden="1">{#N/A,#N/A,FALSE,"GENERAL";#N/A,#N/A,FALSE,"USP 1";#N/A,#N/A,FALSE,"USP 2";#N/A,#N/A,FALSE,"UTE"}</definedName>
    <definedName name="loistadf" localSheetId="24" hidden="1">{#N/A,#N/A,FALSE,"GENERAL";#N/A,#N/A,FALSE,"USP 1";#N/A,#N/A,FALSE,"USP 2";#N/A,#N/A,FALSE,"UTE"}</definedName>
    <definedName name="loistadf" localSheetId="25" hidden="1">{#N/A,#N/A,FALSE,"GENERAL";#N/A,#N/A,FALSE,"USP 1";#N/A,#N/A,FALSE,"USP 2";#N/A,#N/A,FALSE,"UTE"}</definedName>
    <definedName name="loistadf" hidden="1">{#N/A,#N/A,FALSE,"GENERAL";#N/A,#N/A,FALSE,"USP 1";#N/A,#N/A,FALSE,"USP 2";#N/A,#N/A,FALSE,"UTE"}</definedName>
    <definedName name="LubeF4000" localSheetId="20">#REF!</definedName>
    <definedName name="LubeF4000" localSheetId="24">#REF!</definedName>
    <definedName name="LubeF4000" localSheetId="25">#REF!</definedName>
    <definedName name="LubeF4000">#REF!</definedName>
    <definedName name="LubePerf" localSheetId="20">#REF!</definedName>
    <definedName name="LubePerf" localSheetId="24">#REF!</definedName>
    <definedName name="LubePerf" localSheetId="25">#REF!</definedName>
    <definedName name="LubePerf">#REF!</definedName>
    <definedName name="LubeRanger" localSheetId="20">#REF!</definedName>
    <definedName name="LubeRanger" localSheetId="24">#REF!</definedName>
    <definedName name="LubeRanger" localSheetId="25">#REF!</definedName>
    <definedName name="LubeRanger">#REF!</definedName>
    <definedName name="LubeRetro" localSheetId="20">#REF!</definedName>
    <definedName name="LubeRetro" localSheetId="24">#REF!</definedName>
    <definedName name="LubeRetro" localSheetId="25">#REF!</definedName>
    <definedName name="LubeRetro">#REF!</definedName>
    <definedName name="M" localSheetId="20">#REF!</definedName>
    <definedName name="M" localSheetId="24">#REF!</definedName>
    <definedName name="M" localSheetId="25">#REF!</definedName>
    <definedName name="M">#REF!</definedName>
    <definedName name="Macro1" localSheetId="16">'2.IER'!Macro1</definedName>
    <definedName name="Macro1" localSheetId="17">'3.CLN'!Macro1</definedName>
    <definedName name="Macro1" localSheetId="19">'4.IM'!Macro1</definedName>
    <definedName name="Macro1" localSheetId="20">'5.L'!Macro1</definedName>
    <definedName name="Macro1" localSheetId="22">'5.LI'!Macro1</definedName>
    <definedName name="Macro1" localSheetId="23">'6.MBD'!Macro1</definedName>
    <definedName name="Macro1" localSheetId="24">'7.II'!Macro1</definedName>
    <definedName name="Macro1" localSheetId="25">'8.- Servicio contratado'!Macro1</definedName>
    <definedName name="Macro1">[0]!Macro1</definedName>
    <definedName name="Macro10" localSheetId="16">'2.IER'!Macro10</definedName>
    <definedName name="Macro10" localSheetId="17">'3.CLN'!Macro10</definedName>
    <definedName name="Macro10" localSheetId="19">'4.IM'!Macro10</definedName>
    <definedName name="Macro10" localSheetId="20">'5.L'!Macro10</definedName>
    <definedName name="Macro10" localSheetId="22">'5.LI'!Macro10</definedName>
    <definedName name="Macro10" localSheetId="23">'6.MBD'!Macro10</definedName>
    <definedName name="Macro10" localSheetId="24">'7.II'!Macro10</definedName>
    <definedName name="Macro10" localSheetId="25">'8.- Servicio contratado'!Macro10</definedName>
    <definedName name="Macro10">[0]!Macro10</definedName>
    <definedName name="Macro2" localSheetId="16">'2.IER'!Macro2</definedName>
    <definedName name="Macro2" localSheetId="17">'3.CLN'!Macro2</definedName>
    <definedName name="Macro2" localSheetId="19">'4.IM'!Macro2</definedName>
    <definedName name="Macro2" localSheetId="20">'5.L'!Macro2</definedName>
    <definedName name="Macro2" localSheetId="22">'5.LI'!Macro2</definedName>
    <definedName name="Macro2" localSheetId="23">'6.MBD'!Macro2</definedName>
    <definedName name="Macro2" localSheetId="24">'7.II'!Macro2</definedName>
    <definedName name="Macro2" localSheetId="25">'8.- Servicio contratado'!Macro2</definedName>
    <definedName name="Macro2">[0]!Macro2</definedName>
    <definedName name="Macro20" localSheetId="16">'2.IER'!Macro20</definedName>
    <definedName name="Macro20" localSheetId="17">'3.CLN'!Macro20</definedName>
    <definedName name="Macro20" localSheetId="19">'4.IM'!Macro20</definedName>
    <definedName name="Macro20" localSheetId="20">'5.L'!Macro20</definedName>
    <definedName name="Macro20" localSheetId="22">'5.LI'!Macro20</definedName>
    <definedName name="Macro20" localSheetId="23">'6.MBD'!Macro20</definedName>
    <definedName name="Macro20" localSheetId="24">'7.II'!Macro20</definedName>
    <definedName name="Macro20" localSheetId="25">'8.- Servicio contratado'!Macro20</definedName>
    <definedName name="Macro20">[0]!Macro20</definedName>
    <definedName name="Macro4" localSheetId="20">[7]!Macro4</definedName>
    <definedName name="Macro4" localSheetId="24">[7]!Macro4</definedName>
    <definedName name="Macro4" localSheetId="25">[7]!Macro4</definedName>
    <definedName name="Macro4">[7]!Macro4</definedName>
    <definedName name="Macro6" localSheetId="16">'2.IER'!Macro6</definedName>
    <definedName name="Macro6" localSheetId="17">'3.CLN'!Macro6</definedName>
    <definedName name="Macro6" localSheetId="19">'4.IM'!Macro6</definedName>
    <definedName name="Macro6" localSheetId="20">'5.L'!Macro6</definedName>
    <definedName name="Macro6" localSheetId="22">'5.LI'!Macro6</definedName>
    <definedName name="Macro6" localSheetId="23">'6.MBD'!Macro6</definedName>
    <definedName name="Macro6" localSheetId="24">'7.II'!Macro6</definedName>
    <definedName name="Macro6" localSheetId="25">'8.- Servicio contratado'!Macro6</definedName>
    <definedName name="Macro6">[0]!Macro6</definedName>
    <definedName name="Macro60" localSheetId="16">'2.IER'!Macro60</definedName>
    <definedName name="Macro60" localSheetId="17">'3.CLN'!Macro60</definedName>
    <definedName name="Macro60" localSheetId="19">'4.IM'!Macro60</definedName>
    <definedName name="Macro60" localSheetId="20">'5.L'!Macro60</definedName>
    <definedName name="Macro60" localSheetId="22">'5.LI'!Macro60</definedName>
    <definedName name="Macro60" localSheetId="23">'6.MBD'!Macro60</definedName>
    <definedName name="Macro60" localSheetId="24">'7.II'!Macro60</definedName>
    <definedName name="Macro60" localSheetId="25">'8.- Servicio contratado'!Macro60</definedName>
    <definedName name="Macro60">[0]!Macro60</definedName>
    <definedName name="Macro7" localSheetId="16">'2.IER'!Macro7</definedName>
    <definedName name="Macro7" localSheetId="17">'3.CLN'!Macro7</definedName>
    <definedName name="Macro7" localSheetId="19">'4.IM'!Macro7</definedName>
    <definedName name="Macro7" localSheetId="20">'5.L'!Macro7</definedName>
    <definedName name="Macro7" localSheetId="22">'5.LI'!Macro7</definedName>
    <definedName name="Macro7" localSheetId="23">'6.MBD'!Macro7</definedName>
    <definedName name="Macro7" localSheetId="24">'7.II'!Macro7</definedName>
    <definedName name="Macro7" localSheetId="25">'8.- Servicio contratado'!Macro7</definedName>
    <definedName name="Macro7">[0]!Macro7</definedName>
    <definedName name="Macro70" localSheetId="16">'2.IER'!Macro70</definedName>
    <definedName name="Macro70" localSheetId="17">'3.CLN'!Macro70</definedName>
    <definedName name="Macro70" localSheetId="19">'4.IM'!Macro70</definedName>
    <definedName name="Macro70" localSheetId="20">'5.L'!Macro70</definedName>
    <definedName name="Macro70" localSheetId="22">'5.LI'!Macro70</definedName>
    <definedName name="Macro70" localSheetId="23">'6.MBD'!Macro70</definedName>
    <definedName name="Macro70" localSheetId="24">'7.II'!Macro70</definedName>
    <definedName name="Macro70" localSheetId="25">'8.- Servicio contratado'!Macro70</definedName>
    <definedName name="Macro70">[0]!Macro70</definedName>
    <definedName name="ManejoDefensivo" localSheetId="20">#REF!</definedName>
    <definedName name="ManejoDefensivo" localSheetId="24">#REF!</definedName>
    <definedName name="ManejoDefensivo" localSheetId="25">#REF!</definedName>
    <definedName name="ManejoDefensivo">#REF!</definedName>
    <definedName name="Máquinas">[8]Maq!$A$6:$A$33</definedName>
    <definedName name="Materiales">[8]Mat!$A$4:$A$305</definedName>
    <definedName name="MedicinaLaboral" localSheetId="20">#REF!</definedName>
    <definedName name="MedicinaLaboral" localSheetId="24">#REF!</definedName>
    <definedName name="MedicinaLaboral" localSheetId="25">#REF!</definedName>
    <definedName name="MedicinaLaboral">#REF!</definedName>
    <definedName name="MENSAJE_DIAS" localSheetId="20">[1]Sheet6!#REF!</definedName>
    <definedName name="MENSAJE_DIAS" localSheetId="24">[1]Sheet6!#REF!</definedName>
    <definedName name="MENSAJE_DIAS" localSheetId="25">[1]Sheet6!#REF!</definedName>
    <definedName name="MENSAJE_DIAS">[1]Sheet6!#REF!</definedName>
    <definedName name="MENU" localSheetId="20">#REF!</definedName>
    <definedName name="MENU" localSheetId="24">#REF!</definedName>
    <definedName name="MENU" localSheetId="25">#REF!</definedName>
    <definedName name="MENU">#REF!</definedName>
    <definedName name="MENUS" localSheetId="20">#REF!</definedName>
    <definedName name="MENUS" localSheetId="24">#REF!</definedName>
    <definedName name="MENUS" localSheetId="25">#REF!</definedName>
    <definedName name="MENUS">#REF!</definedName>
    <definedName name="mermas" localSheetId="19">#REF!</definedName>
    <definedName name="mermas" localSheetId="20">#REF!</definedName>
    <definedName name="mermas" localSheetId="22">#REF!</definedName>
    <definedName name="mermas" localSheetId="24">#REF!</definedName>
    <definedName name="mermas" localSheetId="25">#REF!</definedName>
    <definedName name="mermas">#REF!</definedName>
    <definedName name="MES" localSheetId="19">#REF!</definedName>
    <definedName name="MES" localSheetId="20">#REF!</definedName>
    <definedName name="MES" localSheetId="22">#REF!</definedName>
    <definedName name="MES" localSheetId="24">#REF!</definedName>
    <definedName name="MES" localSheetId="25">#REF!</definedName>
    <definedName name="MES">#REF!</definedName>
    <definedName name="Módulo3.Sector2" localSheetId="20">[7]!Módulo3.Sector2</definedName>
    <definedName name="Módulo3.Sector2" localSheetId="24">[7]!Módulo3.Sector2</definedName>
    <definedName name="Módulo3.Sector2" localSheetId="25">[7]!Módulo3.Sector2</definedName>
    <definedName name="Módulo3.Sector2">[7]!Módulo3.Sector2</definedName>
    <definedName name="Módulo4.Sector3" localSheetId="20">[7]!Módulo4.Sector3</definedName>
    <definedName name="Módulo4.Sector3" localSheetId="24">[7]!Módulo4.Sector3</definedName>
    <definedName name="Módulo4.Sector3" localSheetId="25">[7]!Módulo4.Sector3</definedName>
    <definedName name="Módulo4.Sector3">[7]!Módulo4.Sector3</definedName>
    <definedName name="Módulo5.Sector4" localSheetId="20">[7]!Módulo5.Sector4</definedName>
    <definedName name="Módulo5.Sector4" localSheetId="24">[7]!Módulo5.Sector4</definedName>
    <definedName name="Módulo5.Sector4" localSheetId="25">[7]!Módulo5.Sector4</definedName>
    <definedName name="Módulo5.Sector4">[7]!Módulo5.Sector4</definedName>
    <definedName name="Módulo6.Sector5" localSheetId="20">[7]!Módulo6.Sector5</definedName>
    <definedName name="Módulo6.Sector5" localSheetId="24">[7]!Módulo6.Sector5</definedName>
    <definedName name="Módulo6.Sector5" localSheetId="25">[7]!Módulo6.Sector5</definedName>
    <definedName name="Módulo6.Sector5">[7]!Módulo6.Sector5</definedName>
    <definedName name="Moneda">[11]Resumen!$X$2</definedName>
    <definedName name="movimiento" localSheetId="20">#REF!</definedName>
    <definedName name="movimiento" localSheetId="24">#REF!</definedName>
    <definedName name="movimiento" localSheetId="25">#REF!</definedName>
    <definedName name="movimiento">#REF!</definedName>
    <definedName name="MSG" localSheetId="20">#REF!</definedName>
    <definedName name="MSG" localSheetId="24">#REF!</definedName>
    <definedName name="MSG" localSheetId="25">#REF!</definedName>
    <definedName name="MSG">#REF!</definedName>
    <definedName name="MSG0" localSheetId="20">#REF!</definedName>
    <definedName name="MSG0" localSheetId="24">#REF!</definedName>
    <definedName name="MSG0" localSheetId="25">#REF!</definedName>
    <definedName name="MSG0">#REF!</definedName>
    <definedName name="MtoF4000" localSheetId="20">#REF!</definedName>
    <definedName name="MtoF4000" localSheetId="24">#REF!</definedName>
    <definedName name="MtoF4000" localSheetId="25">#REF!</definedName>
    <definedName name="MtoF4000">#REF!</definedName>
    <definedName name="MtoPerf" localSheetId="20">#REF!</definedName>
    <definedName name="MtoPerf" localSheetId="24">#REF!</definedName>
    <definedName name="MtoPerf" localSheetId="25">#REF!</definedName>
    <definedName name="MtoPerf">#REF!</definedName>
    <definedName name="MtoRanger" localSheetId="20">#REF!</definedName>
    <definedName name="MtoRanger" localSheetId="24">#REF!</definedName>
    <definedName name="MtoRanger" localSheetId="25">#REF!</definedName>
    <definedName name="MtoRanger">#REF!</definedName>
    <definedName name="MtoRetro" localSheetId="20">#REF!</definedName>
    <definedName name="MtoRetro" localSheetId="24">#REF!</definedName>
    <definedName name="MtoRetro" localSheetId="25">#REF!</definedName>
    <definedName name="MtoRetro">#REF!</definedName>
    <definedName name="MtoTrailer" localSheetId="20">#REF!</definedName>
    <definedName name="MtoTrailer" localSheetId="24">#REF!</definedName>
    <definedName name="MtoTrailer" localSheetId="25">#REF!</definedName>
    <definedName name="MtoTrailer">#REF!</definedName>
    <definedName name="MTR" localSheetId="20">#REF!</definedName>
    <definedName name="MTR" localSheetId="24">#REF!</definedName>
    <definedName name="MTR" localSheetId="25">#REF!</definedName>
    <definedName name="MTR">#REF!</definedName>
    <definedName name="MTRD" localSheetId="20">#REF!</definedName>
    <definedName name="MTRD" localSheetId="24">#REF!</definedName>
    <definedName name="MTRD" localSheetId="25">#REF!</definedName>
    <definedName name="MTRD">#REF!</definedName>
    <definedName name="MTRT" localSheetId="20">#REF!</definedName>
    <definedName name="MTRT" localSheetId="24">#REF!</definedName>
    <definedName name="MTRT" localSheetId="25">#REF!</definedName>
    <definedName name="MTRT">#REF!</definedName>
    <definedName name="MW" localSheetId="19">#REF!</definedName>
    <definedName name="MW" localSheetId="20">#REF!</definedName>
    <definedName name="MW" localSheetId="22">#REF!</definedName>
    <definedName name="MW" localSheetId="23">#REF!</definedName>
    <definedName name="MW" localSheetId="24">#REF!</definedName>
    <definedName name="MW" localSheetId="25">#REF!</definedName>
    <definedName name="MW">#REF!</definedName>
    <definedName name="N°CCT">'[10]MO - Petrolero Privado'!$E$10</definedName>
    <definedName name="nbreTotal1" localSheetId="19">#REF!</definedName>
    <definedName name="nbreTotal1" localSheetId="20">#REF!</definedName>
    <definedName name="nbreTotal1" localSheetId="22">#REF!</definedName>
    <definedName name="nbreTotal1" localSheetId="24">#REF!</definedName>
    <definedName name="nbreTotal1" localSheetId="25">#REF!</definedName>
    <definedName name="nbreTotal1">#REF!</definedName>
    <definedName name="nbreTotal10" localSheetId="19">#REF!</definedName>
    <definedName name="nbreTotal10" localSheetId="20">#REF!</definedName>
    <definedName name="nbreTotal10" localSheetId="22">#REF!</definedName>
    <definedName name="nbreTotal10" localSheetId="24">#REF!</definedName>
    <definedName name="nbreTotal10" localSheetId="25">#REF!</definedName>
    <definedName name="nbreTotal10">#REF!</definedName>
    <definedName name="nbreTotal2" localSheetId="19">#REF!</definedName>
    <definedName name="nbreTotal2" localSheetId="20">#REF!</definedName>
    <definedName name="nbreTotal2" localSheetId="22">#REF!</definedName>
    <definedName name="nbreTotal2" localSheetId="24">#REF!</definedName>
    <definedName name="nbreTotal2" localSheetId="25">#REF!</definedName>
    <definedName name="nbreTotal2">#REF!</definedName>
    <definedName name="nbreTotal3" localSheetId="19">#REF!</definedName>
    <definedName name="nbreTotal3" localSheetId="20">#REF!</definedName>
    <definedName name="nbreTotal3" localSheetId="22">#REF!</definedName>
    <definedName name="nbreTotal3" localSheetId="24">#REF!</definedName>
    <definedName name="nbreTotal3" localSheetId="25">#REF!</definedName>
    <definedName name="nbreTotal3">#REF!</definedName>
    <definedName name="nbreTotal4" localSheetId="19">#REF!</definedName>
    <definedName name="nbreTotal4" localSheetId="20">#REF!</definedName>
    <definedName name="nbreTotal4" localSheetId="22">#REF!</definedName>
    <definedName name="nbreTotal4" localSheetId="24">#REF!</definedName>
    <definedName name="nbreTotal4" localSheetId="25">#REF!</definedName>
    <definedName name="nbreTotal4">#REF!</definedName>
    <definedName name="nbreTotal5" localSheetId="19">#REF!</definedName>
    <definedName name="nbreTotal5" localSheetId="20">#REF!</definedName>
    <definedName name="nbreTotal5" localSheetId="22">#REF!</definedName>
    <definedName name="nbreTotal5" localSheetId="24">#REF!</definedName>
    <definedName name="nbreTotal5" localSheetId="25">#REF!</definedName>
    <definedName name="nbreTotal5">#REF!</definedName>
    <definedName name="nbreTotal6" localSheetId="19">#REF!</definedName>
    <definedName name="nbreTotal6" localSheetId="20">#REF!</definedName>
    <definedName name="nbreTotal6" localSheetId="22">#REF!</definedName>
    <definedName name="nbreTotal6" localSheetId="24">#REF!</definedName>
    <definedName name="nbreTotal6" localSheetId="25">#REF!</definedName>
    <definedName name="nbreTotal6">#REF!</definedName>
    <definedName name="NDATE" localSheetId="20">#REF!</definedName>
    <definedName name="NDATE" localSheetId="24">#REF!</definedName>
    <definedName name="NDATE" localSheetId="25">#REF!</definedName>
    <definedName name="NDATE">#REF!</definedName>
    <definedName name="Neta" localSheetId="20">#REF!</definedName>
    <definedName name="Neta" localSheetId="24">#REF!</definedName>
    <definedName name="Neta" localSheetId="25">#REF!</definedName>
    <definedName name="Neta">#REF!</definedName>
    <definedName name="Neta_Antes" localSheetId="20">#REF!</definedName>
    <definedName name="Neta_Antes" localSheetId="24">#REF!</definedName>
    <definedName name="Neta_Antes" localSheetId="25">#REF!</definedName>
    <definedName name="Neta_Antes">#REF!</definedName>
    <definedName name="Neta_despues" localSheetId="20">#REF!</definedName>
    <definedName name="Neta_despues" localSheetId="24">#REF!</definedName>
    <definedName name="Neta_despues" localSheetId="25">#REF!</definedName>
    <definedName name="Neta_despues">#REF!</definedName>
    <definedName name="netant" localSheetId="20">[18]Sheet1!#REF!</definedName>
    <definedName name="netant" localSheetId="24">[18]Sheet1!#REF!</definedName>
    <definedName name="netant" localSheetId="25">[18]Sheet1!#REF!</definedName>
    <definedName name="netant">[18]Sheet1!#REF!</definedName>
    <definedName name="netdesp" localSheetId="20">[18]Sheet1!#REF!</definedName>
    <definedName name="netdesp" localSheetId="24">[18]Sheet1!#REF!</definedName>
    <definedName name="netdesp" localSheetId="25">[18]Sheet1!#REF!</definedName>
    <definedName name="netdesp">[18]Sheet1!#REF!</definedName>
    <definedName name="NeumaticosF4000" localSheetId="20">#REF!</definedName>
    <definedName name="NeumaticosF4000" localSheetId="24">#REF!</definedName>
    <definedName name="NeumaticosF4000" localSheetId="25">#REF!</definedName>
    <definedName name="NeumaticosF4000">#REF!</definedName>
    <definedName name="NeumaticosPerf" localSheetId="20">#REF!</definedName>
    <definedName name="NeumaticosPerf" localSheetId="24">#REF!</definedName>
    <definedName name="NeumaticosPerf" localSheetId="25">#REF!</definedName>
    <definedName name="NeumaticosPerf">#REF!</definedName>
    <definedName name="NeumaticosRanger" localSheetId="20">#REF!</definedName>
    <definedName name="NeumaticosRanger" localSheetId="24">#REF!</definedName>
    <definedName name="NeumaticosRanger" localSheetId="25">#REF!</definedName>
    <definedName name="NeumaticosRanger">#REF!</definedName>
    <definedName name="NeumaticosRetro" localSheetId="20">#REF!</definedName>
    <definedName name="NeumaticosRetro" localSheetId="24">#REF!</definedName>
    <definedName name="NeumaticosRetro" localSheetId="25">#REF!</definedName>
    <definedName name="NeumaticosRetro">#REF!</definedName>
    <definedName name="NeumaticosTrailer" localSheetId="20">#REF!</definedName>
    <definedName name="NeumaticosTrailer" localSheetId="24">#REF!</definedName>
    <definedName name="NeumaticosTrailer" localSheetId="25">#REF!</definedName>
    <definedName name="NeumaticosTrailer">#REF!</definedName>
    <definedName name="NEUQUEN__DISTRICT" localSheetId="20">#REF!</definedName>
    <definedName name="NEUQUEN__DISTRICT" localSheetId="24">#REF!</definedName>
    <definedName name="NEUQUEN__DISTRICT" localSheetId="25">#REF!</definedName>
    <definedName name="NEUQUEN__DISTRICT">#REF!</definedName>
    <definedName name="niveles" localSheetId="19">#REF!</definedName>
    <definedName name="niveles" localSheetId="20">#REF!</definedName>
    <definedName name="niveles" localSheetId="22">#REF!</definedName>
    <definedName name="niveles" localSheetId="24">#REF!</definedName>
    <definedName name="niveles" localSheetId="25">#REF!</definedName>
    <definedName name="niveles">#REF!</definedName>
    <definedName name="nro" localSheetId="20">#REF!</definedName>
    <definedName name="nro" localSheetId="24">#REF!</definedName>
    <definedName name="nro" localSheetId="25">#REF!</definedName>
    <definedName name="nro">#REF!</definedName>
    <definedName name="NROW" localSheetId="20">#REF!</definedName>
    <definedName name="NROW" localSheetId="24">#REF!</definedName>
    <definedName name="NROW" localSheetId="25">#REF!</definedName>
    <definedName name="NROW">#REF!</definedName>
    <definedName name="NROWF" localSheetId="20">#REF!</definedName>
    <definedName name="NROWF" localSheetId="24">#REF!</definedName>
    <definedName name="NROWF" localSheetId="25">#REF!</definedName>
    <definedName name="NROWF">#REF!</definedName>
    <definedName name="NTIME" localSheetId="20">#REF!</definedName>
    <definedName name="NTIME" localSheetId="24">#REF!</definedName>
    <definedName name="NTIME" localSheetId="25">#REF!</definedName>
    <definedName name="NTIME">#REF!</definedName>
    <definedName name="NUEVA" localSheetId="20">#REF!</definedName>
    <definedName name="NUEVA" localSheetId="24">#REF!</definedName>
    <definedName name="NUEVA" localSheetId="25">#REF!</definedName>
    <definedName name="NUEVA">#REF!</definedName>
    <definedName name="obs_Antes" localSheetId="20">#REF!</definedName>
    <definedName name="obs_Antes" localSheetId="24">#REF!</definedName>
    <definedName name="obs_Antes" localSheetId="25">#REF!</definedName>
    <definedName name="obs_Antes">#REF!</definedName>
    <definedName name="obs_despues" localSheetId="20">#REF!</definedName>
    <definedName name="obs_despues" localSheetId="24">#REF!</definedName>
    <definedName name="obs_despues" localSheetId="25">#REF!</definedName>
    <definedName name="obs_despues">#REF!</definedName>
    <definedName name="obsant" localSheetId="20">[18]Sheet1!#REF!</definedName>
    <definedName name="obsant" localSheetId="24">[18]Sheet1!#REF!</definedName>
    <definedName name="obsant" localSheetId="25">[18]Sheet1!#REF!</definedName>
    <definedName name="obsant">[18]Sheet1!#REF!</definedName>
    <definedName name="obsdesp" localSheetId="20">[18]Sheet1!#REF!</definedName>
    <definedName name="obsdesp" localSheetId="24">[18]Sheet1!#REF!</definedName>
    <definedName name="obsdesp" localSheetId="25">[18]Sheet1!#REF!</definedName>
    <definedName name="obsdesp">[18]Sheet1!#REF!</definedName>
    <definedName name="OGRA" localSheetId="20">#REF!</definedName>
    <definedName name="OGRA" localSheetId="24">#REF!</definedName>
    <definedName name="OGRA" localSheetId="25">#REF!</definedName>
    <definedName name="OGRA">#REF!</definedName>
    <definedName name="OGRA_C" localSheetId="20">#REF!</definedName>
    <definedName name="OGRA_C" localSheetId="24">#REF!</definedName>
    <definedName name="OGRA_C" localSheetId="25">#REF!</definedName>
    <definedName name="OGRA_C">#REF!</definedName>
    <definedName name="OILMTR" localSheetId="20">#REF!</definedName>
    <definedName name="OILMTR" localSheetId="24">#REF!</definedName>
    <definedName name="OILMTR" localSheetId="25">#REF!</definedName>
    <definedName name="OILMTR">#REF!</definedName>
    <definedName name="OilReserves">[17]Datos!$F$13</definedName>
    <definedName name="OILT" localSheetId="20">#REF!</definedName>
    <definedName name="OILT" localSheetId="24">#REF!</definedName>
    <definedName name="OILT" localSheetId="25">#REF!</definedName>
    <definedName name="OILT">#REF!</definedName>
    <definedName name="OiltransC" localSheetId="20">#REF!</definedName>
    <definedName name="OiltransC" localSheetId="24">#REF!</definedName>
    <definedName name="OiltransC" localSheetId="25">#REF!</definedName>
    <definedName name="OiltransC">#REF!</definedName>
    <definedName name="ola" localSheetId="20">#REF!</definedName>
    <definedName name="ola" localSheetId="24">#REF!</definedName>
    <definedName name="ola" localSheetId="25">#REF!</definedName>
    <definedName name="ola">#REF!</definedName>
    <definedName name="OPC_ELEG" localSheetId="20">[1]Sheet5!#REF!</definedName>
    <definedName name="OPC_ELEG" localSheetId="24">[1]Sheet5!#REF!</definedName>
    <definedName name="OPC_ELEG" localSheetId="25">[1]Sheet5!#REF!</definedName>
    <definedName name="OPC_ELEG">[1]Sheet5!#REF!</definedName>
    <definedName name="operador" localSheetId="20">#REF!</definedName>
    <definedName name="operador" localSheetId="24">#REF!</definedName>
    <definedName name="operador" localSheetId="25">#REF!</definedName>
    <definedName name="operador">#REF!</definedName>
    <definedName name="Operadores" localSheetId="19">#REF!</definedName>
    <definedName name="Operadores" localSheetId="20">#REF!</definedName>
    <definedName name="Operadores" localSheetId="22">#REF!</definedName>
    <definedName name="Operadores" localSheetId="24">#REF!</definedName>
    <definedName name="Operadores" localSheetId="25">#REF!</definedName>
    <definedName name="Operadores">#REF!</definedName>
    <definedName name="ORID" localSheetId="20">#REF!</definedName>
    <definedName name="ORID" localSheetId="24">#REF!</definedName>
    <definedName name="ORID" localSheetId="25">#REF!</definedName>
    <definedName name="ORID">#REF!</definedName>
    <definedName name="orifa" localSheetId="20">[18]Sheet1!#REF!</definedName>
    <definedName name="orifa" localSheetId="24">[18]Sheet1!#REF!</definedName>
    <definedName name="orifa" localSheetId="25">[18]Sheet1!#REF!</definedName>
    <definedName name="orifa">[18]Sheet1!#REF!</definedName>
    <definedName name="orifd" localSheetId="20">[18]Sheet1!#REF!</definedName>
    <definedName name="orifd" localSheetId="24">[18]Sheet1!#REF!</definedName>
    <definedName name="orifd" localSheetId="25">[18]Sheet1!#REF!</definedName>
    <definedName name="orifd">[18]Sheet1!#REF!</definedName>
    <definedName name="Orificio" localSheetId="20">#REF!</definedName>
    <definedName name="Orificio" localSheetId="24">#REF!</definedName>
    <definedName name="Orificio" localSheetId="25">#REF!</definedName>
    <definedName name="Orificio">#REF!</definedName>
    <definedName name="orificio_Antes" localSheetId="20">#REF!</definedName>
    <definedName name="orificio_Antes" localSheetId="24">#REF!</definedName>
    <definedName name="orificio_Antes" localSheetId="25">#REF!</definedName>
    <definedName name="orificio_Antes">#REF!</definedName>
    <definedName name="orificio_despues" localSheetId="20">#REF!</definedName>
    <definedName name="orificio_despues" localSheetId="24">#REF!</definedName>
    <definedName name="orificio_despues" localSheetId="25">#REF!</definedName>
    <definedName name="orificio_despues">#REF!</definedName>
    <definedName name="ot" localSheetId="20">#REF!</definedName>
    <definedName name="ot" localSheetId="24">#REF!</definedName>
    <definedName name="ot" localSheetId="25">#REF!</definedName>
    <definedName name="ot">#REF!</definedName>
    <definedName name="OtherVC" localSheetId="20">#REF!</definedName>
    <definedName name="OtherVC" localSheetId="24">#REF!</definedName>
    <definedName name="OtherVC" localSheetId="25">#REF!</definedName>
    <definedName name="OtherVC">#REF!</definedName>
    <definedName name="Otros">[8]Otros!$A$4:$A$303</definedName>
    <definedName name="Overhead" localSheetId="20">#REF!</definedName>
    <definedName name="Overhead" localSheetId="24">#REF!</definedName>
    <definedName name="Overhead" localSheetId="25">#REF!</definedName>
    <definedName name="Overhead">#REF!</definedName>
    <definedName name="P.1" localSheetId="20">#REF!</definedName>
    <definedName name="P.1" localSheetId="24">#REF!</definedName>
    <definedName name="P.1" localSheetId="25">#REF!</definedName>
    <definedName name="P.1">#REF!</definedName>
    <definedName name="P.2" localSheetId="20">#REF!</definedName>
    <definedName name="P.2" localSheetId="24">#REF!</definedName>
    <definedName name="P.2" localSheetId="25">#REF!</definedName>
    <definedName name="P.2">#REF!</definedName>
    <definedName name="P.3" localSheetId="20">#REF!</definedName>
    <definedName name="P.3" localSheetId="24">#REF!</definedName>
    <definedName name="P.3" localSheetId="25">#REF!</definedName>
    <definedName name="P.3">#REF!</definedName>
    <definedName name="P.4" localSheetId="20">#REF!</definedName>
    <definedName name="P.4" localSheetId="24">#REF!</definedName>
    <definedName name="P.4" localSheetId="25">#REF!</definedName>
    <definedName name="P.4">#REF!</definedName>
    <definedName name="P.5" localSheetId="20">#REF!</definedName>
    <definedName name="P.5" localSheetId="24">#REF!</definedName>
    <definedName name="P.5" localSheetId="25">#REF!</definedName>
    <definedName name="P.5">#REF!</definedName>
    <definedName name="P.6" localSheetId="20">#REF!</definedName>
    <definedName name="P.6" localSheetId="24">#REF!</definedName>
    <definedName name="P.6" localSheetId="25">#REF!</definedName>
    <definedName name="P.6">#REF!</definedName>
    <definedName name="P.7" localSheetId="20">#REF!</definedName>
    <definedName name="P.7" localSheetId="24">#REF!</definedName>
    <definedName name="P.7" localSheetId="25">#REF!</definedName>
    <definedName name="P.7">#REF!</definedName>
    <definedName name="pa" localSheetId="20">#REF!</definedName>
    <definedName name="pa" localSheetId="24">#REF!</definedName>
    <definedName name="pa" localSheetId="25">#REF!</definedName>
    <definedName name="pa">#REF!</definedName>
    <definedName name="PatenteRanger" localSheetId="20">#REF!</definedName>
    <definedName name="PatenteRanger" localSheetId="24">#REF!</definedName>
    <definedName name="PatenteRanger" localSheetId="25">#REF!</definedName>
    <definedName name="PatenteRanger">#REF!</definedName>
    <definedName name="PatenteSeguroCENT" localSheetId="20">#REF!</definedName>
    <definedName name="PatenteSeguroCENT" localSheetId="24">#REF!</definedName>
    <definedName name="PatenteSeguroCENT" localSheetId="25">#REF!</definedName>
    <definedName name="PatenteSeguroCENT">#REF!</definedName>
    <definedName name="Pb" localSheetId="19">#REF!</definedName>
    <definedName name="Pb" localSheetId="20">#REF!</definedName>
    <definedName name="Pb" localSheetId="22">#REF!</definedName>
    <definedName name="Pb" localSheetId="23">#REF!</definedName>
    <definedName name="Pb" localSheetId="24">#REF!</definedName>
    <definedName name="Pb" localSheetId="25">#REF!</definedName>
    <definedName name="Pb">#REF!</definedName>
    <definedName name="Pboca" localSheetId="20">#REF!</definedName>
    <definedName name="Pboca" localSheetId="24">#REF!</definedName>
    <definedName name="Pboca" localSheetId="25">#REF!</definedName>
    <definedName name="Pboca">#REF!</definedName>
    <definedName name="pbp_Antes" localSheetId="20">#REF!</definedName>
    <definedName name="pbp_Antes" localSheetId="24">#REF!</definedName>
    <definedName name="pbp_Antes" localSheetId="25">#REF!</definedName>
    <definedName name="pbp_Antes">#REF!</definedName>
    <definedName name="pbp_despues" localSheetId="20">#REF!</definedName>
    <definedName name="pbp_despues" localSheetId="24">#REF!</definedName>
    <definedName name="pbp_despues" localSheetId="25">#REF!</definedName>
    <definedName name="pbp_despues">#REF!</definedName>
    <definedName name="PC" localSheetId="19">#REF!</definedName>
    <definedName name="PC" localSheetId="20">#REF!</definedName>
    <definedName name="PC" localSheetId="22">#REF!</definedName>
    <definedName name="PC" localSheetId="23">#REF!</definedName>
    <definedName name="PC" localSheetId="24">#REF!</definedName>
    <definedName name="PC" localSheetId="25">#REF!</definedName>
    <definedName name="PC">#REF!</definedName>
    <definedName name="Pcolumna" localSheetId="20">#REF!</definedName>
    <definedName name="Pcolumna" localSheetId="24">#REF!</definedName>
    <definedName name="Pcolumna" localSheetId="25">#REF!</definedName>
    <definedName name="Pcolumna">#REF!</definedName>
    <definedName name="pdepth">[13]Data!$D$9</definedName>
    <definedName name="PERF" localSheetId="20">#REF!</definedName>
    <definedName name="PERF" localSheetId="24">#REF!</definedName>
    <definedName name="PERF" localSheetId="25">#REF!</definedName>
    <definedName name="PERF">#REF!</definedName>
    <definedName name="Perforador" localSheetId="20">#REF!</definedName>
    <definedName name="Perforador" localSheetId="24">#REF!</definedName>
    <definedName name="Perforador" localSheetId="25">#REF!</definedName>
    <definedName name="Perforador">#REF!</definedName>
    <definedName name="Personal">[8]MO!$A$3:$A$128</definedName>
    <definedName name="PESOS150" localSheetId="19">#REF!</definedName>
    <definedName name="PESOS150" localSheetId="20">#REF!</definedName>
    <definedName name="PESOS150" localSheetId="22">#REF!</definedName>
    <definedName name="PESOS150" localSheetId="23">#REF!</definedName>
    <definedName name="PESOS150" localSheetId="24">#REF!</definedName>
    <definedName name="PESOS150" localSheetId="25">#REF!</definedName>
    <definedName name="PESOS150">#REF!</definedName>
    <definedName name="pesos600" localSheetId="19">#REF!</definedName>
    <definedName name="pesos600" localSheetId="20">#REF!</definedName>
    <definedName name="pesos600" localSheetId="22">#REF!</definedName>
    <definedName name="pesos600" localSheetId="23">#REF!</definedName>
    <definedName name="pesos600" localSheetId="24">#REF!</definedName>
    <definedName name="pesos600" localSheetId="25">#REF!</definedName>
    <definedName name="pesos600">#REF!</definedName>
    <definedName name="PESOS83">'[37]#¡REF'!$K$28</definedName>
    <definedName name="PESOS85" localSheetId="19">'[37]RESUMEN GRAL'!#REF!</definedName>
    <definedName name="PESOS85" localSheetId="20">'[37]RESUMEN GRAL'!#REF!</definedName>
    <definedName name="PESOS85" localSheetId="22">'[37]RESUMEN GRAL'!#REF!</definedName>
    <definedName name="PESOS85" localSheetId="23">'[37]RESUMEN GRAL'!#REF!</definedName>
    <definedName name="PESOS85" localSheetId="24">'[37]RESUMEN GRAL'!#REF!</definedName>
    <definedName name="PESOS85" localSheetId="25">'[37]RESUMEN GRAL'!#REF!</definedName>
    <definedName name="PESOS85">'[37]RESUMEN GRAL'!#REF!</definedName>
    <definedName name="Pf" localSheetId="19">#REF!</definedName>
    <definedName name="Pf" localSheetId="20">#REF!</definedName>
    <definedName name="Pf" localSheetId="22">#REF!</definedName>
    <definedName name="Pf" localSheetId="23">#REF!</definedName>
    <definedName name="Pf" localSheetId="24">#REF!</definedName>
    <definedName name="Pf" localSheetId="25">#REF!</definedName>
    <definedName name="Pf">#REF!</definedName>
    <definedName name="PGAS1" localSheetId="20">#REF!</definedName>
    <definedName name="PGAS1" localSheetId="24">#REF!</definedName>
    <definedName name="PGAS1" localSheetId="25">#REF!</definedName>
    <definedName name="PGAS1">#REF!</definedName>
    <definedName name="PGAS2" localSheetId="20">#REF!</definedName>
    <definedName name="PGAS2" localSheetId="24">#REF!</definedName>
    <definedName name="PGAS2" localSheetId="25">#REF!</definedName>
    <definedName name="PGAS2">#REF!</definedName>
    <definedName name="PGAS3" localSheetId="20">#REF!</definedName>
    <definedName name="PGAS3" localSheetId="24">#REF!</definedName>
    <definedName name="PGAS3" localSheetId="25">#REF!</definedName>
    <definedName name="PGAS3">#REF!</definedName>
    <definedName name="PGAS4" localSheetId="20">#REF!</definedName>
    <definedName name="PGAS4" localSheetId="24">#REF!</definedName>
    <definedName name="PGAS4" localSheetId="25">#REF!</definedName>
    <definedName name="PGAS4">#REF!</definedName>
    <definedName name="PGAS5" localSheetId="20">#REF!</definedName>
    <definedName name="PGAS5" localSheetId="24">#REF!</definedName>
    <definedName name="PGAS5" localSheetId="25">#REF!</definedName>
    <definedName name="PGAS5">#REF!</definedName>
    <definedName name="PGAS6" localSheetId="20">#REF!</definedName>
    <definedName name="PGAS6" localSheetId="24">#REF!</definedName>
    <definedName name="PGAS6" localSheetId="25">#REF!</definedName>
    <definedName name="PGAS6">#REF!</definedName>
    <definedName name="PHDG" localSheetId="20">#REF!</definedName>
    <definedName name="PHDG" localSheetId="24">#REF!</definedName>
    <definedName name="PHDG" localSheetId="25">#REF!</definedName>
    <definedName name="PHDG">#REF!</definedName>
    <definedName name="PHGAS" localSheetId="20">#REF!</definedName>
    <definedName name="PHGAS" localSheetId="24">#REF!</definedName>
    <definedName name="PHGAS" localSheetId="25">#REF!</definedName>
    <definedName name="PHGAS">#REF!</definedName>
    <definedName name="PHMED" localSheetId="20">#REF!</definedName>
    <definedName name="PHMED" localSheetId="24">#REF!</definedName>
    <definedName name="PHMED" localSheetId="25">#REF!</definedName>
    <definedName name="PHMED">#REF!</definedName>
    <definedName name="PHRES" localSheetId="20">#REF!</definedName>
    <definedName name="PHRES" localSheetId="24">#REF!</definedName>
    <definedName name="PHRES" localSheetId="25">#REF!</definedName>
    <definedName name="PHRES">#REF!</definedName>
    <definedName name="PHTAN" localSheetId="20">#REF!</definedName>
    <definedName name="PHTAN" localSheetId="24">#REF!</definedName>
    <definedName name="PHTAN" localSheetId="25">#REF!</definedName>
    <definedName name="PHTAN">#REF!</definedName>
    <definedName name="pilREV" localSheetId="23">'[14]Pileta Revestida'!$A$7:$P$54</definedName>
    <definedName name="pilREV" localSheetId="24">'[14]Pileta Revestida'!$A$7:$P$54</definedName>
    <definedName name="pilREV">'[15]Pileta Revestida'!$A$7:$P$54</definedName>
    <definedName name="Pinyeccion" localSheetId="20">#REF!</definedName>
    <definedName name="Pinyeccion" localSheetId="24">#REF!</definedName>
    <definedName name="Pinyeccion" localSheetId="25">#REF!</definedName>
    <definedName name="Pinyeccion">#REF!</definedName>
    <definedName name="PKR" localSheetId="20">#REF!</definedName>
    <definedName name="PKR" localSheetId="24">#REF!</definedName>
    <definedName name="PKR" localSheetId="25">#REF!</definedName>
    <definedName name="PKR">#REF!</definedName>
    <definedName name="PLA" localSheetId="20">#REF!</definedName>
    <definedName name="PLA" localSheetId="24">#REF!</definedName>
    <definedName name="PLA" localSheetId="25">#REF!</definedName>
    <definedName name="PLA">#REF!</definedName>
    <definedName name="PLANILLAS" localSheetId="20">#REF!</definedName>
    <definedName name="PLANILLAS" localSheetId="24">#REF!</definedName>
    <definedName name="PLANILLAS" localSheetId="25">#REF!</definedName>
    <definedName name="PLANILLAS">#REF!</definedName>
    <definedName name="PLANTA__DE__GAS__CENTENARIO" localSheetId="20">#REF!</definedName>
    <definedName name="PLANTA__DE__GAS__CENTENARIO" localSheetId="24">#REF!</definedName>
    <definedName name="PLANTA__DE__GAS__CENTENARIO" localSheetId="25">#REF!</definedName>
    <definedName name="PLANTA__DE__GAS__CENTENARIO">#REF!</definedName>
    <definedName name="Plinea" localSheetId="20">#REF!</definedName>
    <definedName name="Plinea" localSheetId="24">#REF!</definedName>
    <definedName name="Plinea" localSheetId="25">#REF!</definedName>
    <definedName name="Plinea">#REF!</definedName>
    <definedName name="PLPG1" localSheetId="20">#REF!</definedName>
    <definedName name="PLPG1" localSheetId="24">#REF!</definedName>
    <definedName name="PLPG1" localSheetId="25">#REF!</definedName>
    <definedName name="PLPG1">#REF!</definedName>
    <definedName name="PLPG2" localSheetId="20">#REF!</definedName>
    <definedName name="PLPG2" localSheetId="24">#REF!</definedName>
    <definedName name="PLPG2" localSheetId="25">#REF!</definedName>
    <definedName name="PLPG2">#REF!</definedName>
    <definedName name="PLPG3" localSheetId="20">#REF!</definedName>
    <definedName name="PLPG3" localSheetId="24">#REF!</definedName>
    <definedName name="PLPG3" localSheetId="25">#REF!</definedName>
    <definedName name="PLPG3">#REF!</definedName>
    <definedName name="PLPG4" localSheetId="20">#REF!</definedName>
    <definedName name="PLPG4" localSheetId="24">#REF!</definedName>
    <definedName name="PLPG4" localSheetId="25">#REF!</definedName>
    <definedName name="PLPG4">#REF!</definedName>
    <definedName name="plunger">[13]Data!$D$7</definedName>
    <definedName name="PM" localSheetId="19">#REF!</definedName>
    <definedName name="PM" localSheetId="20">#REF!</definedName>
    <definedName name="PM" localSheetId="22">#REF!</definedName>
    <definedName name="PM" localSheetId="23">#REF!</definedName>
    <definedName name="PM" localSheetId="24">#REF!</definedName>
    <definedName name="PM" localSheetId="25">#REF!</definedName>
    <definedName name="PM">#REF!</definedName>
    <definedName name="PMED1" localSheetId="20">#REF!</definedName>
    <definedName name="PMED1" localSheetId="24">#REF!</definedName>
    <definedName name="PMED1" localSheetId="25">#REF!</definedName>
    <definedName name="PMED1">#REF!</definedName>
    <definedName name="PMED2" localSheetId="20">#REF!</definedName>
    <definedName name="PMED2" localSheetId="24">#REF!</definedName>
    <definedName name="PMED2" localSheetId="25">#REF!</definedName>
    <definedName name="PMED2">#REF!</definedName>
    <definedName name="PMED3" localSheetId="20">#REF!</definedName>
    <definedName name="PMED3" localSheetId="24">#REF!</definedName>
    <definedName name="PMED3" localSheetId="25">#REF!</definedName>
    <definedName name="PMED3">#REF!</definedName>
    <definedName name="PMED4" localSheetId="20">#REF!</definedName>
    <definedName name="PMED4" localSheetId="24">#REF!</definedName>
    <definedName name="PMED4" localSheetId="25">#REF!</definedName>
    <definedName name="PMED4">#REF!</definedName>
    <definedName name="PMED5" localSheetId="20">#REF!</definedName>
    <definedName name="PMED5" localSheetId="24">#REF!</definedName>
    <definedName name="PMED5" localSheetId="25">#REF!</definedName>
    <definedName name="PMED5">#REF!</definedName>
    <definedName name="PMED6" localSheetId="20">#REF!</definedName>
    <definedName name="PMED6" localSheetId="24">#REF!</definedName>
    <definedName name="PMED6" localSheetId="25">#REF!</definedName>
    <definedName name="PMED6">#REF!</definedName>
    <definedName name="pozo" localSheetId="20">#REF!</definedName>
    <definedName name="pozo" localSheetId="24">#REF!</definedName>
    <definedName name="pozo" localSheetId="25">#REF!</definedName>
    <definedName name="pozo">#REF!</definedName>
    <definedName name="Pozos" localSheetId="19">#REF!</definedName>
    <definedName name="Pozos" localSheetId="20">#REF!</definedName>
    <definedName name="Pozos" localSheetId="22">#REF!</definedName>
    <definedName name="Pozos" localSheetId="24">#REF!</definedName>
    <definedName name="Pozos" localSheetId="25">#REF!</definedName>
    <definedName name="Pozos">#REF!</definedName>
    <definedName name="PRES1" localSheetId="20">#REF!</definedName>
    <definedName name="PRES1" localSheetId="24">#REF!</definedName>
    <definedName name="PRES1" localSheetId="25">#REF!</definedName>
    <definedName name="PRES1">#REF!</definedName>
    <definedName name="PRES2" localSheetId="20">#REF!</definedName>
    <definedName name="PRES2" localSheetId="24">#REF!</definedName>
    <definedName name="PRES2" localSheetId="25">#REF!</definedName>
    <definedName name="PRES2">#REF!</definedName>
    <definedName name="PRES3" localSheetId="20">#REF!</definedName>
    <definedName name="PRES3" localSheetId="24">#REF!</definedName>
    <definedName name="PRES3" localSheetId="25">#REF!</definedName>
    <definedName name="PRES3">#REF!</definedName>
    <definedName name="PRES4" localSheetId="20">#REF!</definedName>
    <definedName name="PRES4" localSheetId="24">#REF!</definedName>
    <definedName name="PRES4" localSheetId="25">#REF!</definedName>
    <definedName name="PRES4">#REF!</definedName>
    <definedName name="PRES5" localSheetId="20">#REF!</definedName>
    <definedName name="PRES5" localSheetId="24">#REF!</definedName>
    <definedName name="PRES5" localSheetId="25">#REF!</definedName>
    <definedName name="PRES5">#REF!</definedName>
    <definedName name="PRES6" localSheetId="20">#REF!</definedName>
    <definedName name="PRES6" localSheetId="24">#REF!</definedName>
    <definedName name="PRES6" localSheetId="25">#REF!</definedName>
    <definedName name="PRES6">#REF!</definedName>
    <definedName name="PresionCO2" localSheetId="19">#REF!</definedName>
    <definedName name="PresionCO2" localSheetId="20">#REF!</definedName>
    <definedName name="PresionCO2" localSheetId="22">#REF!</definedName>
    <definedName name="PresionCO2" localSheetId="24">#REF!</definedName>
    <definedName name="PresionCO2" localSheetId="25">#REF!</definedName>
    <definedName name="PresionCO2">#REF!</definedName>
    <definedName name="PRIM" localSheetId="20">[1]Sheet6!#REF!</definedName>
    <definedName name="PRIM" localSheetId="24">[1]Sheet6!#REF!</definedName>
    <definedName name="PRIM" localSheetId="25">[1]Sheet6!#REF!</definedName>
    <definedName name="PRIM">[1]Sheet6!#REF!</definedName>
    <definedName name="PRIM2" localSheetId="20">[1]Sheet5!#REF!</definedName>
    <definedName name="PRIM2" localSheetId="24">[1]Sheet5!#REF!</definedName>
    <definedName name="PRIM2" localSheetId="25">[1]Sheet5!#REF!</definedName>
    <definedName name="PRIM2">[1]Sheet5!#REF!</definedName>
    <definedName name="print" localSheetId="20">#REF!</definedName>
    <definedName name="print" localSheetId="24">#REF!</definedName>
    <definedName name="print" localSheetId="25">#REF!</definedName>
    <definedName name="print">#REF!</definedName>
    <definedName name="Print_Area_MI" localSheetId="20">#REF!</definedName>
    <definedName name="Print_Area_MI" localSheetId="24">#REF!</definedName>
    <definedName name="Print_Area_MI" localSheetId="25">#REF!</definedName>
    <definedName name="Print_Area_MI">#REF!</definedName>
    <definedName name="Print_Titles_MI" localSheetId="20">#REF!</definedName>
    <definedName name="Print_Titles_MI" localSheetId="24">#REF!</definedName>
    <definedName name="Print_Titles_MI" localSheetId="25">#REF!</definedName>
    <definedName name="Print_Titles_MI">#REF!</definedName>
    <definedName name="print1" localSheetId="20">#REF!,#REF!</definedName>
    <definedName name="print1" localSheetId="24">#REF!,#REF!</definedName>
    <definedName name="print1" localSheetId="25">#REF!,#REF!</definedName>
    <definedName name="print1">#REF!,#REF!</definedName>
    <definedName name="PROCESANDO2" localSheetId="20">[1]Sheet5!#REF!</definedName>
    <definedName name="PROCESANDO2" localSheetId="24">[1]Sheet5!#REF!</definedName>
    <definedName name="PROCESANDO2" localSheetId="25">[1]Sheet5!#REF!</definedName>
    <definedName name="PROCESANDO2">[1]Sheet5!#REF!</definedName>
    <definedName name="ProdCorr" localSheetId="20">#REF!</definedName>
    <definedName name="ProdCorr" localSheetId="24">#REF!</definedName>
    <definedName name="ProdCorr" localSheetId="25">#REF!</definedName>
    <definedName name="ProdCorr">#REF!</definedName>
    <definedName name="Prodexp">[17]Datos!$F$74</definedName>
    <definedName name="production" localSheetId="20">#REF!</definedName>
    <definedName name="production" localSheetId="24">#REF!</definedName>
    <definedName name="production" localSheetId="25">#REF!</definedName>
    <definedName name="production">#REF!</definedName>
    <definedName name="prof" localSheetId="20">#REF!</definedName>
    <definedName name="prof" localSheetId="24">#REF!</definedName>
    <definedName name="prof" localSheetId="25">#REF!</definedName>
    <definedName name="prof">#REF!</definedName>
    <definedName name="PROVINCIA">'[10]MO - Petrolero Privado'!$E$8</definedName>
    <definedName name="PRTR" localSheetId="20">#REF!</definedName>
    <definedName name="PRTR" localSheetId="24">#REF!</definedName>
    <definedName name="PRTR" localSheetId="25">#REF!</definedName>
    <definedName name="PRTR">#REF!</definedName>
    <definedName name="PTAN1" localSheetId="20">#REF!</definedName>
    <definedName name="PTAN1" localSheetId="24">#REF!</definedName>
    <definedName name="PTAN1" localSheetId="25">#REF!</definedName>
    <definedName name="PTAN1">#REF!</definedName>
    <definedName name="PTAN2" localSheetId="20">#REF!</definedName>
    <definedName name="PTAN2" localSheetId="24">#REF!</definedName>
    <definedName name="PTAN2" localSheetId="25">#REF!</definedName>
    <definedName name="PTAN2">#REF!</definedName>
    <definedName name="PTAN3" localSheetId="20">#REF!</definedName>
    <definedName name="PTAN3" localSheetId="24">#REF!</definedName>
    <definedName name="PTAN3" localSheetId="25">#REF!</definedName>
    <definedName name="PTAN3">#REF!</definedName>
    <definedName name="PTAN4" localSheetId="20">#REF!</definedName>
    <definedName name="PTAN4" localSheetId="24">#REF!</definedName>
    <definedName name="PTAN4" localSheetId="25">#REF!</definedName>
    <definedName name="PTAN4">#REF!</definedName>
    <definedName name="PTAN5" localSheetId="20">#REF!</definedName>
    <definedName name="PTAN5" localSheetId="24">#REF!</definedName>
    <definedName name="PTAN5" localSheetId="25">#REF!</definedName>
    <definedName name="PTAN5">#REF!</definedName>
    <definedName name="PTAN6" localSheetId="20">#REF!</definedName>
    <definedName name="PTAN6" localSheetId="24">#REF!</definedName>
    <definedName name="PTAN6" localSheetId="25">#REF!</definedName>
    <definedName name="PTAN6">#REF!</definedName>
    <definedName name="PUESTO__TOUQUET" localSheetId="20">#REF!</definedName>
    <definedName name="PUESTO__TOUQUET" localSheetId="24">#REF!</definedName>
    <definedName name="PUESTO__TOUQUET" localSheetId="25">#REF!</definedName>
    <definedName name="PUESTO__TOUQUET">#REF!</definedName>
    <definedName name="PUN" localSheetId="20">#REF!</definedName>
    <definedName name="PUN" localSheetId="24">#REF!</definedName>
    <definedName name="PUN" localSheetId="25">#REF!</definedName>
    <definedName name="PUN">#REF!</definedName>
    <definedName name="PZ.1" localSheetId="20">#REF!</definedName>
    <definedName name="PZ.1" localSheetId="24">#REF!</definedName>
    <definedName name="PZ.1" localSheetId="25">#REF!</definedName>
    <definedName name="PZ.1">#REF!</definedName>
    <definedName name="PZ.2" localSheetId="20">#REF!</definedName>
    <definedName name="PZ.2" localSheetId="24">#REF!</definedName>
    <definedName name="PZ.2" localSheetId="25">#REF!</definedName>
    <definedName name="PZ.2">#REF!</definedName>
    <definedName name="PZ.3" localSheetId="20">#REF!</definedName>
    <definedName name="PZ.3" localSheetId="24">#REF!</definedName>
    <definedName name="PZ.3" localSheetId="25">#REF!</definedName>
    <definedName name="PZ.3">#REF!</definedName>
    <definedName name="PZ.4" localSheetId="20">#REF!</definedName>
    <definedName name="PZ.4" localSheetId="24">#REF!</definedName>
    <definedName name="PZ.4" localSheetId="25">#REF!</definedName>
    <definedName name="PZ.4">#REF!</definedName>
    <definedName name="Qab">[38]Datos!$F$48</definedName>
    <definedName name="Qabg" localSheetId="20">#REF!</definedName>
    <definedName name="Qabg" localSheetId="24">#REF!</definedName>
    <definedName name="Qabg" localSheetId="25">#REF!</definedName>
    <definedName name="Qabg">#REF!</definedName>
    <definedName name="Qabo" localSheetId="20">#REF!</definedName>
    <definedName name="Qabo" localSheetId="24">#REF!</definedName>
    <definedName name="Qabo" localSheetId="25">#REF!</definedName>
    <definedName name="Qabo">#REF!</definedName>
    <definedName name="qfh" localSheetId="20">#REF!</definedName>
    <definedName name="qfh" localSheetId="24">#REF!</definedName>
    <definedName name="qfh" localSheetId="25">#REF!</definedName>
    <definedName name="qfh">#REF!</definedName>
    <definedName name="QG" localSheetId="20">#REF!</definedName>
    <definedName name="QG" localSheetId="24">#REF!</definedName>
    <definedName name="QG" localSheetId="25">#REF!</definedName>
    <definedName name="QG">#REF!</definedName>
    <definedName name="Qig" localSheetId="20">#REF!</definedName>
    <definedName name="Qig" localSheetId="24">#REF!</definedName>
    <definedName name="Qig" localSheetId="25">#REF!</definedName>
    <definedName name="Qig">#REF!</definedName>
    <definedName name="Qio" localSheetId="20">#REF!</definedName>
    <definedName name="Qio" localSheetId="24">#REF!</definedName>
    <definedName name="Qio" localSheetId="25">#REF!</definedName>
    <definedName name="Qio">#REF!</definedName>
    <definedName name="QO" localSheetId="20">#REF!</definedName>
    <definedName name="QO" localSheetId="24">#REF!</definedName>
    <definedName name="QO" localSheetId="25">#REF!</definedName>
    <definedName name="QO">#REF!</definedName>
    <definedName name="Qs" localSheetId="19">#REF!</definedName>
    <definedName name="Qs" localSheetId="20">#REF!</definedName>
    <definedName name="Qs" localSheetId="22">#REF!</definedName>
    <definedName name="Qs" localSheetId="23">#REF!</definedName>
    <definedName name="Qs" localSheetId="24">#REF!</definedName>
    <definedName name="Qs" localSheetId="25">#REF!</definedName>
    <definedName name="Qs">#REF!</definedName>
    <definedName name="QUEM" localSheetId="20">#REF!</definedName>
    <definedName name="QUEM" localSheetId="24">#REF!</definedName>
    <definedName name="QUEM" localSheetId="25">#REF!</definedName>
    <definedName name="QUEM">#REF!</definedName>
    <definedName name="QW" localSheetId="20">#REF!</definedName>
    <definedName name="QW" localSheetId="24">#REF!</definedName>
    <definedName name="QW" localSheetId="25">#REF!</definedName>
    <definedName name="QW">#REF!</definedName>
    <definedName name="qwer" localSheetId="20">#REF!</definedName>
    <definedName name="qwer" localSheetId="24">#REF!</definedName>
    <definedName name="qwer" localSheetId="25">#REF!</definedName>
    <definedName name="qwer">#REF!</definedName>
    <definedName name="RangerCD4x2" localSheetId="20">#REF!</definedName>
    <definedName name="RangerCD4x2" localSheetId="24">#REF!</definedName>
    <definedName name="RangerCD4x2" localSheetId="25">#REF!</definedName>
    <definedName name="RangerCD4x2">#REF!</definedName>
    <definedName name="RangerCD4x4" localSheetId="20">#REF!</definedName>
    <definedName name="RangerCD4x4" localSheetId="24">#REF!</definedName>
    <definedName name="RangerCD4x4" localSheetId="25">#REF!</definedName>
    <definedName name="RangerCD4x4">#REF!</definedName>
    <definedName name="RangerCS4x2" localSheetId="20">#REF!</definedName>
    <definedName name="RangerCS4x2" localSheetId="24">#REF!</definedName>
    <definedName name="RangerCS4x2" localSheetId="25">#REF!</definedName>
    <definedName name="RangerCS4x2">#REF!</definedName>
    <definedName name="RangerCS4x4" localSheetId="20">#REF!</definedName>
    <definedName name="RangerCS4x4" localSheetId="24">#REF!</definedName>
    <definedName name="RangerCS4x4" localSheetId="25">#REF!</definedName>
    <definedName name="RangerCS4x4">#REF!</definedName>
    <definedName name="rango_500" localSheetId="20">#REF!</definedName>
    <definedName name="rango_500" localSheetId="24">#REF!</definedName>
    <definedName name="rango_500" localSheetId="25">#REF!</definedName>
    <definedName name="rango_500">#REF!</definedName>
    <definedName name="rango_505" localSheetId="20">#REF!</definedName>
    <definedName name="rango_505" localSheetId="24">#REF!</definedName>
    <definedName name="rango_505" localSheetId="25">#REF!</definedName>
    <definedName name="rango_505">#REF!</definedName>
    <definedName name="rango_514" localSheetId="20">#REF!</definedName>
    <definedName name="rango_514" localSheetId="24">#REF!</definedName>
    <definedName name="rango_514" localSheetId="25">#REF!</definedName>
    <definedName name="rango_514">#REF!</definedName>
    <definedName name="rango_aclara_505" localSheetId="20">#REF!</definedName>
    <definedName name="rango_aclara_505" localSheetId="24">#REF!</definedName>
    <definedName name="rango_aclara_505" localSheetId="25">#REF!</definedName>
    <definedName name="rango_aclara_505">#REF!</definedName>
    <definedName name="rango_aclara_514" localSheetId="20">#REF!</definedName>
    <definedName name="rango_aclara_514" localSheetId="24">#REF!</definedName>
    <definedName name="rango_aclara_514" localSheetId="25">#REF!</definedName>
    <definedName name="rango_aclara_514">#REF!</definedName>
    <definedName name="rango_produccion" localSheetId="20">#REF!</definedName>
    <definedName name="rango_produccion" localSheetId="24">#REF!</definedName>
    <definedName name="rango_produccion" localSheetId="25">#REF!</definedName>
    <definedName name="rango_produccion">#REF!</definedName>
    <definedName name="rango_produccion_total" localSheetId="20">#REF!</definedName>
    <definedName name="rango_produccion_total" localSheetId="24">#REF!</definedName>
    <definedName name="rango_produccion_total" localSheetId="25">#REF!</definedName>
    <definedName name="rango_produccion_total">#REF!</definedName>
    <definedName name="Recover">[39]Macro1!$A$314</definedName>
    <definedName name="RECUP" localSheetId="20">#REF!</definedName>
    <definedName name="RECUP" localSheetId="24">#REF!</definedName>
    <definedName name="RECUP" localSheetId="25">#REF!</definedName>
    <definedName name="RECUP">#REF!</definedName>
    <definedName name="RED" localSheetId="20">#REF!</definedName>
    <definedName name="RED" localSheetId="24">#REF!</definedName>
    <definedName name="RED" localSheetId="25">#REF!</definedName>
    <definedName name="RED">#REF!</definedName>
    <definedName name="Refin" localSheetId="20">#REF!</definedName>
    <definedName name="Refin" localSheetId="24">#REF!</definedName>
    <definedName name="Refin" localSheetId="25">#REF!</definedName>
    <definedName name="Refin">#REF!</definedName>
    <definedName name="reparacion" localSheetId="20">#REF!</definedName>
    <definedName name="reparacion" localSheetId="24">#REF!</definedName>
    <definedName name="reparacion" localSheetId="25">#REF!</definedName>
    <definedName name="reparacion">#REF!</definedName>
    <definedName name="RES" localSheetId="20">#REF!</definedName>
    <definedName name="RES" localSheetId="24">#REF!</definedName>
    <definedName name="RES" localSheetId="25">#REF!</definedName>
    <definedName name="RES">#REF!</definedName>
    <definedName name="residuales" localSheetId="19">#REF!</definedName>
    <definedName name="residuales" localSheetId="20">#REF!</definedName>
    <definedName name="residuales" localSheetId="22">#REF!</definedName>
    <definedName name="residuales" localSheetId="24">#REF!</definedName>
    <definedName name="residuales" localSheetId="25">#REF!</definedName>
    <definedName name="residuales">#REF!</definedName>
    <definedName name="resu150" localSheetId="19">#REF!</definedName>
    <definedName name="resu150" localSheetId="20">#REF!</definedName>
    <definedName name="resu150" localSheetId="22">#REF!</definedName>
    <definedName name="resu150" localSheetId="23">#REF!</definedName>
    <definedName name="resu150" localSheetId="24">#REF!</definedName>
    <definedName name="resu150" localSheetId="25">#REF!</definedName>
    <definedName name="resu150">#REF!</definedName>
    <definedName name="resum600" localSheetId="19">#REF!</definedName>
    <definedName name="resum600" localSheetId="20">#REF!</definedName>
    <definedName name="resum600" localSheetId="22">#REF!</definedName>
    <definedName name="resum600" localSheetId="23">#REF!</definedName>
    <definedName name="resum600" localSheetId="24">#REF!</definedName>
    <definedName name="resum600" localSheetId="25">#REF!</definedName>
    <definedName name="resum600">#REF!</definedName>
    <definedName name="RETRO" localSheetId="20">#REF!</definedName>
    <definedName name="RETRO" localSheetId="24">#REF!</definedName>
    <definedName name="RETRO" localSheetId="25">#REF!</definedName>
    <definedName name="RETRO">#REF!</definedName>
    <definedName name="ROOT" localSheetId="20">#REF!</definedName>
    <definedName name="ROOT" localSheetId="24">#REF!</definedName>
    <definedName name="ROOT" localSheetId="25">#REF!</definedName>
    <definedName name="ROOT">#REF!</definedName>
    <definedName name="rotacion" localSheetId="20">#REF!</definedName>
    <definedName name="rotacion" localSheetId="24">#REF!</definedName>
    <definedName name="rotacion" localSheetId="25">#REF!</definedName>
    <definedName name="rotacion">#REF!</definedName>
    <definedName name="ROWS" localSheetId="20">#REF!</definedName>
    <definedName name="ROWS" localSheetId="24">#REF!</definedName>
    <definedName name="ROWS" localSheetId="25">#REF!</definedName>
    <definedName name="ROWS">#REF!</definedName>
    <definedName name="Roygas" localSheetId="20">#REF!</definedName>
    <definedName name="Roygas" localSheetId="24">#REF!</definedName>
    <definedName name="Roygas" localSheetId="25">#REF!</definedName>
    <definedName name="Roygas">#REF!</definedName>
    <definedName name="Royoil" localSheetId="20">#REF!</definedName>
    <definedName name="Royoil" localSheetId="24">#REF!</definedName>
    <definedName name="Royoil" localSheetId="25">#REF!</definedName>
    <definedName name="Royoil">#REF!</definedName>
    <definedName name="rpm">[13]Data!$K$9</definedName>
    <definedName name="rr">[13]Data!$H$9</definedName>
    <definedName name="s">[40]Datos!$Q$42</definedName>
    <definedName name="sal" localSheetId="19">#REF!</definedName>
    <definedName name="sal" localSheetId="20">#REF!</definedName>
    <definedName name="sal" localSheetId="22">#REF!</definedName>
    <definedName name="sal" localSheetId="23">#REF!</definedName>
    <definedName name="sal" localSheetId="24">#REF!</definedName>
    <definedName name="sal" localSheetId="25">#REF!</definedName>
    <definedName name="sal">#REF!</definedName>
    <definedName name="SALABA40" localSheetId="20">[1]Sheet4!#REF!</definedName>
    <definedName name="SALABA40" localSheetId="24">[1]Sheet4!#REF!</definedName>
    <definedName name="SALABA40" localSheetId="25">[1]Sheet4!#REF!</definedName>
    <definedName name="SALABA40">[1]Sheet4!#REF!</definedName>
    <definedName name="salAPI" localSheetId="19">#REF!</definedName>
    <definedName name="salAPI" localSheetId="20">#REF!</definedName>
    <definedName name="salAPI" localSheetId="22">#REF!</definedName>
    <definedName name="salAPI" localSheetId="23">#REF!</definedName>
    <definedName name="salAPI" localSheetId="24">#REF!</definedName>
    <definedName name="salAPI" localSheetId="25">#REF!</definedName>
    <definedName name="salAPI">#REF!</definedName>
    <definedName name="salBAF" localSheetId="23">'[14]Salida Tk Bafle'!$A$7:$P$84</definedName>
    <definedName name="salBAF" localSheetId="24">'[14]Salida Tk Bafle'!$A$7:$P$84</definedName>
    <definedName name="salBAF">'[15]Salida Tk Bafle'!$A$7:$P$84</definedName>
    <definedName name="Salesret" localSheetId="20">#REF!</definedName>
    <definedName name="Salesret" localSheetId="24">#REF!</definedName>
    <definedName name="Salesret" localSheetId="25">#REF!</definedName>
    <definedName name="Salesret">#REF!</definedName>
    <definedName name="Salinidad" localSheetId="20">#REF!</definedName>
    <definedName name="Salinidad" localSheetId="24">#REF!</definedName>
    <definedName name="Salinidad" localSheetId="25">#REF!</definedName>
    <definedName name="Salinidad">#REF!</definedName>
    <definedName name="Salinidad_Antes" localSheetId="20">#REF!</definedName>
    <definedName name="Salinidad_Antes" localSheetId="24">#REF!</definedName>
    <definedName name="Salinidad_Antes" localSheetId="25">#REF!</definedName>
    <definedName name="Salinidad_Antes">#REF!</definedName>
    <definedName name="Salinidad_despues" localSheetId="20">#REF!</definedName>
    <definedName name="Salinidad_despues" localSheetId="24">#REF!</definedName>
    <definedName name="Salinidad_despues" localSheetId="25">#REF!</definedName>
    <definedName name="Salinidad_despues">#REF!</definedName>
    <definedName name="SDAT" localSheetId="20">#REF!</definedName>
    <definedName name="SDAT" localSheetId="24">#REF!</definedName>
    <definedName name="SDAT" localSheetId="25">#REF!</definedName>
    <definedName name="SDAT">#REF!</definedName>
    <definedName name="Sector1" localSheetId="20">[7]!Sector1</definedName>
    <definedName name="Sector1" localSheetId="24">[7]!Sector1</definedName>
    <definedName name="Sector1" localSheetId="25">[7]!Sector1</definedName>
    <definedName name="Sector1">[7]!Sector1</definedName>
    <definedName name="Sector2">#N/A</definedName>
    <definedName name="SectorTanque1" localSheetId="20">[7]!SectorTanque1</definedName>
    <definedName name="SectorTanque1" localSheetId="24">[7]!SectorTanque1</definedName>
    <definedName name="SectorTanque1" localSheetId="25">[7]!SectorTanque1</definedName>
    <definedName name="SectorTanque1">[7]!SectorTanque1</definedName>
    <definedName name="SEG" localSheetId="20">[1]Sheet6!#REF!</definedName>
    <definedName name="SEG" localSheetId="24">[1]Sheet6!#REF!</definedName>
    <definedName name="SEG" localSheetId="25">[1]Sheet6!#REF!</definedName>
    <definedName name="SEG">[1]Sheet6!#REF!</definedName>
    <definedName name="SeguroRanger" localSheetId="20">#REF!</definedName>
    <definedName name="SeguroRanger" localSheetId="24">#REF!</definedName>
    <definedName name="SeguroRanger" localSheetId="25">#REF!</definedName>
    <definedName name="SeguroRanger">#REF!</definedName>
    <definedName name="SELECCION" localSheetId="20">[1]Sheet5!#REF!</definedName>
    <definedName name="SELECCION" localSheetId="24">[1]Sheet5!#REF!</definedName>
    <definedName name="SELECCION" localSheetId="25">[1]Sheet5!#REF!</definedName>
    <definedName name="SELECCION">[1]Sheet5!#REF!</definedName>
    <definedName name="SEPAR" localSheetId="20">#REF!</definedName>
    <definedName name="SEPAR" localSheetId="24">#REF!</definedName>
    <definedName name="SEPAR" localSheetId="25">#REF!</definedName>
    <definedName name="SEPAR">#REF!</definedName>
    <definedName name="SERIE" localSheetId="19">#REF!</definedName>
    <definedName name="SERIE" localSheetId="20">#REF!</definedName>
    <definedName name="SERIE" localSheetId="22">#REF!</definedName>
    <definedName name="SERIE" localSheetId="23">#REF!</definedName>
    <definedName name="SERIE" localSheetId="24">#REF!</definedName>
    <definedName name="SERIE" localSheetId="25">#REF!</definedName>
    <definedName name="SERIE">#REF!</definedName>
    <definedName name="sf">[13]Data!$J$14</definedName>
    <definedName name="SH" localSheetId="20">[41]InfTerm!#REF!</definedName>
    <definedName name="SH" localSheetId="24">[41]InfTerm!#REF!</definedName>
    <definedName name="SH" localSheetId="25">[41]InfTerm!#REF!</definedName>
    <definedName name="SH">[41]InfTerm!#REF!</definedName>
    <definedName name="shdf" localSheetId="20">#REF!</definedName>
    <definedName name="shdf" localSheetId="24">#REF!</definedName>
    <definedName name="shdf" localSheetId="25">#REF!</definedName>
    <definedName name="shdf">#REF!</definedName>
    <definedName name="sl">[13]Data!$J$5</definedName>
    <definedName name="spm">[13]Data!$L$5</definedName>
    <definedName name="spmt">[13]Data!$K$5</definedName>
    <definedName name="srdata">[13]Data!$R$3:$U$6</definedName>
    <definedName name="Srink" localSheetId="20">#REF!</definedName>
    <definedName name="Srink" localSheetId="24">#REF!</definedName>
    <definedName name="Srink" localSheetId="25">#REF!</definedName>
    <definedName name="Srink">#REF!</definedName>
    <definedName name="srl">[13]Data!$K$16</definedName>
    <definedName name="sry" localSheetId="20">#REF!</definedName>
    <definedName name="sry" localSheetId="24">#REF!</definedName>
    <definedName name="sry" localSheetId="25">#REF!</definedName>
    <definedName name="sry">#REF!</definedName>
    <definedName name="ss" localSheetId="19">'[42]Informe Mensual'!#REF!</definedName>
    <definedName name="ss" localSheetId="20">'[42]Informe Mensual'!#REF!</definedName>
    <definedName name="ss" localSheetId="22">'[42]Informe Mensual'!#REF!</definedName>
    <definedName name="ss" localSheetId="24">'[42]Informe Mensual'!#REF!</definedName>
    <definedName name="ss" localSheetId="25">'[42]Informe Mensual'!#REF!</definedName>
    <definedName name="ss">'[42]Informe Mensual'!#REF!</definedName>
    <definedName name="sss" localSheetId="19">'[42]Informe Mensual'!#REF!</definedName>
    <definedName name="sss" localSheetId="20">'[42]Informe Mensual'!#REF!</definedName>
    <definedName name="sss" localSheetId="22">'[42]Informe Mensual'!#REF!</definedName>
    <definedName name="sss" localSheetId="24">'[42]Informe Mensual'!#REF!</definedName>
    <definedName name="sss" localSheetId="25">'[42]Informe Mensual'!#REF!</definedName>
    <definedName name="sss">'[42]Informe Mensual'!#REF!</definedName>
    <definedName name="ssssssss" localSheetId="19">'[43]Informe Mensual'!#REF!</definedName>
    <definedName name="ssssssss" localSheetId="20">'[43]Informe Mensual'!#REF!</definedName>
    <definedName name="ssssssss" localSheetId="22">'[43]Informe Mensual'!#REF!</definedName>
    <definedName name="ssssssss" localSheetId="24">'[43]Informe Mensual'!#REF!</definedName>
    <definedName name="ssssssss" localSheetId="25">'[43]Informe Mensual'!#REF!</definedName>
    <definedName name="ssssssss">'[43]Informe Mensual'!#REF!</definedName>
    <definedName name="STARP" localSheetId="20">#REF!</definedName>
    <definedName name="STARP" localSheetId="24">#REF!</definedName>
    <definedName name="STARP" localSheetId="25">#REF!</definedName>
    <definedName name="STARP">#REF!</definedName>
    <definedName name="STAT" localSheetId="20">#REF!</definedName>
    <definedName name="STAT" localSheetId="24">#REF!</definedName>
    <definedName name="STAT" localSheetId="25">#REF!</definedName>
    <definedName name="STAT">#REF!</definedName>
    <definedName name="SueldoAyudante" localSheetId="20">#REF!</definedName>
    <definedName name="SueldoAyudante" localSheetId="24">#REF!</definedName>
    <definedName name="SueldoAyudante" localSheetId="25">#REF!</definedName>
    <definedName name="SueldoAyudante">#REF!</definedName>
    <definedName name="SueldoOficial" localSheetId="20">#REF!</definedName>
    <definedName name="SueldoOficial" localSheetId="24">#REF!</definedName>
    <definedName name="SueldoOficial" localSheetId="25">#REF!</definedName>
    <definedName name="SueldoOficial">#REF!</definedName>
    <definedName name="SueldoPerforador" localSheetId="20">#REF!</definedName>
    <definedName name="SueldoPerforador" localSheetId="24">#REF!</definedName>
    <definedName name="SueldoPerforador" localSheetId="25">#REF!</definedName>
    <definedName name="SueldoPerforador">#REF!</definedName>
    <definedName name="SueldoSupervisor" localSheetId="20">#REF!</definedName>
    <definedName name="SueldoSupervisor" localSheetId="24">#REF!</definedName>
    <definedName name="SueldoSupervisor" localSheetId="25">#REF!</definedName>
    <definedName name="SueldoSupervisor">#REF!</definedName>
    <definedName name="sup" localSheetId="20">#REF!</definedName>
    <definedName name="sup" localSheetId="24">#REF!</definedName>
    <definedName name="sup" localSheetId="25">#REF!</definedName>
    <definedName name="sup">#REF!</definedName>
    <definedName name="T_Actividad">[34]Validaciones!$B$4:$B$8</definedName>
    <definedName name="T_Gremio">[34]Validaciones!$D$4:$D$38</definedName>
    <definedName name="T_Nro_CCT">[34]Validaciones!$F$4:$F$11</definedName>
    <definedName name="T_Provincia">[34]Validaciones!$B$11:$B$17</definedName>
    <definedName name="T_Relac_con_servic">[34]Validaciones!$B$39:$B$42</definedName>
    <definedName name="T_rubro">[34]Validaciones!$F$19:$F$23</definedName>
    <definedName name="T_sino">[34]Validaciones!$B$28:$B$29</definedName>
    <definedName name="T_Situac_actual">[34]Validaciones!$B$34:$B$35</definedName>
    <definedName name="T_Tipo_neumat" localSheetId="23">[44]Validaciones!$B$46:$B$47</definedName>
    <definedName name="T_Tipo_neumat" localSheetId="24">[44]Validaciones!$B$46:$B$47</definedName>
    <definedName name="T_Tipo_neumat">[45]Validaciones!$B$46:$B$47</definedName>
    <definedName name="T_UUNN">[34]Validaciones!$B$23:$B$25</definedName>
    <definedName name="TABLA.FC_IMPORTE">[31]BD_ADICIONALES.FC!$B$7:$J$13</definedName>
    <definedName name="TABLA.FC_ITEM">[31]BD_ADICIONALES.FC!$A$7:$A$13</definedName>
    <definedName name="TABLA.FC_MES">[31]BD_ADICIONALES.FC!$B$6:$J$6</definedName>
    <definedName name="TABLA.UOCRA_ADIC.UOCRA">[46]BD_ESCALAS.UOCRA!$K$103:$K$238</definedName>
    <definedName name="TABLA.UOCRA_ADIC.ZONA">[46]BD_ESCALAS.UOCRA!$F$103:$F$238</definedName>
    <definedName name="TABLA.UOCRA_AYUDA.ALIM">[46]BD_ESCALAS.UOCRA!$I$103:$I$238</definedName>
    <definedName name="TABLA.UOCRA_CAMPAMENTO">[46]BD_ESCALAS.UOCRA!$J$103:$J$238</definedName>
    <definedName name="TABLA.UOCRA_CATEGORIA">[46]BD_ESCALAS.UOCRA!$B$103:$B$238</definedName>
    <definedName name="TABLA.UOCRA_HSVIAJE">[46]BD_ESCALAS.UOCRA!$G$103:$G$238</definedName>
    <definedName name="TABLA.UOCRA_IMPORTE">[46]BD_ESCALAS.UOCRA!$E$103:$E$238</definedName>
    <definedName name="TABLA.UOCRA_MES">[46]BD_ESCALAS.UOCRA!$C$103:$C$238</definedName>
    <definedName name="TABLA.UOCRA_VIANDA">[46]BD_ESCALAS.UOCRA!$H$103:$H$238</definedName>
    <definedName name="TABLA.UOCRA_ZONA">[46]BD_ESCALAS.UOCRA!$D$103:$D$238</definedName>
    <definedName name="TABLA_CATEGORIA">[9]BD_ESCALAS!$A$10:$A$105</definedName>
    <definedName name="TABLA_CCT">[9]BD_ESCALAS!$C$7:$CD$7</definedName>
    <definedName name="TABLA_IMPORTE">[9]BD_ESCALAS!$C$10:$CD$105</definedName>
    <definedName name="TABLA_MES">[9]BD_ESCALAS!$C$9:$CD$9</definedName>
    <definedName name="TABLA_TURNO">[9]BD_ESCALAS!$B$10:$B$105</definedName>
    <definedName name="TABLA_ZONA">[9]BD_ESCALAS!$C$8:$CD$8</definedName>
    <definedName name="TableName">"Dummy"</definedName>
    <definedName name="Tanque2" localSheetId="20">[7]!Tanque2</definedName>
    <definedName name="Tanque2" localSheetId="24">[7]!Tanque2</definedName>
    <definedName name="Tanque2" localSheetId="25">[7]!Tanque2</definedName>
    <definedName name="Tanque2">[7]!Tanque2</definedName>
    <definedName name="Tanque3" localSheetId="20">[7]!Tanque3</definedName>
    <definedName name="Tanque3" localSheetId="24">[7]!Tanque3</definedName>
    <definedName name="Tanque3" localSheetId="25">[7]!Tanque3</definedName>
    <definedName name="Tanque3">[7]!Tanque3</definedName>
    <definedName name="Tanque4" localSheetId="20">[7]!Tanque4</definedName>
    <definedName name="Tanque4" localSheetId="24">[7]!Tanque4</definedName>
    <definedName name="Tanque4" localSheetId="25">[7]!Tanque4</definedName>
    <definedName name="Tanque4">[7]!Tanque4</definedName>
    <definedName name="Tanque5" localSheetId="20">[7]!Tanque5</definedName>
    <definedName name="Tanque5" localSheetId="24">[7]!Tanque5</definedName>
    <definedName name="Tanque5" localSheetId="25">[7]!Tanque5</definedName>
    <definedName name="Tanque5">[7]!Tanque5</definedName>
    <definedName name="Tanque6" localSheetId="20">[7]!Tanque6</definedName>
    <definedName name="Tanque6" localSheetId="24">[7]!Tanque6</definedName>
    <definedName name="Tanque6" localSheetId="25">[7]!Tanque6</definedName>
    <definedName name="Tanque6">[7]!Tanque6</definedName>
    <definedName name="TAREAS" localSheetId="19">#REF!</definedName>
    <definedName name="TAREAS" localSheetId="20">#REF!</definedName>
    <definedName name="TAREAS" localSheetId="22">#REF!</definedName>
    <definedName name="TAREAS" localSheetId="23">#REF!</definedName>
    <definedName name="TAREAS" localSheetId="24">#REF!</definedName>
    <definedName name="TAREAS" localSheetId="25">#REF!</definedName>
    <definedName name="TAREAS">#REF!</definedName>
    <definedName name="tarifa" localSheetId="20">#REF!</definedName>
    <definedName name="tarifa" localSheetId="24">#REF!</definedName>
    <definedName name="tarifa" localSheetId="25">#REF!</definedName>
    <definedName name="tarifa">#REF!</definedName>
    <definedName name="Tb" localSheetId="19">#REF!</definedName>
    <definedName name="Tb" localSheetId="20">#REF!</definedName>
    <definedName name="Tb" localSheetId="22">#REF!</definedName>
    <definedName name="Tb" localSheetId="23">#REF!</definedName>
    <definedName name="Tb" localSheetId="24">#REF!</definedName>
    <definedName name="Tb" localSheetId="25">#REF!</definedName>
    <definedName name="Tb">#REF!</definedName>
    <definedName name="Tboca" localSheetId="20">#REF!</definedName>
    <definedName name="Tboca" localSheetId="24">#REF!</definedName>
    <definedName name="Tboca" localSheetId="25">#REF!</definedName>
    <definedName name="Tboca">#REF!</definedName>
    <definedName name="TC" localSheetId="19">#REF!</definedName>
    <definedName name="TC" localSheetId="20">#REF!</definedName>
    <definedName name="TC" localSheetId="22">#REF!</definedName>
    <definedName name="TC" localSheetId="23">#REF!</definedName>
    <definedName name="TC" localSheetId="24">#REF!</definedName>
    <definedName name="TC" localSheetId="25">#REF!</definedName>
    <definedName name="TC">#REF!</definedName>
    <definedName name="TE" localSheetId="20">#REF!</definedName>
    <definedName name="TE" localSheetId="24">#REF!</definedName>
    <definedName name="TE" localSheetId="25">#REF!</definedName>
    <definedName name="TE">#REF!</definedName>
    <definedName name="TER" localSheetId="20">[1]Sheet6!#REF!</definedName>
    <definedName name="TER" localSheetId="24">[1]Sheet6!#REF!</definedName>
    <definedName name="TER" localSheetId="25">[1]Sheet6!#REF!</definedName>
    <definedName name="TER">[1]Sheet6!#REF!</definedName>
    <definedName name="termino" localSheetId="20">#REF!</definedName>
    <definedName name="termino" localSheetId="24">#REF!</definedName>
    <definedName name="termino" localSheetId="25">#REF!</definedName>
    <definedName name="termino">#REF!</definedName>
    <definedName name="Tf" localSheetId="19">#REF!</definedName>
    <definedName name="Tf" localSheetId="20">#REF!</definedName>
    <definedName name="Tf" localSheetId="22">#REF!</definedName>
    <definedName name="Tf" localSheetId="23">#REF!</definedName>
    <definedName name="Tf" localSheetId="24">#REF!</definedName>
    <definedName name="Tf" localSheetId="25">#REF!</definedName>
    <definedName name="Tf">#REF!</definedName>
    <definedName name="TicketAyudante" localSheetId="20">#REF!</definedName>
    <definedName name="TicketAyudante" localSheetId="24">#REF!</definedName>
    <definedName name="TicketAyudante" localSheetId="25">#REF!</definedName>
    <definedName name="TicketAyudante">#REF!</definedName>
    <definedName name="TicketOficial" localSheetId="20">#REF!</definedName>
    <definedName name="TicketOficial" localSheetId="24">#REF!</definedName>
    <definedName name="TicketOficial" localSheetId="25">#REF!</definedName>
    <definedName name="TicketOficial">#REF!</definedName>
    <definedName name="TicketPerforador" localSheetId="20">#REF!</definedName>
    <definedName name="TicketPerforador" localSheetId="24">#REF!</definedName>
    <definedName name="TicketPerforador" localSheetId="25">#REF!</definedName>
    <definedName name="TicketPerforador">#REF!</definedName>
    <definedName name="TicketSupervisor" localSheetId="20">#REF!</definedName>
    <definedName name="TicketSupervisor" localSheetId="24">#REF!</definedName>
    <definedName name="TicketSupervisor" localSheetId="25">#REF!</definedName>
    <definedName name="TicketSupervisor">#REF!</definedName>
    <definedName name="TIME" localSheetId="20">#REF!</definedName>
    <definedName name="TIME" localSheetId="24">#REF!</definedName>
    <definedName name="TIME" localSheetId="25">#REF!</definedName>
    <definedName name="TIME">#REF!</definedName>
    <definedName name="TIME1" localSheetId="20">#REF!</definedName>
    <definedName name="TIME1" localSheetId="24">#REF!</definedName>
    <definedName name="TIME1" localSheetId="25">#REF!</definedName>
    <definedName name="TIME1">#REF!</definedName>
    <definedName name="TINC" localSheetId="20">#REF!</definedName>
    <definedName name="TINC" localSheetId="24">#REF!</definedName>
    <definedName name="TINC" localSheetId="25">#REF!</definedName>
    <definedName name="TINC">#REF!</definedName>
    <definedName name="TINT" localSheetId="20">#REF!</definedName>
    <definedName name="TINT" localSheetId="24">#REF!</definedName>
    <definedName name="TINT" localSheetId="25">#REF!</definedName>
    <definedName name="TINT">#REF!</definedName>
    <definedName name="Tipo_Insumos">[34]Validaciones!$B$69:$B$73</definedName>
    <definedName name="TIT_POZOS_PETROLIFEROS" localSheetId="20">#REF!</definedName>
    <definedName name="TIT_POZOS_PETROLIFEROS" localSheetId="24">#REF!</definedName>
    <definedName name="TIT_POZOS_PETROLIFEROS" localSheetId="25">#REF!</definedName>
    <definedName name="TIT_POZOS_PETROLIFEROS">#REF!</definedName>
    <definedName name="Titulo" localSheetId="19">#REF!</definedName>
    <definedName name="Titulo" localSheetId="20">#REF!</definedName>
    <definedName name="Titulo" localSheetId="22">#REF!</definedName>
    <definedName name="Titulo" localSheetId="24">#REF!</definedName>
    <definedName name="Titulo" localSheetId="25">#REF!</definedName>
    <definedName name="Titulo">#REF!</definedName>
    <definedName name="Título" localSheetId="20">#REF!</definedName>
    <definedName name="Título" localSheetId="24">#REF!</definedName>
    <definedName name="Título" localSheetId="25">#REF!</definedName>
    <definedName name="Título">#REF!</definedName>
    <definedName name="Titulo_1" localSheetId="19">#REF!</definedName>
    <definedName name="Titulo_1" localSheetId="20">#REF!</definedName>
    <definedName name="Titulo_1" localSheetId="22">#REF!</definedName>
    <definedName name="Titulo_1" localSheetId="24">#REF!</definedName>
    <definedName name="Titulo_1" localSheetId="25">#REF!</definedName>
    <definedName name="Titulo_1">#REF!</definedName>
    <definedName name="Torque" localSheetId="20">#REF!</definedName>
    <definedName name="Torque" localSheetId="24">#REF!</definedName>
    <definedName name="Torque" localSheetId="25">#REF!</definedName>
    <definedName name="Torque">#REF!</definedName>
    <definedName name="TOT_MES_ACTUAL_OIL" localSheetId="20">#REF!</definedName>
    <definedName name="TOT_MES_ACTUAL_OIL" localSheetId="24">#REF!</definedName>
    <definedName name="TOT_MES_ACTUAL_OIL" localSheetId="25">#REF!</definedName>
    <definedName name="TOT_MES_ACTUAL_OIL">#REF!</definedName>
    <definedName name="total" localSheetId="19">#REF!</definedName>
    <definedName name="total" localSheetId="20">#REF!</definedName>
    <definedName name="total" localSheetId="22">#REF!</definedName>
    <definedName name="total" localSheetId="24">#REF!</definedName>
    <definedName name="total" localSheetId="25">#REF!</definedName>
    <definedName name="total">#REF!</definedName>
    <definedName name="Total_Agua_OIL_Mes_Actual" localSheetId="20">#REF!</definedName>
    <definedName name="Total_Agua_OIL_Mes_Actual" localSheetId="24">#REF!</definedName>
    <definedName name="Total_Agua_OIL_Mes_Actual" localSheetId="25">#REF!</definedName>
    <definedName name="Total_Agua_OIL_Mes_Actual">#REF!</definedName>
    <definedName name="TOTAL_CENTENARIO__Field_Gas_Plant" localSheetId="20">#REF!</definedName>
    <definedName name="TOTAL_CENTENARIO__Field_Gas_Plant" localSheetId="24">#REF!</definedName>
    <definedName name="TOTAL_CENTENARIO__Field_Gas_Plant" localSheetId="25">#REF!</definedName>
    <definedName name="TOTAL_CENTENARIO__Field_Gas_Plant">#REF!</definedName>
    <definedName name="Total_Gas_Asoc_Mes_Actual" localSheetId="20">#REF!</definedName>
    <definedName name="Total_Gas_Asoc_Mes_Actual" localSheetId="24">#REF!</definedName>
    <definedName name="Total_Gas_Asoc_Mes_Actual" localSheetId="25">#REF!</definedName>
    <definedName name="Total_Gas_Asoc_Mes_Actual">#REF!</definedName>
    <definedName name="total1" localSheetId="19">#REF!</definedName>
    <definedName name="total1" localSheetId="20">#REF!</definedName>
    <definedName name="total1" localSheetId="22">#REF!</definedName>
    <definedName name="total1" localSheetId="24">#REF!</definedName>
    <definedName name="total1" localSheetId="25">#REF!</definedName>
    <definedName name="total1">#REF!</definedName>
    <definedName name="total10" localSheetId="19">#REF!</definedName>
    <definedName name="total10" localSheetId="20">#REF!</definedName>
    <definedName name="total10" localSheetId="22">#REF!</definedName>
    <definedName name="total10" localSheetId="24">#REF!</definedName>
    <definedName name="total10" localSheetId="25">#REF!</definedName>
    <definedName name="total10">#REF!</definedName>
    <definedName name="total2" localSheetId="19">#REF!</definedName>
    <definedName name="total2" localSheetId="20">#REF!</definedName>
    <definedName name="total2" localSheetId="22">#REF!</definedName>
    <definedName name="total2" localSheetId="24">#REF!</definedName>
    <definedName name="total2" localSheetId="25">#REF!</definedName>
    <definedName name="total2">#REF!</definedName>
    <definedName name="total3" localSheetId="19">#REF!</definedName>
    <definedName name="total3" localSheetId="20">#REF!</definedName>
    <definedName name="total3" localSheetId="22">#REF!</definedName>
    <definedName name="total3" localSheetId="24">#REF!</definedName>
    <definedName name="total3" localSheetId="25">#REF!</definedName>
    <definedName name="total3">#REF!</definedName>
    <definedName name="total4" localSheetId="19">#REF!</definedName>
    <definedName name="total4" localSheetId="20">#REF!</definedName>
    <definedName name="total4" localSheetId="22">#REF!</definedName>
    <definedName name="total4" localSheetId="24">#REF!</definedName>
    <definedName name="total4" localSheetId="25">#REF!</definedName>
    <definedName name="total4">#REF!</definedName>
    <definedName name="total5" localSheetId="19">#REF!</definedName>
    <definedName name="total5" localSheetId="20">#REF!</definedName>
    <definedName name="total5" localSheetId="22">#REF!</definedName>
    <definedName name="total5" localSheetId="24">#REF!</definedName>
    <definedName name="total5" localSheetId="25">#REF!</definedName>
    <definedName name="total5">#REF!</definedName>
    <definedName name="total6" localSheetId="19">#REF!</definedName>
    <definedName name="total6" localSheetId="20">#REF!</definedName>
    <definedName name="total6" localSheetId="22">#REF!</definedName>
    <definedName name="total6" localSheetId="24">#REF!</definedName>
    <definedName name="total6" localSheetId="25">#REF!</definedName>
    <definedName name="total6">#REF!</definedName>
    <definedName name="TOTALFAC" localSheetId="19">#REF!</definedName>
    <definedName name="TOTALFAC" localSheetId="20">#REF!</definedName>
    <definedName name="TOTALFAC" localSheetId="22">#REF!</definedName>
    <definedName name="TOTALFAC" localSheetId="24">#REF!</definedName>
    <definedName name="TOTALFAC" localSheetId="25">#REF!</definedName>
    <definedName name="TOTALFAC">#REF!</definedName>
    <definedName name="TP" localSheetId="20">#REF!</definedName>
    <definedName name="TP" localSheetId="24">#REF!</definedName>
    <definedName name="TP" localSheetId="25">#REF!</definedName>
    <definedName name="TP">#REF!</definedName>
    <definedName name="Trailer" localSheetId="20">#REF!</definedName>
    <definedName name="Trailer" localSheetId="24">#REF!</definedName>
    <definedName name="Trailer" localSheetId="25">#REF!</definedName>
    <definedName name="Trailer">#REF!</definedName>
    <definedName name="TSTN" localSheetId="20">#REF!</definedName>
    <definedName name="TSTN" localSheetId="24">#REF!</definedName>
    <definedName name="TSTN" localSheetId="25">#REF!</definedName>
    <definedName name="TSTN">#REF!</definedName>
    <definedName name="TSTT" localSheetId="20">#REF!</definedName>
    <definedName name="TSTT" localSheetId="24">#REF!</definedName>
    <definedName name="TSTT" localSheetId="25">#REF!</definedName>
    <definedName name="TSTT">#REF!</definedName>
    <definedName name="TT" localSheetId="20">#REF!</definedName>
    <definedName name="TT" localSheetId="24">#REF!</definedName>
    <definedName name="TT" localSheetId="25">#REF!</definedName>
    <definedName name="TT">#REF!</definedName>
    <definedName name="TUB" localSheetId="20">#REF!</definedName>
    <definedName name="TUB" localSheetId="24">#REF!</definedName>
    <definedName name="TUB" localSheetId="25">#REF!</definedName>
    <definedName name="TUB">#REF!</definedName>
    <definedName name="Turngas" localSheetId="20">#REF!</definedName>
    <definedName name="Turngas" localSheetId="24">#REF!</definedName>
    <definedName name="Turngas" localSheetId="25">#REF!</definedName>
    <definedName name="Turngas">#REF!</definedName>
    <definedName name="Turnoil" localSheetId="20">#REF!</definedName>
    <definedName name="Turnoil" localSheetId="24">#REF!</definedName>
    <definedName name="Turnoil" localSheetId="25">#REF!</definedName>
    <definedName name="Turnoil">#REF!</definedName>
    <definedName name="type" localSheetId="20">#REF!</definedName>
    <definedName name="type" localSheetId="24">#REF!</definedName>
    <definedName name="type" localSheetId="25">#REF!</definedName>
    <definedName name="type">#REF!</definedName>
    <definedName name="UIB">[13]Data!$H$5</definedName>
    <definedName name="Unidadgor">[47]Datos!$H$50</definedName>
    <definedName name="UNION150" localSheetId="19">#REF!</definedName>
    <definedName name="UNION150" localSheetId="20">#REF!</definedName>
    <definedName name="UNION150" localSheetId="22">#REF!</definedName>
    <definedName name="UNION150" localSheetId="23">#REF!</definedName>
    <definedName name="UNION150" localSheetId="24">#REF!</definedName>
    <definedName name="UNION150" localSheetId="25">#REF!</definedName>
    <definedName name="UNION150">#REF!</definedName>
    <definedName name="UNIT" localSheetId="20">#REF!</definedName>
    <definedName name="UNIT" localSheetId="24">#REF!</definedName>
    <definedName name="UNIT" localSheetId="25">#REF!</definedName>
    <definedName name="UNIT">#REF!</definedName>
    <definedName name="UNITC" localSheetId="20">#REF!</definedName>
    <definedName name="UNITC" localSheetId="24">#REF!</definedName>
    <definedName name="UNITC" localSheetId="25">#REF!</definedName>
    <definedName name="UNITC">#REF!</definedName>
    <definedName name="UNITP" localSheetId="20">#REF!</definedName>
    <definedName name="UNITP" localSheetId="24">#REF!</definedName>
    <definedName name="UNITP" localSheetId="25">#REF!</definedName>
    <definedName name="UNITP">#REF!</definedName>
    <definedName name="UNITT" localSheetId="20">#REF!</definedName>
    <definedName name="UNITT" localSheetId="24">#REF!</definedName>
    <definedName name="UNITT" localSheetId="25">#REF!</definedName>
    <definedName name="UNITT">#REF!</definedName>
    <definedName name="UOCRA.DURACION" localSheetId="19">#REF!</definedName>
    <definedName name="UOCRA.DURACION" localSheetId="20">#REF!</definedName>
    <definedName name="UOCRA.DURACION" localSheetId="22">#REF!</definedName>
    <definedName name="UOCRA.DURACION" localSheetId="24">#REF!</definedName>
    <definedName name="UOCRA.DURACION" localSheetId="25">#REF!</definedName>
    <definedName name="UOCRA.DURACION">#REF!</definedName>
    <definedName name="UOCRA.MES" localSheetId="19">#REF!</definedName>
    <definedName name="UOCRA.MES" localSheetId="20">#REF!</definedName>
    <definedName name="UOCRA.MES" localSheetId="22">#REF!</definedName>
    <definedName name="UOCRA.MES" localSheetId="24">#REF!</definedName>
    <definedName name="UOCRA.MES" localSheetId="25">#REF!</definedName>
    <definedName name="UOCRA.MES">#REF!</definedName>
    <definedName name="UOCRA.ZONA" localSheetId="19">#REF!</definedName>
    <definedName name="UOCRA.ZONA" localSheetId="20">#REF!</definedName>
    <definedName name="UOCRA.ZONA" localSheetId="22">#REF!</definedName>
    <definedName name="UOCRA.ZONA" localSheetId="24">#REF!</definedName>
    <definedName name="UOCRA.ZONA" localSheetId="25">#REF!</definedName>
    <definedName name="UOCRA.ZONA">#REF!</definedName>
    <definedName name="UTS">[13]Data!$K$14</definedName>
    <definedName name="uu" localSheetId="16">'2.IER'!uu</definedName>
    <definedName name="uu" localSheetId="17">'3.CLN'!uu</definedName>
    <definedName name="uu" localSheetId="19">'4.IM'!uu</definedName>
    <definedName name="uu" localSheetId="20">'5.L'!uu</definedName>
    <definedName name="uu" localSheetId="22">'5.LI'!uu</definedName>
    <definedName name="uu" localSheetId="23">'6.MBD'!uu</definedName>
    <definedName name="uu" localSheetId="24">'7.II'!uu</definedName>
    <definedName name="uu" localSheetId="25">'8.- Servicio contratado'!uu</definedName>
    <definedName name="uu">[0]!uu</definedName>
    <definedName name="V0" localSheetId="20">#REF!</definedName>
    <definedName name="V0" localSheetId="24">#REF!</definedName>
    <definedName name="V0" localSheetId="25">#REF!</definedName>
    <definedName name="V0">#REF!</definedName>
    <definedName name="varios" localSheetId="20">#REF!</definedName>
    <definedName name="varios" localSheetId="24">#REF!</definedName>
    <definedName name="varios" localSheetId="25">#REF!</definedName>
    <definedName name="varios">#REF!</definedName>
    <definedName name="Vehiculos">[8]Veh!$A$6:$A$23</definedName>
    <definedName name="Vehículos" localSheetId="20">#REF!</definedName>
    <definedName name="Vehículos" localSheetId="24">#REF!</definedName>
    <definedName name="Vehículos" localSheetId="25">#REF!</definedName>
    <definedName name="Vehículos">#REF!</definedName>
    <definedName name="Vestimenta" localSheetId="20">#REF!</definedName>
    <definedName name="Vestimenta" localSheetId="24">#REF!</definedName>
    <definedName name="Vestimenta" localSheetId="25">#REF!</definedName>
    <definedName name="Vestimenta">#REF!</definedName>
    <definedName name="VfluidC">[17]Datos!$F$62</definedName>
    <definedName name="VgasC" localSheetId="20">#REF!</definedName>
    <definedName name="VgasC" localSheetId="24">#REF!</definedName>
    <definedName name="VgasC" localSheetId="25">#REF!</definedName>
    <definedName name="VgasC">#REF!</definedName>
    <definedName name="Viandas" localSheetId="20">#REF!</definedName>
    <definedName name="Viandas" localSheetId="24">#REF!</definedName>
    <definedName name="Viandas" localSheetId="25">#REF!</definedName>
    <definedName name="Viandas">#REF!</definedName>
    <definedName name="VInjecC">[17]Datos!$F$66</definedName>
    <definedName name="VM" localSheetId="20">#REF!</definedName>
    <definedName name="VM" localSheetId="24">#REF!</definedName>
    <definedName name="VM" localSheetId="25">#REF!</definedName>
    <definedName name="VM">#REF!</definedName>
    <definedName name="VnpozosC">[17]Datos!$F$72</definedName>
    <definedName name="VoilC" localSheetId="20">#REF!</definedName>
    <definedName name="VoilC" localSheetId="24">#REF!</definedName>
    <definedName name="VoilC" localSheetId="25">#REF!</definedName>
    <definedName name="VoilC">#REF!</definedName>
    <definedName name="vp">[13]Data!$H$16</definedName>
    <definedName name="VwatC" localSheetId="20">[17]Datos!#REF!</definedName>
    <definedName name="VwatC" localSheetId="24">[17]Datos!#REF!</definedName>
    <definedName name="VwatC" localSheetId="25">[17]Datos!#REF!</definedName>
    <definedName name="VwatC">[17]Datos!#REF!</definedName>
    <definedName name="VwellC" localSheetId="20">#REF!</definedName>
    <definedName name="VwellC" localSheetId="24">#REF!</definedName>
    <definedName name="VwellC" localSheetId="25">#REF!</definedName>
    <definedName name="VwellC">#REF!</definedName>
    <definedName name="wc">[13]Data!$D$15</definedName>
    <definedName name="WCOM" localSheetId="20">#REF!</definedName>
    <definedName name="WCOM" localSheetId="24">#REF!</definedName>
    <definedName name="WCOM" localSheetId="25">#REF!</definedName>
    <definedName name="WCOM">#REF!</definedName>
    <definedName name="WCOM1" localSheetId="20">#REF!</definedName>
    <definedName name="WCOM1" localSheetId="24">#REF!</definedName>
    <definedName name="WCOM1" localSheetId="25">#REF!</definedName>
    <definedName name="WCOM1">#REF!</definedName>
    <definedName name="WELL" localSheetId="20">#REF!</definedName>
    <definedName name="WELL" localSheetId="24">#REF!</definedName>
    <definedName name="WELL" localSheetId="25">#REF!</definedName>
    <definedName name="WELL">#REF!</definedName>
    <definedName name="WF" localSheetId="20">#REF!</definedName>
    <definedName name="WF" localSheetId="24">#REF!</definedName>
    <definedName name="WF" localSheetId="25">#REF!</definedName>
    <definedName name="WF">#REF!</definedName>
    <definedName name="Winterest" localSheetId="20">#REF!</definedName>
    <definedName name="Winterest" localSheetId="24">#REF!</definedName>
    <definedName name="Winterest" localSheetId="25">#REF!</definedName>
    <definedName name="Winterest">#REF!</definedName>
    <definedName name="wrn.COMPUMAT." localSheetId="16" hidden="1">{#N/A,#N/A,FALSE,"SERIE_150";#N/A,#N/A,FALSE,"SERIE_600 "}</definedName>
    <definedName name="wrn.COMPUMAT." localSheetId="17" hidden="1">{#N/A,#N/A,FALSE,"SERIE_150";#N/A,#N/A,FALSE,"SERIE_600 "}</definedName>
    <definedName name="wrn.COMPUMAT." localSheetId="19" hidden="1">{#N/A,#N/A,FALSE,"SERIE_150";#N/A,#N/A,FALSE,"SERIE_600 "}</definedName>
    <definedName name="wrn.COMPUMAT." localSheetId="20" hidden="1">{#N/A,#N/A,FALSE,"SERIE_150";#N/A,#N/A,FALSE,"SERIE_600 "}</definedName>
    <definedName name="wrn.COMPUMAT." localSheetId="22" hidden="1">{#N/A,#N/A,FALSE,"SERIE_150";#N/A,#N/A,FALSE,"SERIE_600 "}</definedName>
    <definedName name="wrn.COMPUMAT." localSheetId="23" hidden="1">{#N/A,#N/A,FALSE,"SERIE_150";#N/A,#N/A,FALSE,"SERIE_600 "}</definedName>
    <definedName name="wrn.COMPUMAT." localSheetId="24" hidden="1">{#N/A,#N/A,FALSE,"SERIE_150";#N/A,#N/A,FALSE,"SERIE_600 "}</definedName>
    <definedName name="wrn.COMPUMAT." localSheetId="25" hidden="1">{#N/A,#N/A,FALSE,"SERIE_150";#N/A,#N/A,FALSE,"SERIE_600 "}</definedName>
    <definedName name="wrn.COMPUMAT." hidden="1">{#N/A,#N/A,FALSE,"SERIE_150";#N/A,#N/A,FALSE,"SERIE_600 "}</definedName>
    <definedName name="wrn.INDIRECTOS." localSheetId="16" hidden="1">{#N/A,#N/A,FALSE,"FASE81";#N/A,#N/A,FALSE,"FASE83";#N/A,#N/A,FALSE,"FASE85"}</definedName>
    <definedName name="wrn.INDIRECTOS." localSheetId="17" hidden="1">{#N/A,#N/A,FALSE,"FASE81";#N/A,#N/A,FALSE,"FASE83";#N/A,#N/A,FALSE,"FASE85"}</definedName>
    <definedName name="wrn.INDIRECTOS." localSheetId="19" hidden="1">{#N/A,#N/A,FALSE,"FASE81";#N/A,#N/A,FALSE,"FASE83";#N/A,#N/A,FALSE,"FASE85"}</definedName>
    <definedName name="wrn.INDIRECTOS." localSheetId="20" hidden="1">{#N/A,#N/A,FALSE,"FASE81";#N/A,#N/A,FALSE,"FASE83";#N/A,#N/A,FALSE,"FASE85"}</definedName>
    <definedName name="wrn.INDIRECTOS." localSheetId="22" hidden="1">{#N/A,#N/A,FALSE,"FASE81";#N/A,#N/A,FALSE,"FASE83";#N/A,#N/A,FALSE,"FASE85"}</definedName>
    <definedName name="wrn.INDIRECTOS." localSheetId="23" hidden="1">{#N/A,#N/A,FALSE,"FASE81";#N/A,#N/A,FALSE,"FASE83";#N/A,#N/A,FALSE,"FASE85"}</definedName>
    <definedName name="wrn.INDIRECTOS." localSheetId="24" hidden="1">{#N/A,#N/A,FALSE,"FASE81";#N/A,#N/A,FALSE,"FASE83";#N/A,#N/A,FALSE,"FASE85"}</definedName>
    <definedName name="wrn.INDIRECTOS." localSheetId="25" hidden="1">{#N/A,#N/A,FALSE,"FASE81";#N/A,#N/A,FALSE,"FASE83";#N/A,#N/A,FALSE,"FASE85"}</definedName>
    <definedName name="wrn.INDIRECTOS." hidden="1">{#N/A,#N/A,FALSE,"FASE81";#N/A,#N/A,FALSE,"FASE83";#N/A,#N/A,FALSE,"FASE85"}</definedName>
    <definedName name="wrn.LISTADOC." localSheetId="16" hidden="1">{#N/A,#N/A,FALSE,"GENERAL";#N/A,#N/A,FALSE,"USP 1";#N/A,#N/A,FALSE,"USP 2";#N/A,#N/A,FALSE,"UTE"}</definedName>
    <definedName name="wrn.LISTADOC." localSheetId="17" hidden="1">{#N/A,#N/A,FALSE,"GENERAL";#N/A,#N/A,FALSE,"USP 1";#N/A,#N/A,FALSE,"USP 2";#N/A,#N/A,FALSE,"UTE"}</definedName>
    <definedName name="wrn.LISTADOC." localSheetId="19" hidden="1">{#N/A,#N/A,FALSE,"GENERAL";#N/A,#N/A,FALSE,"USP 1";#N/A,#N/A,FALSE,"USP 2";#N/A,#N/A,FALSE,"UTE"}</definedName>
    <definedName name="wrn.LISTADOC." localSheetId="20" hidden="1">{#N/A,#N/A,FALSE,"GENERAL";#N/A,#N/A,FALSE,"USP 1";#N/A,#N/A,FALSE,"USP 2";#N/A,#N/A,FALSE,"UTE"}</definedName>
    <definedName name="wrn.LISTADOC." localSheetId="22" hidden="1">{#N/A,#N/A,FALSE,"GENERAL";#N/A,#N/A,FALSE,"USP 1";#N/A,#N/A,FALSE,"USP 2";#N/A,#N/A,FALSE,"UTE"}</definedName>
    <definedName name="wrn.LISTADOC." localSheetId="23" hidden="1">{#N/A,#N/A,FALSE,"GENERAL";#N/A,#N/A,FALSE,"USP 1";#N/A,#N/A,FALSE,"USP 2";#N/A,#N/A,FALSE,"UTE"}</definedName>
    <definedName name="wrn.LISTADOC." localSheetId="24" hidden="1">{#N/A,#N/A,FALSE,"GENERAL";#N/A,#N/A,FALSE,"USP 1";#N/A,#N/A,FALSE,"USP 2";#N/A,#N/A,FALSE,"UTE"}</definedName>
    <definedName name="wrn.LISTADOC." localSheetId="25" hidden="1">{#N/A,#N/A,FALSE,"GENERAL";#N/A,#N/A,FALSE,"USP 1";#N/A,#N/A,FALSE,"USP 2";#N/A,#N/A,FALSE,"UTE"}</definedName>
    <definedName name="wrn.LISTADOC." hidden="1">{#N/A,#N/A,FALSE,"GENERAL";#N/A,#N/A,FALSE,"USP 1";#N/A,#N/A,FALSE,"USP 2";#N/A,#N/A,FALSE,"UTE"}</definedName>
    <definedName name="wrn.nnn." localSheetId="16" hidden="1">{#N/A,#N/A,FALSE,"RES-ANUAL";#N/A,#N/A,FALSE,"RES-CUENTA";#N/A,#N/A,FALSE,"AREA-RESP"}</definedName>
    <definedName name="wrn.nnn." localSheetId="17" hidden="1">{#N/A,#N/A,FALSE,"RES-ANUAL";#N/A,#N/A,FALSE,"RES-CUENTA";#N/A,#N/A,FALSE,"AREA-RESP"}</definedName>
    <definedName name="wrn.nnn." localSheetId="19" hidden="1">{#N/A,#N/A,FALSE,"RES-ANUAL";#N/A,#N/A,FALSE,"RES-CUENTA";#N/A,#N/A,FALSE,"AREA-RESP"}</definedName>
    <definedName name="wrn.nnn." localSheetId="20" hidden="1">{#N/A,#N/A,FALSE,"RES-ANUAL";#N/A,#N/A,FALSE,"RES-CUENTA";#N/A,#N/A,FALSE,"AREA-RESP"}</definedName>
    <definedName name="wrn.nnn." localSheetId="22" hidden="1">{#N/A,#N/A,FALSE,"RES-ANUAL";#N/A,#N/A,FALSE,"RES-CUENTA";#N/A,#N/A,FALSE,"AREA-RESP"}</definedName>
    <definedName name="wrn.nnn." localSheetId="23" hidden="1">{#N/A,#N/A,FALSE,"RES-ANUAL";#N/A,#N/A,FALSE,"RES-CUENTA";#N/A,#N/A,FALSE,"AREA-RESP"}</definedName>
    <definedName name="wrn.nnn." localSheetId="24" hidden="1">{#N/A,#N/A,FALSE,"RES-ANUAL";#N/A,#N/A,FALSE,"RES-CUENTA";#N/A,#N/A,FALSE,"AREA-RESP"}</definedName>
    <definedName name="wrn.nnn." localSheetId="25" hidden="1">{#N/A,#N/A,FALSE,"RES-ANUAL";#N/A,#N/A,FALSE,"RES-CUENTA";#N/A,#N/A,FALSE,"AREA-RESP"}</definedName>
    <definedName name="wrn.nnn." hidden="1">{#N/A,#N/A,FALSE,"RES-ANUAL";#N/A,#N/A,FALSE,"RES-CUENTA";#N/A,#N/A,FALSE,"AREA-RESP"}</definedName>
    <definedName name="wrn.pcinv96." localSheetId="16" hidden="1">{#N/A,#N/A,TRUE,"DESARROLLO";#N/A,#N/A,TRUE,"MANTENIMIENTO";#N/A,#N/A,TRUE,"MENSUAL";#N/A,#N/A,TRUE,"PORCUENTA";#N/A,#N/A,TRUE,"DETALLE"}</definedName>
    <definedName name="wrn.pcinv96." localSheetId="17" hidden="1">{#N/A,#N/A,TRUE,"DESARROLLO";#N/A,#N/A,TRUE,"MANTENIMIENTO";#N/A,#N/A,TRUE,"MENSUAL";#N/A,#N/A,TRUE,"PORCUENTA";#N/A,#N/A,TRUE,"DETALLE"}</definedName>
    <definedName name="wrn.pcinv96." localSheetId="19" hidden="1">{#N/A,#N/A,TRUE,"DESARROLLO";#N/A,#N/A,TRUE,"MANTENIMIENTO";#N/A,#N/A,TRUE,"MENSUAL";#N/A,#N/A,TRUE,"PORCUENTA";#N/A,#N/A,TRUE,"DETALLE"}</definedName>
    <definedName name="wrn.pcinv96." localSheetId="20" hidden="1">{#N/A,#N/A,TRUE,"DESARROLLO";#N/A,#N/A,TRUE,"MANTENIMIENTO";#N/A,#N/A,TRUE,"MENSUAL";#N/A,#N/A,TRUE,"PORCUENTA";#N/A,#N/A,TRUE,"DETALLE"}</definedName>
    <definedName name="wrn.pcinv96." localSheetId="22" hidden="1">{#N/A,#N/A,TRUE,"DESARROLLO";#N/A,#N/A,TRUE,"MANTENIMIENTO";#N/A,#N/A,TRUE,"MENSUAL";#N/A,#N/A,TRUE,"PORCUENTA";#N/A,#N/A,TRUE,"DETALLE"}</definedName>
    <definedName name="wrn.pcinv96." localSheetId="23" hidden="1">{#N/A,#N/A,TRUE,"DESARROLLO";#N/A,#N/A,TRUE,"MANTENIMIENTO";#N/A,#N/A,TRUE,"MENSUAL";#N/A,#N/A,TRUE,"PORCUENTA";#N/A,#N/A,TRUE,"DETALLE"}</definedName>
    <definedName name="wrn.pcinv96." localSheetId="24" hidden="1">{#N/A,#N/A,TRUE,"DESARROLLO";#N/A,#N/A,TRUE,"MANTENIMIENTO";#N/A,#N/A,TRUE,"MENSUAL";#N/A,#N/A,TRUE,"PORCUENTA";#N/A,#N/A,TRUE,"DETALLE"}</definedName>
    <definedName name="wrn.pcinv96." localSheetId="25" hidden="1">{#N/A,#N/A,TRUE,"DESARROLLO";#N/A,#N/A,TRUE,"MANTENIMIENTO";#N/A,#N/A,TRUE,"MENSUAL";#N/A,#N/A,TRUE,"PORCUENTA";#N/A,#N/A,TRUE,"DETALLE"}</definedName>
    <definedName name="wrn.pcinv96." hidden="1">{#N/A,#N/A,TRUE,"DESARROLLO";#N/A,#N/A,TRUE,"MANTENIMIENTO";#N/A,#N/A,TRUE,"MENSUAL";#N/A,#N/A,TRUE,"PORCUENTA";#N/A,#N/A,TRUE,"DETALLE"}</definedName>
    <definedName name="WSAL" localSheetId="20">#REF!</definedName>
    <definedName name="WSAL" localSheetId="24">#REF!</definedName>
    <definedName name="WSAL" localSheetId="25">#REF!</definedName>
    <definedName name="WSAL">#REF!</definedName>
    <definedName name="WTI_01">[16]Tablas!$E$4</definedName>
    <definedName name="WTI_02">[16]Tablas!$E$5</definedName>
    <definedName name="WTI_03">[16]Tablas!$E$6</definedName>
    <definedName name="WTI_04">[16]Tablas!$E$7</definedName>
    <definedName name="WTI_05">[16]Tablas!$E$8</definedName>
    <definedName name="WTI_06">[16]Tablas!$E$9</definedName>
    <definedName name="WTI_07">[16]Tablas!$E$10</definedName>
    <definedName name="WTI_08">[16]Tablas!$E$11</definedName>
    <definedName name="WTI_09">[16]Tablas!$E$12</definedName>
    <definedName name="WTI_10">[16]Tablas!$E$13</definedName>
    <definedName name="WTI_11">[16]Tablas!$E$14</definedName>
    <definedName name="WTI_12">[16]Tablas!$E$15</definedName>
    <definedName name="wtrhy" localSheetId="20">#REF!</definedName>
    <definedName name="wtrhy" localSheetId="24">#REF!</definedName>
    <definedName name="wtrhy" localSheetId="25">#REF!</definedName>
    <definedName name="wtrhy">#REF!</definedName>
    <definedName name="ww" localSheetId="19">#REF!</definedName>
    <definedName name="ww" localSheetId="20">#REF!</definedName>
    <definedName name="ww" localSheetId="22">#REF!</definedName>
    <definedName name="ww" localSheetId="23">#REF!</definedName>
    <definedName name="ww" localSheetId="24">#REF!</definedName>
    <definedName name="ww" localSheetId="25">#REF!</definedName>
    <definedName name="ww">#REF!</definedName>
    <definedName name="wwww" localSheetId="19">#REF!</definedName>
    <definedName name="wwww" localSheetId="20">#REF!</definedName>
    <definedName name="wwww" localSheetId="22">#REF!</definedName>
    <definedName name="wwww" localSheetId="23">#REF!</definedName>
    <definedName name="wwww" localSheetId="24">#REF!</definedName>
    <definedName name="wwww" localSheetId="25">#REF!</definedName>
    <definedName name="wwww">#REF!</definedName>
    <definedName name="X">'[25]500'!$A$1:$N$61</definedName>
    <definedName name="xxx" localSheetId="19">#REF!</definedName>
    <definedName name="xxx" localSheetId="20">#REF!</definedName>
    <definedName name="xxx" localSheetId="22">#REF!</definedName>
    <definedName name="xxx" localSheetId="23">#REF!</definedName>
    <definedName name="xxx" localSheetId="24">#REF!</definedName>
    <definedName name="xxx" localSheetId="25">#REF!</definedName>
    <definedName name="xxx">#REF!</definedName>
    <definedName name="xxxx" localSheetId="20">#REF!</definedName>
    <definedName name="xxxx" localSheetId="24">#REF!</definedName>
    <definedName name="xxxx" localSheetId="25">#REF!</definedName>
    <definedName name="xxxx">#REF!</definedName>
    <definedName name="Y" localSheetId="20">#REF!</definedName>
    <definedName name="Y" localSheetId="24">#REF!</definedName>
    <definedName name="Y" localSheetId="25">#REF!</definedName>
    <definedName name="Y">#REF!</definedName>
    <definedName name="Y_2" localSheetId="20">#REF!</definedName>
    <definedName name="Y_2" localSheetId="24">#REF!</definedName>
    <definedName name="Y_2" localSheetId="25">#REF!</definedName>
    <definedName name="Y_2">#REF!</definedName>
    <definedName name="YACI" localSheetId="20">#REF!</definedName>
    <definedName name="YACI" localSheetId="24">#REF!</definedName>
    <definedName name="YACI" localSheetId="25">#REF!</definedName>
    <definedName name="YACI">#REF!</definedName>
    <definedName name="Yacimiento">[29]Hoja1!$B$57:$B$65</definedName>
    <definedName name="yak" localSheetId="20">#REF!</definedName>
    <definedName name="yak" localSheetId="24">#REF!</definedName>
    <definedName name="yak" localSheetId="25">#REF!</definedName>
    <definedName name="yak">#REF!</definedName>
    <definedName name="yar" localSheetId="20">#REF!</definedName>
    <definedName name="yar" localSheetId="24">#REF!</definedName>
    <definedName name="yar" localSheetId="25">#REF!</definedName>
    <definedName name="yar">#REF!</definedName>
    <definedName name="Yes_No">'[19]Coef.'!$J$112:$J$113</definedName>
    <definedName name="Z" localSheetId="19">#REF!</definedName>
    <definedName name="Z" localSheetId="20">#REF!</definedName>
    <definedName name="Z" localSheetId="22">#REF!</definedName>
    <definedName name="Z" localSheetId="23">#REF!</definedName>
    <definedName name="Z" localSheetId="24">#REF!</definedName>
    <definedName name="Z" localSheetId="25">#REF!</definedName>
    <definedName name="Z">#REF!</definedName>
    <definedName name="zagz" localSheetId="20">#REF!</definedName>
    <definedName name="zagz" localSheetId="24">#REF!</definedName>
    <definedName name="zagz" localSheetId="25">#REF!</definedName>
    <definedName name="zagz">#REF!</definedName>
    <definedName name="ZAP" localSheetId="20">#REF!</definedName>
    <definedName name="ZAP" localSheetId="24">#REF!</definedName>
    <definedName name="ZAP" localSheetId="25">#REF!</definedName>
    <definedName name="ZAP">#REF!</definedName>
    <definedName name="Zb" localSheetId="19">#REF!</definedName>
    <definedName name="Zb" localSheetId="20">#REF!</definedName>
    <definedName name="Zb" localSheetId="22">#REF!</definedName>
    <definedName name="Zb" localSheetId="23">#REF!</definedName>
    <definedName name="Zb" localSheetId="24">#REF!</definedName>
    <definedName name="Zb" localSheetId="25">#REF!</definedName>
    <definedName name="Zb">#REF!</definedName>
    <definedName name="zdgjzfg" localSheetId="20">#REF!</definedName>
    <definedName name="zdgjzfg" localSheetId="24">#REF!</definedName>
    <definedName name="zdgjzfg" localSheetId="25">#REF!</definedName>
    <definedName name="zdgjzfg">#REF!</definedName>
    <definedName name="Zona">[34]Validaciones!$B$51:$B$57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34" l="1"/>
  <c r="M13" i="34"/>
  <c r="K13" i="34"/>
  <c r="G21" i="6"/>
  <c r="G18" i="6"/>
  <c r="J15" i="29"/>
  <c r="J14" i="29"/>
  <c r="E13" i="37"/>
  <c r="K10" i="34"/>
  <c r="L10" i="34"/>
  <c r="J10" i="34"/>
  <c r="D4" i="49"/>
  <c r="D5" i="49"/>
  <c r="D6" i="49"/>
  <c r="D7" i="49"/>
  <c r="D8" i="49"/>
  <c r="D9" i="49"/>
  <c r="D10" i="49"/>
  <c r="D11" i="49"/>
  <c r="D12" i="49"/>
  <c r="D13" i="49"/>
  <c r="D14" i="49"/>
  <c r="D15" i="49"/>
  <c r="D16" i="49"/>
  <c r="D17" i="49"/>
  <c r="D18" i="49"/>
  <c r="D19" i="49"/>
  <c r="D20" i="49"/>
  <c r="D21" i="49"/>
  <c r="D22" i="49"/>
  <c r="D23" i="49"/>
  <c r="D24" i="49"/>
  <c r="D25" i="49"/>
  <c r="D3" i="49"/>
  <c r="C4" i="49"/>
  <c r="C5" i="49"/>
  <c r="C6" i="49"/>
  <c r="C7" i="49"/>
  <c r="C8" i="49"/>
  <c r="C9" i="49"/>
  <c r="C10" i="49"/>
  <c r="C11" i="49"/>
  <c r="C12" i="49"/>
  <c r="C13" i="49"/>
  <c r="C14" i="49"/>
  <c r="C15" i="49"/>
  <c r="C16" i="49"/>
  <c r="C17" i="49"/>
  <c r="C18" i="49"/>
  <c r="C19" i="49"/>
  <c r="C20" i="49"/>
  <c r="C21" i="49"/>
  <c r="C22" i="49"/>
  <c r="C23" i="49"/>
  <c r="C24" i="49"/>
  <c r="C25" i="49"/>
  <c r="C3" i="49"/>
  <c r="E8" i="35"/>
  <c r="E9" i="35"/>
  <c r="E11" i="35"/>
  <c r="E12" i="35"/>
  <c r="E13" i="35"/>
  <c r="E14" i="35"/>
  <c r="E15" i="35"/>
  <c r="E16" i="35"/>
  <c r="E17" i="35"/>
  <c r="E18" i="35"/>
  <c r="E19" i="35"/>
  <c r="E20" i="35"/>
  <c r="E21" i="35"/>
  <c r="E22" i="35"/>
  <c r="E23" i="35"/>
  <c r="E24" i="35"/>
  <c r="E25" i="35"/>
  <c r="E26" i="35"/>
  <c r="E27" i="35"/>
  <c r="E28" i="35"/>
  <c r="E29" i="35"/>
  <c r="E7" i="35"/>
  <c r="I32" i="6"/>
  <c r="H32" i="6"/>
  <c r="H20" i="6"/>
  <c r="O40" i="29"/>
  <c r="O41" i="29" s="1"/>
  <c r="O39" i="29"/>
  <c r="O36" i="29"/>
  <c r="O33" i="29"/>
  <c r="O30" i="29"/>
  <c r="O31" i="29" s="1"/>
  <c r="O32" i="29" s="1"/>
  <c r="Q19" i="37" l="1"/>
  <c r="P19" i="37"/>
  <c r="O18" i="37"/>
  <c r="N18" i="37"/>
  <c r="N17" i="37"/>
  <c r="Q16" i="37"/>
  <c r="P16" i="37"/>
  <c r="C9" i="31"/>
  <c r="C8" i="31"/>
  <c r="C7" i="31"/>
  <c r="C6" i="31"/>
  <c r="C5" i="31"/>
  <c r="C4" i="31"/>
  <c r="C3" i="31"/>
  <c r="P11" i="26"/>
  <c r="O11" i="26"/>
  <c r="P17" i="37" l="1"/>
  <c r="O17" i="37"/>
  <c r="N19" i="37"/>
  <c r="O19" i="37"/>
  <c r="P18" i="37"/>
  <c r="Q18" i="37"/>
  <c r="Q17" i="37"/>
  <c r="N16" i="37"/>
  <c r="O16" i="37"/>
  <c r="Y10" i="26"/>
  <c r="J3" i="36" l="1"/>
  <c r="J4" i="36"/>
  <c r="J5" i="36"/>
  <c r="J6" i="36"/>
  <c r="J7" i="36"/>
  <c r="J8" i="36"/>
  <c r="J9" i="36"/>
  <c r="J10" i="36"/>
  <c r="J11" i="36"/>
  <c r="J12" i="36"/>
  <c r="J13" i="36"/>
  <c r="J14" i="36"/>
  <c r="J15" i="36"/>
  <c r="J16" i="36"/>
  <c r="J17" i="36"/>
  <c r="J18" i="36"/>
  <c r="J19" i="36"/>
  <c r="J20" i="36"/>
  <c r="J21" i="36"/>
  <c r="J22" i="36"/>
  <c r="J23" i="36"/>
  <c r="J24" i="36"/>
  <c r="J2" i="36"/>
  <c r="D26" i="48"/>
  <c r="D25" i="48"/>
  <c r="D24" i="48"/>
  <c r="D23" i="48"/>
  <c r="D22" i="48"/>
  <c r="D21" i="48"/>
  <c r="D20" i="48"/>
  <c r="D19" i="48"/>
  <c r="D18" i="48"/>
  <c r="D17" i="48"/>
  <c r="D16" i="48"/>
  <c r="D15" i="48"/>
  <c r="D14" i="48"/>
  <c r="D13" i="48"/>
  <c r="D12" i="48"/>
  <c r="D11" i="48"/>
  <c r="D10" i="48"/>
  <c r="D9" i="48"/>
  <c r="D8" i="48"/>
  <c r="D6" i="48"/>
  <c r="L21" i="17" l="1"/>
  <c r="S20" i="38"/>
  <c r="N31" i="36" l="1"/>
  <c r="O31" i="36"/>
  <c r="R31" i="36"/>
  <c r="N32" i="36"/>
  <c r="O32" i="36"/>
  <c r="R32" i="36"/>
  <c r="N33" i="36"/>
  <c r="O33" i="36"/>
  <c r="R33" i="36"/>
  <c r="N34" i="36"/>
  <c r="O34" i="36"/>
  <c r="R34" i="36"/>
  <c r="N35" i="36"/>
  <c r="O35" i="36"/>
  <c r="R35" i="36"/>
  <c r="N36" i="36"/>
  <c r="O36" i="36"/>
  <c r="R36" i="36"/>
  <c r="N37" i="36"/>
  <c r="O37" i="36"/>
  <c r="R37" i="36"/>
  <c r="O30" i="36"/>
  <c r="R30" i="36"/>
  <c r="N30" i="36"/>
  <c r="R29" i="36"/>
  <c r="R28" i="36"/>
  <c r="M29" i="36"/>
  <c r="M28" i="36"/>
  <c r="U1" i="36" l="1"/>
  <c r="K2" i="29"/>
  <c r="K1" i="29"/>
  <c r="M3" i="36"/>
  <c r="M4" i="36"/>
  <c r="M5" i="36"/>
  <c r="M6" i="36"/>
  <c r="M7" i="36"/>
  <c r="M8" i="36"/>
  <c r="M9" i="36"/>
  <c r="M10" i="36"/>
  <c r="M12" i="36"/>
  <c r="M13" i="36"/>
  <c r="M14" i="36"/>
  <c r="M15" i="36"/>
  <c r="M16" i="36"/>
  <c r="M17" i="36"/>
  <c r="M18" i="36"/>
  <c r="M19" i="36"/>
  <c r="M20" i="36"/>
  <c r="M21" i="36"/>
  <c r="M22" i="36"/>
  <c r="M23" i="36"/>
  <c r="M24" i="36"/>
  <c r="M2" i="36"/>
  <c r="H9" i="43"/>
  <c r="J7" i="43"/>
  <c r="D5" i="43"/>
  <c r="D4" i="43"/>
  <c r="H20" i="43"/>
  <c r="G19" i="43"/>
  <c r="H19" i="43" s="1"/>
  <c r="G18" i="43"/>
  <c r="H18" i="43" s="1"/>
  <c r="H21" i="43" s="1"/>
  <c r="I15" i="43"/>
  <c r="H15" i="43"/>
  <c r="G15" i="43"/>
  <c r="J21" i="43" l="1"/>
  <c r="H23" i="43"/>
  <c r="F15" i="43" s="1"/>
  <c r="J15" i="43" s="1"/>
  <c r="F3" i="43" l="1"/>
  <c r="G5" i="42"/>
  <c r="G3" i="42"/>
  <c r="D46" i="6"/>
  <c r="D44" i="6"/>
  <c r="D40" i="6" l="1"/>
  <c r="D35" i="6"/>
  <c r="G2" i="36" l="1"/>
  <c r="X1" i="36"/>
  <c r="E8" i="36"/>
  <c r="E6" i="36"/>
  <c r="E7" i="36"/>
  <c r="E15" i="36"/>
  <c r="E20" i="36"/>
  <c r="E21" i="36"/>
  <c r="E23" i="36"/>
  <c r="E24" i="36"/>
  <c r="L28" i="36" l="1"/>
  <c r="L29" i="36"/>
  <c r="O29" i="36"/>
  <c r="O28" i="36"/>
  <c r="L20" i="36"/>
  <c r="O20" i="36" s="1"/>
  <c r="N20" i="36"/>
  <c r="L15" i="36"/>
  <c r="O15" i="36" s="1"/>
  <c r="N15" i="36"/>
  <c r="L7" i="36"/>
  <c r="O7" i="36" s="1"/>
  <c r="N7" i="36"/>
  <c r="L6" i="36"/>
  <c r="O6" i="36" s="1"/>
  <c r="N6" i="36"/>
  <c r="L21" i="36"/>
  <c r="O21" i="36" s="1"/>
  <c r="N21" i="36"/>
  <c r="L8" i="36"/>
  <c r="O8" i="36" s="1"/>
  <c r="N8" i="36"/>
  <c r="L24" i="36"/>
  <c r="O24" i="36" s="1"/>
  <c r="N24" i="36"/>
  <c r="O11" i="36"/>
  <c r="N11" i="36"/>
  <c r="L23" i="36"/>
  <c r="O23" i="36" s="1"/>
  <c r="N23" i="36"/>
  <c r="E13" i="36"/>
  <c r="E5" i="36"/>
  <c r="E19" i="36"/>
  <c r="E18" i="36"/>
  <c r="E10" i="36"/>
  <c r="E3" i="36"/>
  <c r="E12" i="36"/>
  <c r="E4" i="36"/>
  <c r="E22" i="36"/>
  <c r="E17" i="36"/>
  <c r="E9" i="36"/>
  <c r="E14" i="36"/>
  <c r="E2" i="36"/>
  <c r="E16" i="36"/>
  <c r="K26" i="36"/>
  <c r="F32" i="6"/>
  <c r="F31" i="6"/>
  <c r="L16" i="36" l="1"/>
  <c r="O16" i="36" s="1"/>
  <c r="N16" i="36"/>
  <c r="L2" i="36"/>
  <c r="O2" i="36" s="1"/>
  <c r="N2" i="36"/>
  <c r="L10" i="36"/>
  <c r="O10" i="36" s="1"/>
  <c r="N10" i="36"/>
  <c r="L3" i="36"/>
  <c r="O3" i="36" s="1"/>
  <c r="N3" i="36"/>
  <c r="L14" i="36"/>
  <c r="O14" i="36" s="1"/>
  <c r="N14" i="36"/>
  <c r="L18" i="36"/>
  <c r="O18" i="36" s="1"/>
  <c r="N18" i="36"/>
  <c r="L19" i="36"/>
  <c r="O19" i="36" s="1"/>
  <c r="N19" i="36"/>
  <c r="L5" i="36"/>
  <c r="O5" i="36" s="1"/>
  <c r="N5" i="36"/>
  <c r="L17" i="36"/>
  <c r="O17" i="36" s="1"/>
  <c r="N17" i="36"/>
  <c r="L22" i="36"/>
  <c r="O22" i="36" s="1"/>
  <c r="N22" i="36"/>
  <c r="L13" i="36"/>
  <c r="O13" i="36" s="1"/>
  <c r="N13" i="36"/>
  <c r="L4" i="36"/>
  <c r="O4" i="36" s="1"/>
  <c r="N4" i="36"/>
  <c r="L9" i="36"/>
  <c r="O9" i="36" s="1"/>
  <c r="N9" i="36"/>
  <c r="L12" i="36"/>
  <c r="O12" i="36" s="1"/>
  <c r="N12" i="36"/>
  <c r="AM10" i="37"/>
  <c r="F6" i="42"/>
  <c r="H2" i="37" l="1"/>
  <c r="J2" i="37" s="1"/>
  <c r="G16" i="36"/>
  <c r="G21" i="36"/>
  <c r="G5" i="36"/>
  <c r="G4" i="36"/>
  <c r="H2" i="36"/>
  <c r="I2" i="36" s="1"/>
  <c r="G10" i="36"/>
  <c r="G9" i="36"/>
  <c r="G18" i="36"/>
  <c r="G22" i="36"/>
  <c r="H11" i="29" l="1"/>
  <c r="H13" i="29"/>
  <c r="H10" i="29" l="1"/>
  <c r="H12" i="29"/>
  <c r="H17" i="29"/>
  <c r="H16" i="29"/>
  <c r="H14" i="29"/>
  <c r="H15" i="29"/>
  <c r="U9" i="36"/>
  <c r="T4" i="36"/>
  <c r="U4" i="36" s="1"/>
  <c r="T3" i="36"/>
  <c r="U3" i="36" s="1"/>
  <c r="T11" i="36"/>
  <c r="U11" i="36" s="1"/>
  <c r="T12" i="36"/>
  <c r="U12" i="36" s="1"/>
  <c r="O13" i="29"/>
  <c r="J17" i="29" l="1"/>
  <c r="Q17" i="29"/>
  <c r="C4" i="43"/>
  <c r="F4" i="43"/>
  <c r="F5" i="43" s="1"/>
  <c r="E4" i="43" l="1"/>
  <c r="C6" i="43"/>
  <c r="E6" i="43" s="1"/>
  <c r="H6" i="43"/>
  <c r="C5" i="43"/>
  <c r="E5" i="43" s="1"/>
  <c r="G5" i="43" s="1"/>
  <c r="H5" i="43" s="1"/>
  <c r="G4" i="43"/>
  <c r="H4" i="43" s="1"/>
  <c r="E7" i="43"/>
  <c r="E8" i="43" s="1"/>
  <c r="E3" i="43"/>
  <c r="O11" i="29"/>
  <c r="O12" i="29"/>
  <c r="O14" i="29"/>
  <c r="O15" i="29"/>
  <c r="O16" i="29"/>
  <c r="O17" i="29"/>
  <c r="O10" i="29"/>
  <c r="AD2" i="36"/>
  <c r="AE2" i="36" s="1"/>
  <c r="AA3" i="36"/>
  <c r="AA4" i="36"/>
  <c r="AA5" i="36"/>
  <c r="AA6" i="36"/>
  <c r="AA7" i="36"/>
  <c r="AA8" i="36"/>
  <c r="AA9" i="36"/>
  <c r="AA10" i="36"/>
  <c r="AA11" i="36"/>
  <c r="AA12" i="36"/>
  <c r="AA13" i="36"/>
  <c r="AA14" i="36"/>
  <c r="AA15" i="36"/>
  <c r="AA16" i="36"/>
  <c r="AA17" i="36"/>
  <c r="AA18" i="36"/>
  <c r="AA19" i="36"/>
  <c r="AA20" i="36"/>
  <c r="AA21" i="36"/>
  <c r="AA22" i="36"/>
  <c r="AA23" i="36"/>
  <c r="AA24" i="36"/>
  <c r="AA2" i="36"/>
  <c r="Z2" i="36"/>
  <c r="Z3" i="36"/>
  <c r="Z4" i="36"/>
  <c r="Z5" i="36"/>
  <c r="Z6" i="36"/>
  <c r="Z7" i="36"/>
  <c r="Z8" i="36"/>
  <c r="Z9" i="36"/>
  <c r="Z10" i="36"/>
  <c r="Z11" i="36"/>
  <c r="Z12" i="36"/>
  <c r="Z13" i="36"/>
  <c r="Z14" i="36"/>
  <c r="Z15" i="36"/>
  <c r="Z16" i="36"/>
  <c r="Z17" i="36"/>
  <c r="Z18" i="36"/>
  <c r="Z19" i="36"/>
  <c r="Z20" i="36"/>
  <c r="Z21" i="36"/>
  <c r="Z22" i="36"/>
  <c r="Z23" i="36"/>
  <c r="Z24" i="36"/>
  <c r="M4" i="41"/>
  <c r="M12" i="41"/>
  <c r="M20" i="41"/>
  <c r="M28" i="41"/>
  <c r="M36" i="41"/>
  <c r="M44" i="41"/>
  <c r="M52" i="41"/>
  <c r="M60" i="41"/>
  <c r="M68" i="41"/>
  <c r="M76" i="41"/>
  <c r="M84" i="41"/>
  <c r="M92" i="41"/>
  <c r="M100" i="41"/>
  <c r="M106" i="41"/>
  <c r="M107" i="41"/>
  <c r="M108" i="41"/>
  <c r="M115" i="41"/>
  <c r="M3" i="41"/>
  <c r="G6" i="42"/>
  <c r="G4" i="42"/>
  <c r="B168" i="41"/>
  <c r="C168" i="41" s="1"/>
  <c r="J3" i="41"/>
  <c r="J4" i="41"/>
  <c r="J5" i="41"/>
  <c r="M5" i="41" s="1"/>
  <c r="J6" i="41"/>
  <c r="M6" i="41" s="1"/>
  <c r="J7" i="41"/>
  <c r="M7" i="41" s="1"/>
  <c r="J8" i="41"/>
  <c r="M8" i="41" s="1"/>
  <c r="J9" i="41"/>
  <c r="M9" i="41" s="1"/>
  <c r="J10" i="41"/>
  <c r="M10" i="41" s="1"/>
  <c r="J11" i="41"/>
  <c r="M11" i="41" s="1"/>
  <c r="J12" i="41"/>
  <c r="J13" i="41"/>
  <c r="M13" i="41" s="1"/>
  <c r="J14" i="41"/>
  <c r="M14" i="41" s="1"/>
  <c r="J15" i="41"/>
  <c r="M15" i="41" s="1"/>
  <c r="J16" i="41"/>
  <c r="M16" i="41" s="1"/>
  <c r="J17" i="41"/>
  <c r="M17" i="41" s="1"/>
  <c r="J18" i="41"/>
  <c r="M18" i="41" s="1"/>
  <c r="J19" i="41"/>
  <c r="M19" i="41" s="1"/>
  <c r="J20" i="41"/>
  <c r="J21" i="41"/>
  <c r="M21" i="41" s="1"/>
  <c r="J22" i="41"/>
  <c r="B159" i="41" s="1"/>
  <c r="C159" i="41" s="1"/>
  <c r="J23" i="41"/>
  <c r="M23" i="41" s="1"/>
  <c r="J24" i="41"/>
  <c r="M24" i="41" s="1"/>
  <c r="J25" i="41"/>
  <c r="M25" i="41" s="1"/>
  <c r="J26" i="41"/>
  <c r="M26" i="41" s="1"/>
  <c r="J27" i="41"/>
  <c r="M27" i="41" s="1"/>
  <c r="J28" i="41"/>
  <c r="J29" i="41"/>
  <c r="M29" i="41" s="1"/>
  <c r="J30" i="41"/>
  <c r="M30" i="41" s="1"/>
  <c r="J31" i="41"/>
  <c r="M31" i="41" s="1"/>
  <c r="J32" i="41"/>
  <c r="M32" i="41" s="1"/>
  <c r="J33" i="41"/>
  <c r="M33" i="41" s="1"/>
  <c r="J34" i="41"/>
  <c r="M34" i="41" s="1"/>
  <c r="J35" i="41"/>
  <c r="M35" i="41" s="1"/>
  <c r="J36" i="41"/>
  <c r="J37" i="41"/>
  <c r="M37" i="41" s="1"/>
  <c r="J38" i="41"/>
  <c r="M38" i="41" s="1"/>
  <c r="J39" i="41"/>
  <c r="M39" i="41" s="1"/>
  <c r="J40" i="41"/>
  <c r="M40" i="41" s="1"/>
  <c r="J41" i="41"/>
  <c r="M41" i="41" s="1"/>
  <c r="J42" i="41"/>
  <c r="M42" i="41" s="1"/>
  <c r="J43" i="41"/>
  <c r="M43" i="41" s="1"/>
  <c r="J44" i="41"/>
  <c r="J45" i="41"/>
  <c r="M45" i="41" s="1"/>
  <c r="J46" i="41"/>
  <c r="M46" i="41" s="1"/>
  <c r="J47" i="41"/>
  <c r="M47" i="41" s="1"/>
  <c r="J129" i="41"/>
  <c r="J106" i="41"/>
  <c r="J49" i="41"/>
  <c r="M49" i="41" s="1"/>
  <c r="J50" i="41"/>
  <c r="M50" i="41" s="1"/>
  <c r="J51" i="41"/>
  <c r="M51" i="41" s="1"/>
  <c r="J52" i="41"/>
  <c r="J53" i="41"/>
  <c r="M53" i="41" s="1"/>
  <c r="J54" i="41"/>
  <c r="M54" i="41" s="1"/>
  <c r="J55" i="41"/>
  <c r="M55" i="41" s="1"/>
  <c r="J56" i="41"/>
  <c r="M56" i="41" s="1"/>
  <c r="J57" i="41"/>
  <c r="M57" i="41" s="1"/>
  <c r="J58" i="41"/>
  <c r="M58" i="41" s="1"/>
  <c r="J59" i="41"/>
  <c r="M59" i="41" s="1"/>
  <c r="J60" i="41"/>
  <c r="J61" i="41"/>
  <c r="M61" i="41" s="1"/>
  <c r="J62" i="41"/>
  <c r="M62" i="41" s="1"/>
  <c r="J63" i="41"/>
  <c r="M63" i="41" s="1"/>
  <c r="J64" i="41"/>
  <c r="M64" i="41" s="1"/>
  <c r="J65" i="41"/>
  <c r="M65" i="41" s="1"/>
  <c r="J66" i="41"/>
  <c r="M66" i="41" s="1"/>
  <c r="J67" i="41"/>
  <c r="M67" i="41" s="1"/>
  <c r="J68" i="41"/>
  <c r="J69" i="41"/>
  <c r="M69" i="41" s="1"/>
  <c r="J70" i="41"/>
  <c r="M70" i="41" s="1"/>
  <c r="J71" i="41"/>
  <c r="M71" i="41" s="1"/>
  <c r="J72" i="41"/>
  <c r="M72" i="41" s="1"/>
  <c r="J73" i="41"/>
  <c r="M73" i="41" s="1"/>
  <c r="J74" i="41"/>
  <c r="M74" i="41" s="1"/>
  <c r="J75" i="41"/>
  <c r="M75" i="41" s="1"/>
  <c r="J76" i="41"/>
  <c r="J77" i="41"/>
  <c r="M77" i="41" s="1"/>
  <c r="J78" i="41"/>
  <c r="M78" i="41" s="1"/>
  <c r="J79" i="41"/>
  <c r="M79" i="41" s="1"/>
  <c r="J80" i="41"/>
  <c r="M80" i="41" s="1"/>
  <c r="J81" i="41"/>
  <c r="M81" i="41" s="1"/>
  <c r="J82" i="41"/>
  <c r="M82" i="41" s="1"/>
  <c r="J83" i="41"/>
  <c r="M83" i="41" s="1"/>
  <c r="J84" i="41"/>
  <c r="J85" i="41"/>
  <c r="M85" i="41" s="1"/>
  <c r="J86" i="41"/>
  <c r="M86" i="41" s="1"/>
  <c r="J87" i="41"/>
  <c r="M87" i="41" s="1"/>
  <c r="J88" i="41"/>
  <c r="M88" i="41" s="1"/>
  <c r="J89" i="41"/>
  <c r="M89" i="41" s="1"/>
  <c r="J90" i="41"/>
  <c r="M90" i="41" s="1"/>
  <c r="J91" i="41"/>
  <c r="M91" i="41" s="1"/>
  <c r="J92" i="41"/>
  <c r="J93" i="41"/>
  <c r="M93" i="41" s="1"/>
  <c r="J94" i="41"/>
  <c r="M94" i="41" s="1"/>
  <c r="J95" i="41"/>
  <c r="M95" i="41" s="1"/>
  <c r="J96" i="41"/>
  <c r="M96" i="41" s="1"/>
  <c r="J97" i="41"/>
  <c r="M97" i="41" s="1"/>
  <c r="J98" i="41"/>
  <c r="M98" i="41" s="1"/>
  <c r="J99" i="41"/>
  <c r="M99" i="41" s="1"/>
  <c r="J100" i="41"/>
  <c r="J101" i="41"/>
  <c r="M101" i="41" s="1"/>
  <c r="J102" i="41"/>
  <c r="M102" i="41" s="1"/>
  <c r="J103" i="41"/>
  <c r="M103" i="41" s="1"/>
  <c r="J104" i="41"/>
  <c r="M104" i="41" s="1"/>
  <c r="J105" i="41"/>
  <c r="B163" i="41" s="1"/>
  <c r="C163" i="41" s="1"/>
  <c r="J107" i="41"/>
  <c r="J108" i="41"/>
  <c r="B165" i="41" s="1"/>
  <c r="C165" i="41" s="1"/>
  <c r="J109" i="41"/>
  <c r="M109" i="41" s="1"/>
  <c r="J110" i="41"/>
  <c r="M110" i="41" s="1"/>
  <c r="J111" i="41"/>
  <c r="M111" i="41" s="1"/>
  <c r="J112" i="41"/>
  <c r="M112" i="41" s="1"/>
  <c r="J113" i="41"/>
  <c r="M113" i="41" s="1"/>
  <c r="J114" i="41"/>
  <c r="M114" i="41" s="1"/>
  <c r="J115" i="41"/>
  <c r="J116" i="41"/>
  <c r="J117" i="41"/>
  <c r="J118" i="41"/>
  <c r="M118" i="41" s="1"/>
  <c r="J119" i="41"/>
  <c r="M119" i="41" s="1"/>
  <c r="J120" i="41"/>
  <c r="M120" i="41" s="1"/>
  <c r="J121" i="41"/>
  <c r="M121" i="41" s="1"/>
  <c r="J122" i="41"/>
  <c r="M122" i="41" s="1"/>
  <c r="J123" i="41"/>
  <c r="M123" i="41" s="1"/>
  <c r="J124" i="41"/>
  <c r="M124" i="41" s="1"/>
  <c r="J125" i="41"/>
  <c r="M125" i="41" s="1"/>
  <c r="J126" i="41"/>
  <c r="M126" i="41" s="1"/>
  <c r="J127" i="41"/>
  <c r="M127" i="41" s="1"/>
  <c r="J128" i="41"/>
  <c r="M128" i="41" s="1"/>
  <c r="J130" i="41"/>
  <c r="M130" i="41" s="1"/>
  <c r="J131" i="41"/>
  <c r="M131" i="41" s="1"/>
  <c r="J132" i="41"/>
  <c r="M132" i="41" s="1"/>
  <c r="J133" i="41"/>
  <c r="J134" i="41"/>
  <c r="B169" i="41" s="1"/>
  <c r="C169" i="41" s="1"/>
  <c r="J135" i="41"/>
  <c r="J136" i="41"/>
  <c r="J137" i="41"/>
  <c r="J138" i="41"/>
  <c r="J139" i="41"/>
  <c r="J140" i="41"/>
  <c r="J141" i="41"/>
  <c r="J142" i="41"/>
  <c r="J143" i="41"/>
  <c r="J144" i="41"/>
  <c r="J145" i="41"/>
  <c r="J146" i="41"/>
  <c r="J147" i="41"/>
  <c r="J48" i="41"/>
  <c r="M48" i="41" s="1"/>
  <c r="D158" i="41"/>
  <c r="D159" i="41"/>
  <c r="D160" i="41"/>
  <c r="D161" i="41"/>
  <c r="D162" i="41"/>
  <c r="D163" i="41"/>
  <c r="D164" i="41"/>
  <c r="D165" i="41"/>
  <c r="D166" i="41"/>
  <c r="D167" i="41"/>
  <c r="D168" i="41"/>
  <c r="D169" i="41"/>
  <c r="D157" i="41"/>
  <c r="B152" i="41"/>
  <c r="B151" i="41"/>
  <c r="G3" i="43" l="1"/>
  <c r="H3" i="43" s="1"/>
  <c r="M134" i="41"/>
  <c r="AD3" i="36"/>
  <c r="M105" i="41"/>
  <c r="M22" i="41"/>
  <c r="G7" i="43"/>
  <c r="H7" i="43" s="1"/>
  <c r="H10" i="43" s="1"/>
  <c r="W10" i="29"/>
  <c r="W11" i="29"/>
  <c r="B167" i="41"/>
  <c r="C167" i="41" s="1"/>
  <c r="F167" i="41" s="1"/>
  <c r="F163" i="41"/>
  <c r="F159" i="41"/>
  <c r="F168" i="41"/>
  <c r="F169" i="41"/>
  <c r="F165" i="41"/>
  <c r="B164" i="41"/>
  <c r="C164" i="41" s="1"/>
  <c r="F164" i="41" s="1"/>
  <c r="B161" i="41"/>
  <c r="C161" i="41" s="1"/>
  <c r="F161" i="41" s="1"/>
  <c r="B160" i="41"/>
  <c r="C160" i="41" s="1"/>
  <c r="F160" i="41" s="1"/>
  <c r="B157" i="41"/>
  <c r="C157" i="41" s="1"/>
  <c r="F157" i="41" s="1"/>
  <c r="B158" i="41"/>
  <c r="C158" i="41" s="1"/>
  <c r="F158" i="41" s="1"/>
  <c r="B166" i="41"/>
  <c r="C166" i="41" s="1"/>
  <c r="F166" i="41" s="1"/>
  <c r="B162" i="41"/>
  <c r="C162" i="41" s="1"/>
  <c r="F162" i="41" s="1"/>
  <c r="P16" i="29"/>
  <c r="P13" i="29"/>
  <c r="P10" i="29"/>
  <c r="P11" i="29" s="1"/>
  <c r="P12" i="29" s="1"/>
  <c r="AC7" i="36"/>
  <c r="AC6" i="36"/>
  <c r="AE3" i="36" l="1"/>
  <c r="AD4" i="36"/>
  <c r="AB6" i="36"/>
  <c r="AB7" i="36"/>
  <c r="AD5" i="36" l="1"/>
  <c r="AE4" i="36"/>
  <c r="T5" i="36"/>
  <c r="U5" i="36" s="1"/>
  <c r="E7" i="37" s="1"/>
  <c r="AC12" i="36"/>
  <c r="AB12" i="36"/>
  <c r="AC10" i="36"/>
  <c r="AB10" i="36"/>
  <c r="AC19" i="36"/>
  <c r="AB19" i="36"/>
  <c r="AC13" i="36"/>
  <c r="AB13" i="36"/>
  <c r="AC9" i="36"/>
  <c r="AB9" i="36"/>
  <c r="AC18" i="36"/>
  <c r="AB18" i="36"/>
  <c r="AC14" i="36"/>
  <c r="AB14" i="36"/>
  <c r="AC22" i="36"/>
  <c r="AB22" i="36"/>
  <c r="AC15" i="36"/>
  <c r="AB15" i="36"/>
  <c r="AC4" i="36"/>
  <c r="AB4" i="36"/>
  <c r="AF4" i="36" s="1"/>
  <c r="AC16" i="36"/>
  <c r="AB16" i="36"/>
  <c r="AC23" i="36"/>
  <c r="AB23" i="36"/>
  <c r="AC20" i="36"/>
  <c r="AB20" i="36"/>
  <c r="AC17" i="36"/>
  <c r="AB17" i="36"/>
  <c r="AB11" i="36"/>
  <c r="AC11" i="36"/>
  <c r="AB3" i="36"/>
  <c r="AF3" i="36" s="1"/>
  <c r="AC3" i="36"/>
  <c r="AG3" i="36" s="1"/>
  <c r="AC24" i="36"/>
  <c r="AB24" i="36"/>
  <c r="AC21" i="36"/>
  <c r="AB21" i="36"/>
  <c r="AB2" i="36"/>
  <c r="AF2" i="36" s="1"/>
  <c r="AC2" i="36"/>
  <c r="AG2" i="36" s="1"/>
  <c r="AC5" i="36"/>
  <c r="AB5" i="36"/>
  <c r="AC8" i="36"/>
  <c r="AB8" i="36"/>
  <c r="E8" i="37"/>
  <c r="H8" i="37"/>
  <c r="L22" i="37" s="1"/>
  <c r="L21" i="37" s="1"/>
  <c r="H10" i="37" l="1"/>
  <c r="AF5" i="36"/>
  <c r="AG4" i="36"/>
  <c r="AE5" i="36"/>
  <c r="AG5" i="36" s="1"/>
  <c r="AD6" i="36"/>
  <c r="T6" i="36"/>
  <c r="T7" i="36" s="1"/>
  <c r="AD7" i="36" l="1"/>
  <c r="AE6" i="36"/>
  <c r="AG6" i="36" s="1"/>
  <c r="AF6" i="36"/>
  <c r="U6" i="36"/>
  <c r="U7" i="36" s="1"/>
  <c r="AD8" i="36" l="1"/>
  <c r="AF7" i="36"/>
  <c r="AE7" i="36"/>
  <c r="AG7" i="36" s="1"/>
  <c r="D37" i="6"/>
  <c r="D36" i="6"/>
  <c r="D38" i="6"/>
  <c r="D34" i="6"/>
  <c r="D32" i="6"/>
  <c r="D31" i="6"/>
  <c r="I38" i="6" l="1"/>
  <c r="H38" i="6"/>
  <c r="I37" i="6"/>
  <c r="H37" i="6"/>
  <c r="I34" i="6"/>
  <c r="H34" i="6"/>
  <c r="AF8" i="36"/>
  <c r="AD9" i="36"/>
  <c r="AE8" i="36"/>
  <c r="AG8" i="36" s="1"/>
  <c r="D7" i="31"/>
  <c r="AE9" i="36" l="1"/>
  <c r="AG9" i="36" s="1"/>
  <c r="AD10" i="36"/>
  <c r="AF9" i="36"/>
  <c r="E7" i="31"/>
  <c r="G7" i="31" s="1"/>
  <c r="S25" i="38"/>
  <c r="S24" i="38"/>
  <c r="S23" i="38"/>
  <c r="S21" i="38"/>
  <c r="S22" i="38"/>
  <c r="S19" i="38"/>
  <c r="AF10" i="36" l="1"/>
  <c r="AD11" i="36"/>
  <c r="AE10" i="36"/>
  <c r="AG10" i="36" s="1"/>
  <c r="D1" i="20"/>
  <c r="D9" i="20" s="1"/>
  <c r="AF11" i="36" l="1"/>
  <c r="AE11" i="36"/>
  <c r="AG11" i="36" s="1"/>
  <c r="AD12" i="36"/>
  <c r="R20" i="17"/>
  <c r="R22" i="17"/>
  <c r="R17" i="17"/>
  <c r="P18" i="17"/>
  <c r="P19" i="17" s="1"/>
  <c r="P23" i="17" s="1"/>
  <c r="R23" i="17" s="1"/>
  <c r="R18" i="17" l="1"/>
  <c r="R19" i="17"/>
  <c r="AD13" i="36"/>
  <c r="AE12" i="36"/>
  <c r="AG12" i="36" s="1"/>
  <c r="AF12" i="36"/>
  <c r="AD14" i="36" l="1"/>
  <c r="AE13" i="36"/>
  <c r="AG13" i="36" s="1"/>
  <c r="AF13" i="36"/>
  <c r="H33" i="38"/>
  <c r="M28" i="18"/>
  <c r="AE14" i="36" l="1"/>
  <c r="AG14" i="36" s="1"/>
  <c r="AF14" i="36"/>
  <c r="AD15" i="36"/>
  <c r="S26" i="38"/>
  <c r="J3" i="38" l="1"/>
  <c r="J4" i="38" s="1"/>
  <c r="G27" i="6" s="1"/>
  <c r="AD16" i="36"/>
  <c r="AE15" i="36"/>
  <c r="AG15" i="36" s="1"/>
  <c r="AF15" i="36"/>
  <c r="Z18" i="6"/>
  <c r="AE16" i="36" l="1"/>
  <c r="AG16" i="36" s="1"/>
  <c r="AD17" i="36"/>
  <c r="AF16" i="36"/>
  <c r="D8" i="35"/>
  <c r="D9" i="35"/>
  <c r="D11" i="35"/>
  <c r="D12" i="35"/>
  <c r="D13" i="35"/>
  <c r="D14" i="35"/>
  <c r="D15" i="35"/>
  <c r="D16" i="35"/>
  <c r="D17" i="35"/>
  <c r="D18" i="35"/>
  <c r="D19" i="35"/>
  <c r="D20" i="35"/>
  <c r="D21" i="35"/>
  <c r="D22" i="35"/>
  <c r="D23" i="35"/>
  <c r="D24" i="35"/>
  <c r="D25" i="35"/>
  <c r="D26" i="35"/>
  <c r="D27" i="35"/>
  <c r="D28" i="35"/>
  <c r="D29" i="35"/>
  <c r="D7" i="35"/>
  <c r="AD18" i="36" l="1"/>
  <c r="AF17" i="36"/>
  <c r="AE17" i="36"/>
  <c r="AG17" i="36" s="1"/>
  <c r="AE18" i="36" l="1"/>
  <c r="AG18" i="36" s="1"/>
  <c r="AD19" i="36"/>
  <c r="AF18" i="36"/>
  <c r="V5" i="36"/>
  <c r="AF19" i="36" l="1"/>
  <c r="AD20" i="36"/>
  <c r="AE19" i="36"/>
  <c r="AG19" i="36" s="1"/>
  <c r="M11" i="26"/>
  <c r="M12" i="26"/>
  <c r="M10" i="26"/>
  <c r="M9" i="26"/>
  <c r="Y9" i="26" s="1"/>
  <c r="L9" i="26"/>
  <c r="X9" i="26" s="1"/>
  <c r="K9" i="26"/>
  <c r="W9" i="26" s="1"/>
  <c r="J9" i="26"/>
  <c r="V9" i="26" s="1"/>
  <c r="I9" i="26"/>
  <c r="U9" i="26" s="1"/>
  <c r="H9" i="26"/>
  <c r="T9" i="26" s="1"/>
  <c r="G9" i="26"/>
  <c r="S9" i="26" s="1"/>
  <c r="F9" i="26"/>
  <c r="R9" i="26" s="1"/>
  <c r="AE20" i="36" l="1"/>
  <c r="AG20" i="36" s="1"/>
  <c r="AF20" i="36"/>
  <c r="AD21" i="36"/>
  <c r="E10" i="37"/>
  <c r="E11" i="37" s="1"/>
  <c r="E9" i="37"/>
  <c r="X6" i="6"/>
  <c r="X1" i="6"/>
  <c r="V1" i="6"/>
  <c r="T1" i="6"/>
  <c r="AD22" i="36" l="1"/>
  <c r="AF21" i="36"/>
  <c r="AE21" i="36"/>
  <c r="AG21" i="36" s="1"/>
  <c r="E12" i="37"/>
  <c r="R1" i="6"/>
  <c r="P1" i="6"/>
  <c r="N1" i="6"/>
  <c r="L1" i="6"/>
  <c r="J1" i="6"/>
  <c r="AE22" i="36" l="1"/>
  <c r="AG22" i="36" s="1"/>
  <c r="AD23" i="36"/>
  <c r="AF22" i="36"/>
  <c r="E4" i="31"/>
  <c r="E5" i="31"/>
  <c r="E6" i="31"/>
  <c r="E8" i="31"/>
  <c r="E9" i="31"/>
  <c r="E3" i="31"/>
  <c r="D4" i="31"/>
  <c r="D5" i="31"/>
  <c r="D6" i="31"/>
  <c r="D8" i="31"/>
  <c r="D9" i="31"/>
  <c r="D3" i="31"/>
  <c r="AE23" i="36" l="1"/>
  <c r="AG23" i="36" s="1"/>
  <c r="AD24" i="36"/>
  <c r="AF23" i="36"/>
  <c r="D33" i="6"/>
  <c r="I10" i="29"/>
  <c r="I11" i="29" s="1"/>
  <c r="I12" i="29" s="1"/>
  <c r="J20" i="18"/>
  <c r="AE24" i="36" l="1"/>
  <c r="AG24" i="36" s="1"/>
  <c r="AG25" i="36" s="1"/>
  <c r="AG26" i="36" s="1"/>
  <c r="G8" i="42" s="1"/>
  <c r="AF24" i="36"/>
  <c r="AF25" i="36" s="1"/>
  <c r="AF26" i="36" s="1"/>
  <c r="G7" i="42" s="1"/>
  <c r="G7" i="30"/>
  <c r="D4" i="30" s="1"/>
  <c r="G6" i="30"/>
  <c r="E17" i="29"/>
  <c r="G65" i="6"/>
  <c r="F38" i="6"/>
  <c r="F41" i="6" s="1"/>
  <c r="F37" i="6"/>
  <c r="F34" i="6"/>
  <c r="F51" i="6" s="1"/>
  <c r="D63" i="6"/>
  <c r="D64" i="6" s="1"/>
  <c r="G64" i="6" s="1"/>
  <c r="F48" i="6"/>
  <c r="F59" i="6" s="1"/>
  <c r="D66" i="6"/>
  <c r="D67" i="6" s="1"/>
  <c r="D68" i="6" s="1"/>
  <c r="D69" i="6" s="1"/>
  <c r="H18" i="17"/>
  <c r="H19" i="17" s="1"/>
  <c r="D2" i="30"/>
  <c r="F23" i="17" s="1"/>
  <c r="M23" i="17"/>
  <c r="I23" i="17"/>
  <c r="M22" i="17"/>
  <c r="M21" i="17"/>
  <c r="N21" i="17" s="1"/>
  <c r="L18" i="17"/>
  <c r="M20" i="17"/>
  <c r="M18" i="17"/>
  <c r="M19" i="17" s="1"/>
  <c r="M17" i="17"/>
  <c r="G63" i="6" l="1"/>
  <c r="X9" i="36"/>
  <c r="T13" i="36" s="1"/>
  <c r="F60" i="6"/>
  <c r="F43" i="6"/>
  <c r="U17" i="29"/>
  <c r="M17" i="29"/>
  <c r="T17" i="29" s="1"/>
  <c r="F49" i="6"/>
  <c r="L19" i="17"/>
  <c r="H20" i="17"/>
  <c r="G67" i="6"/>
  <c r="E4" i="30"/>
  <c r="G69" i="6"/>
  <c r="G68" i="6"/>
  <c r="H21" i="17"/>
  <c r="L22" i="17"/>
  <c r="N22" i="17" s="1"/>
  <c r="C4" i="30"/>
  <c r="F17" i="17" s="1"/>
  <c r="G4" i="30"/>
  <c r="C3" i="30" s="1"/>
  <c r="G3" i="30"/>
  <c r="I3" i="30"/>
  <c r="I5" i="30" s="1"/>
  <c r="C5" i="30"/>
  <c r="F18" i="17" s="1"/>
  <c r="J18" i="17" s="1"/>
  <c r="U13" i="36" l="1"/>
  <c r="N18" i="17"/>
  <c r="T18" i="17" s="1"/>
  <c r="D18" i="17" s="1"/>
  <c r="D7" i="17" s="1"/>
  <c r="D51" i="6" s="1"/>
  <c r="L20" i="17"/>
  <c r="N19" i="17"/>
  <c r="J17" i="17"/>
  <c r="N17" i="17"/>
  <c r="J21" i="17"/>
  <c r="T21" i="17" s="1"/>
  <c r="H22" i="17"/>
  <c r="L23" i="17"/>
  <c r="N23" i="17" s="1"/>
  <c r="C6" i="30"/>
  <c r="F19" i="17" s="1"/>
  <c r="J19" i="17" s="1"/>
  <c r="C7" i="30"/>
  <c r="J19" i="18"/>
  <c r="D1" i="18"/>
  <c r="D41" i="6"/>
  <c r="H7" i="37" l="1"/>
  <c r="V13" i="36"/>
  <c r="T14" i="36"/>
  <c r="U14" i="36" s="1"/>
  <c r="U15" i="36" s="1"/>
  <c r="T17" i="17"/>
  <c r="T19" i="17"/>
  <c r="D19" i="17" s="1"/>
  <c r="D8" i="17" s="1"/>
  <c r="D49" i="6" s="1"/>
  <c r="D50" i="6" s="1"/>
  <c r="G50" i="6" s="1"/>
  <c r="G18" i="18"/>
  <c r="K18" i="18" s="1"/>
  <c r="G17" i="18"/>
  <c r="K17" i="18" s="1"/>
  <c r="G20" i="18"/>
  <c r="K20" i="18" s="1"/>
  <c r="D43" i="6"/>
  <c r="G43" i="6" s="1"/>
  <c r="G41" i="6"/>
  <c r="D42" i="6"/>
  <c r="G42" i="6" s="1"/>
  <c r="H23" i="17"/>
  <c r="J23" i="17" s="1"/>
  <c r="T23" i="17" s="1"/>
  <c r="J22" i="17"/>
  <c r="G19" i="18"/>
  <c r="K19" i="18" s="1"/>
  <c r="H9" i="37" l="1"/>
  <c r="J22" i="37"/>
  <c r="J21" i="37" s="1"/>
  <c r="H11" i="37"/>
  <c r="H12" i="37" s="1"/>
  <c r="T15" i="36"/>
  <c r="T22" i="17"/>
  <c r="D22" i="17" s="1"/>
  <c r="D11" i="17" s="1"/>
  <c r="D54" i="6" s="1"/>
  <c r="D23" i="17"/>
  <c r="D12" i="17" s="1"/>
  <c r="D53" i="6" s="1"/>
  <c r="N20" i="18"/>
  <c r="D20" i="18" s="1"/>
  <c r="D58" i="6" s="1"/>
  <c r="G58" i="6" s="1"/>
  <c r="N19" i="18"/>
  <c r="D19" i="18" s="1"/>
  <c r="F20" i="17"/>
  <c r="J20" i="17" l="1"/>
  <c r="N20" i="17"/>
  <c r="N17" i="29"/>
  <c r="G16" i="34"/>
  <c r="C20" i="18"/>
  <c r="C19" i="18"/>
  <c r="D8" i="18"/>
  <c r="T20" i="17" l="1"/>
  <c r="C8" i="18"/>
  <c r="C24" i="20"/>
  <c r="G19" i="24"/>
  <c r="G31" i="6" l="1"/>
  <c r="H31" i="6" l="1"/>
  <c r="I31" i="6"/>
  <c r="G35" i="6"/>
  <c r="G36" i="6"/>
  <c r="G33" i="6"/>
  <c r="H33" i="6" s="1"/>
  <c r="G34" i="6"/>
  <c r="G12" i="6" s="1"/>
  <c r="I33" i="6" l="1"/>
  <c r="H36" i="6"/>
  <c r="I36" i="6"/>
  <c r="I35" i="6"/>
  <c r="H35" i="6"/>
  <c r="G37" i="6"/>
  <c r="G32" i="6"/>
  <c r="G38" i="6"/>
  <c r="G66" i="6"/>
  <c r="G62" i="6"/>
  <c r="D40" i="20" l="1"/>
  <c r="G40" i="20" s="1"/>
  <c r="F40" i="20" s="1"/>
  <c r="D39" i="20"/>
  <c r="G39" i="20" s="1"/>
  <c r="F39" i="20" s="1"/>
  <c r="D38" i="20"/>
  <c r="G38" i="20" s="1"/>
  <c r="F38" i="20" s="1"/>
  <c r="D37" i="20"/>
  <c r="D36" i="20"/>
  <c r="D35" i="20"/>
  <c r="G35" i="20" s="1"/>
  <c r="F35" i="20" s="1"/>
  <c r="D8" i="20"/>
  <c r="D10" i="20"/>
  <c r="D11" i="20"/>
  <c r="D12" i="20"/>
  <c r="D13" i="20"/>
  <c r="D14" i="20"/>
  <c r="D15" i="20"/>
  <c r="D16" i="20"/>
  <c r="D17" i="20"/>
  <c r="D18" i="20"/>
  <c r="D19" i="20"/>
  <c r="D20" i="20"/>
  <c r="D21" i="20"/>
  <c r="D22" i="20"/>
  <c r="D23" i="20"/>
  <c r="D24" i="20"/>
  <c r="D25" i="20"/>
  <c r="D26" i="20"/>
  <c r="D27" i="20"/>
  <c r="D28" i="20"/>
  <c r="D29" i="20"/>
  <c r="D30" i="20"/>
  <c r="D31" i="20"/>
  <c r="D7" i="20"/>
  <c r="M7" i="20" s="1"/>
  <c r="D1" i="19"/>
  <c r="G53" i="6"/>
  <c r="D3" i="17"/>
  <c r="G40" i="6"/>
  <c r="G16" i="18"/>
  <c r="K16" i="18" s="1"/>
  <c r="G15" i="18"/>
  <c r="K15" i="18" s="1"/>
  <c r="D4" i="19" l="1"/>
  <c r="D7" i="19"/>
  <c r="C12" i="17"/>
  <c r="C7" i="17"/>
  <c r="C11" i="17"/>
  <c r="C8" i="17"/>
  <c r="C19" i="17"/>
  <c r="C22" i="17"/>
  <c r="C23" i="17"/>
  <c r="D67" i="19"/>
  <c r="G67" i="19" s="1"/>
  <c r="F67" i="19" s="1"/>
  <c r="D26" i="19"/>
  <c r="G26" i="19" s="1"/>
  <c r="D30" i="19"/>
  <c r="G30" i="19" s="1"/>
  <c r="D34" i="19"/>
  <c r="G34" i="19" s="1"/>
  <c r="D38" i="19"/>
  <c r="G38" i="19" s="1"/>
  <c r="D22" i="19"/>
  <c r="G22" i="19" s="1"/>
  <c r="D33" i="19"/>
  <c r="G33" i="19" s="1"/>
  <c r="D23" i="19"/>
  <c r="G23" i="19" s="1"/>
  <c r="D27" i="19"/>
  <c r="G27" i="19" s="1"/>
  <c r="D31" i="19"/>
  <c r="G31" i="19" s="1"/>
  <c r="D35" i="19"/>
  <c r="G35" i="19" s="1"/>
  <c r="D39" i="19"/>
  <c r="G39" i="19" s="1"/>
  <c r="D24" i="19"/>
  <c r="G24" i="19" s="1"/>
  <c r="D28" i="19"/>
  <c r="G28" i="19" s="1"/>
  <c r="D32" i="19"/>
  <c r="G32" i="19" s="1"/>
  <c r="D36" i="19"/>
  <c r="G36" i="19" s="1"/>
  <c r="D40" i="19"/>
  <c r="G40" i="19" s="1"/>
  <c r="D25" i="19"/>
  <c r="G25" i="19" s="1"/>
  <c r="D29" i="19"/>
  <c r="G29" i="19" s="1"/>
  <c r="D37" i="19"/>
  <c r="G37" i="19" s="1"/>
  <c r="D41" i="19"/>
  <c r="G41" i="19" s="1"/>
  <c r="C18" i="17"/>
  <c r="D57" i="19"/>
  <c r="G57" i="19" s="1"/>
  <c r="D11" i="19"/>
  <c r="D90" i="19"/>
  <c r="G90" i="19" s="1"/>
  <c r="F90" i="19" s="1"/>
  <c r="D5" i="19"/>
  <c r="D56" i="6" s="1"/>
  <c r="D46" i="19"/>
  <c r="G46" i="19" s="1"/>
  <c r="D82" i="19"/>
  <c r="G82" i="19" s="1"/>
  <c r="F82" i="19" s="1"/>
  <c r="D51" i="19"/>
  <c r="G51" i="19" s="1"/>
  <c r="D74" i="19"/>
  <c r="G74" i="19" s="1"/>
  <c r="F74" i="19" s="1"/>
  <c r="D70" i="19"/>
  <c r="G70" i="19" s="1"/>
  <c r="F70" i="19" s="1"/>
  <c r="D9" i="19"/>
  <c r="D47" i="19"/>
  <c r="G47" i="19" s="1"/>
  <c r="F47" i="19" s="1"/>
  <c r="D53" i="19"/>
  <c r="G53" i="19" s="1"/>
  <c r="D58" i="19"/>
  <c r="G58" i="19" s="1"/>
  <c r="D89" i="19"/>
  <c r="G89" i="19" s="1"/>
  <c r="F89" i="19" s="1"/>
  <c r="D81" i="19"/>
  <c r="G81" i="19" s="1"/>
  <c r="F81" i="19" s="1"/>
  <c r="D73" i="19"/>
  <c r="G73" i="19" s="1"/>
  <c r="F73" i="19" s="1"/>
  <c r="D59" i="6"/>
  <c r="D60" i="6" s="1"/>
  <c r="G60" i="6" s="1"/>
  <c r="D8" i="19"/>
  <c r="D49" i="19"/>
  <c r="G49" i="19" s="1"/>
  <c r="D54" i="19"/>
  <c r="G54" i="19" s="1"/>
  <c r="D59" i="19"/>
  <c r="G59" i="19" s="1"/>
  <c r="D86" i="19"/>
  <c r="G86" i="19" s="1"/>
  <c r="F86" i="19" s="1"/>
  <c r="D78" i="19"/>
  <c r="G78" i="19" s="1"/>
  <c r="F78" i="19" s="1"/>
  <c r="D12" i="19"/>
  <c r="D50" i="19"/>
  <c r="G50" i="19" s="1"/>
  <c r="D55" i="19"/>
  <c r="G55" i="19" s="1"/>
  <c r="D85" i="19"/>
  <c r="G85" i="19" s="1"/>
  <c r="F85" i="19" s="1"/>
  <c r="D77" i="19"/>
  <c r="G77" i="19" s="1"/>
  <c r="F77" i="19" s="1"/>
  <c r="D69" i="19"/>
  <c r="G69" i="19" s="1"/>
  <c r="F69" i="19" s="1"/>
  <c r="D88" i="19"/>
  <c r="G88" i="19" s="1"/>
  <c r="F88" i="19" s="1"/>
  <c r="D84" i="19"/>
  <c r="G84" i="19" s="1"/>
  <c r="F84" i="19" s="1"/>
  <c r="D80" i="19"/>
  <c r="G80" i="19" s="1"/>
  <c r="F80" i="19" s="1"/>
  <c r="D76" i="19"/>
  <c r="G76" i="19" s="1"/>
  <c r="F76" i="19" s="1"/>
  <c r="D72" i="19"/>
  <c r="G72" i="19" s="1"/>
  <c r="F72" i="19" s="1"/>
  <c r="D68" i="19"/>
  <c r="G68" i="19" s="1"/>
  <c r="F68" i="19" s="1"/>
  <c r="D10" i="19"/>
  <c r="D6" i="19"/>
  <c r="D57" i="6" s="1"/>
  <c r="G57" i="6" s="1"/>
  <c r="D48" i="19"/>
  <c r="G48" i="19" s="1"/>
  <c r="D52" i="19"/>
  <c r="G52" i="19" s="1"/>
  <c r="D56" i="19"/>
  <c r="G56" i="19" s="1"/>
  <c r="D60" i="19"/>
  <c r="G60" i="19" s="1"/>
  <c r="D66" i="19"/>
  <c r="G66" i="19" s="1"/>
  <c r="F66" i="19" s="1"/>
  <c r="D87" i="19"/>
  <c r="G87" i="19" s="1"/>
  <c r="F87" i="19" s="1"/>
  <c r="D83" i="19"/>
  <c r="G83" i="19" s="1"/>
  <c r="F83" i="19" s="1"/>
  <c r="D79" i="19"/>
  <c r="G79" i="19" s="1"/>
  <c r="F79" i="19" s="1"/>
  <c r="D75" i="19"/>
  <c r="G75" i="19" s="1"/>
  <c r="F75" i="19" s="1"/>
  <c r="D71" i="19"/>
  <c r="G71" i="19" s="1"/>
  <c r="F71" i="19" s="1"/>
  <c r="D21" i="17"/>
  <c r="N18" i="18"/>
  <c r="D18" i="18" s="1"/>
  <c r="C21" i="17" l="1"/>
  <c r="D10" i="17"/>
  <c r="C10" i="17" s="1"/>
  <c r="C18" i="18"/>
  <c r="D1" i="24"/>
  <c r="H14" i="24" s="1"/>
  <c r="G11" i="24"/>
  <c r="G12" i="24"/>
  <c r="G13" i="24"/>
  <c r="G14" i="24"/>
  <c r="G15" i="24"/>
  <c r="G16" i="24"/>
  <c r="G17" i="24"/>
  <c r="G18" i="24"/>
  <c r="G48" i="20"/>
  <c r="K48" i="20" s="1"/>
  <c r="D48" i="20" s="1"/>
  <c r="C48" i="20" s="1"/>
  <c r="G47" i="20"/>
  <c r="K47" i="20" s="1"/>
  <c r="D47" i="20" s="1"/>
  <c r="C47" i="20" s="1"/>
  <c r="G46" i="20"/>
  <c r="K46" i="20" s="1"/>
  <c r="D46" i="20" s="1"/>
  <c r="C46" i="20" s="1"/>
  <c r="D45" i="20"/>
  <c r="C45" i="20"/>
  <c r="D44" i="20"/>
  <c r="C44" i="20"/>
  <c r="G43" i="20"/>
  <c r="K43" i="20" s="1"/>
  <c r="D43" i="20" s="1"/>
  <c r="C43" i="20" s="1"/>
  <c r="G56" i="6"/>
  <c r="H13" i="24" l="1"/>
  <c r="H19" i="24"/>
  <c r="H17" i="24"/>
  <c r="H16" i="24"/>
  <c r="H11" i="24"/>
  <c r="H12" i="24"/>
  <c r="H18" i="24"/>
  <c r="G59" i="6"/>
  <c r="F4" i="24"/>
  <c r="H15" i="24"/>
  <c r="G4" i="24" l="1"/>
  <c r="L19" i="23"/>
  <c r="N19" i="23" s="1"/>
  <c r="O19" i="23" s="1"/>
  <c r="D19" i="23" s="1"/>
  <c r="J19" i="23"/>
  <c r="L18" i="23"/>
  <c r="N18" i="23" s="1"/>
  <c r="J18" i="23"/>
  <c r="L17" i="23"/>
  <c r="N17" i="23" s="1"/>
  <c r="J17" i="23"/>
  <c r="O17" i="23" s="1"/>
  <c r="D17" i="23" s="1"/>
  <c r="K43" i="22"/>
  <c r="D43" i="22" s="1"/>
  <c r="C43" i="22" s="1"/>
  <c r="F43" i="22"/>
  <c r="K42" i="22"/>
  <c r="D42" i="22" s="1"/>
  <c r="C42" i="22" s="1"/>
  <c r="F42" i="22"/>
  <c r="G37" i="22"/>
  <c r="K37" i="22" s="1"/>
  <c r="D37" i="22" s="1"/>
  <c r="C37" i="22" s="1"/>
  <c r="G36" i="22"/>
  <c r="K36" i="22" s="1"/>
  <c r="D36" i="22" s="1"/>
  <c r="C36" i="22" s="1"/>
  <c r="G35" i="22"/>
  <c r="K35" i="22" s="1"/>
  <c r="D35" i="22" s="1"/>
  <c r="C35" i="22" s="1"/>
  <c r="G34" i="22"/>
  <c r="F34" i="22" s="1"/>
  <c r="G33" i="22"/>
  <c r="K33" i="22" s="1"/>
  <c r="D33" i="22" s="1"/>
  <c r="C33" i="22" s="1"/>
  <c r="G32" i="22"/>
  <c r="F32" i="22" s="1"/>
  <c r="G31" i="22"/>
  <c r="K31" i="22" s="1"/>
  <c r="D31" i="22" s="1"/>
  <c r="C31" i="22" s="1"/>
  <c r="G30" i="22"/>
  <c r="F30" i="22" s="1"/>
  <c r="G29" i="22"/>
  <c r="K29" i="22" s="1"/>
  <c r="D29" i="22" s="1"/>
  <c r="C29" i="22" s="1"/>
  <c r="G28" i="22"/>
  <c r="K28" i="22" s="1"/>
  <c r="D28" i="22" s="1"/>
  <c r="C28" i="22" s="1"/>
  <c r="G27" i="22"/>
  <c r="K27" i="22" s="1"/>
  <c r="D27" i="22" s="1"/>
  <c r="C27" i="22" s="1"/>
  <c r="G26" i="22"/>
  <c r="K26" i="22" s="1"/>
  <c r="D26" i="22" s="1"/>
  <c r="C26" i="22" s="1"/>
  <c r="G25" i="22"/>
  <c r="K25" i="22" s="1"/>
  <c r="D25" i="22" s="1"/>
  <c r="C25" i="22" s="1"/>
  <c r="G24" i="22"/>
  <c r="K24" i="22" s="1"/>
  <c r="D24" i="22" s="1"/>
  <c r="C24" i="22" s="1"/>
  <c r="B23" i="22"/>
  <c r="G23" i="22" s="1"/>
  <c r="F23" i="22" s="1"/>
  <c r="B22" i="22"/>
  <c r="G22" i="22" s="1"/>
  <c r="G21" i="22"/>
  <c r="F21" i="22" s="1"/>
  <c r="G20" i="22"/>
  <c r="K20" i="22" s="1"/>
  <c r="D20" i="22" s="1"/>
  <c r="C20" i="22" s="1"/>
  <c r="G19" i="22"/>
  <c r="F19" i="22" s="1"/>
  <c r="G18" i="22"/>
  <c r="K18" i="22" s="1"/>
  <c r="D18" i="22" s="1"/>
  <c r="C18" i="22" s="1"/>
  <c r="G17" i="22"/>
  <c r="K17" i="22" s="1"/>
  <c r="D17" i="22" s="1"/>
  <c r="C17" i="22" s="1"/>
  <c r="G16" i="22"/>
  <c r="K16" i="22" s="1"/>
  <c r="D16" i="22" s="1"/>
  <c r="C16" i="22" s="1"/>
  <c r="G15" i="22"/>
  <c r="K15" i="22" s="1"/>
  <c r="D15" i="22" s="1"/>
  <c r="C15" i="22" s="1"/>
  <c r="G14" i="22"/>
  <c r="F14" i="22" s="1"/>
  <c r="G13" i="22"/>
  <c r="K13" i="22" s="1"/>
  <c r="D13" i="22" s="1"/>
  <c r="C13" i="22" s="1"/>
  <c r="AQ8" i="22"/>
  <c r="AR8" i="22" s="1"/>
  <c r="AN8" i="22"/>
  <c r="AO8" i="22" s="1"/>
  <c r="AK8" i="22"/>
  <c r="AL8" i="22" s="1"/>
  <c r="AH8" i="22"/>
  <c r="AI8" i="22" s="1"/>
  <c r="AF8" i="22"/>
  <c r="AB8" i="22"/>
  <c r="AC8" i="22" s="1"/>
  <c r="Y8" i="22"/>
  <c r="Z8" i="22" s="1"/>
  <c r="V8" i="22"/>
  <c r="W8" i="22" s="1"/>
  <c r="S8" i="22"/>
  <c r="T8" i="22" s="1"/>
  <c r="P8" i="22"/>
  <c r="Q8" i="22" s="1"/>
  <c r="M8" i="22"/>
  <c r="N8" i="22" s="1"/>
  <c r="J8" i="22"/>
  <c r="K8" i="22" s="1"/>
  <c r="AQ7" i="22"/>
  <c r="AR7" i="22" s="1"/>
  <c r="AN7" i="22"/>
  <c r="AO7" i="22" s="1"/>
  <c r="AK7" i="22"/>
  <c r="AL7" i="22" s="1"/>
  <c r="AH7" i="22"/>
  <c r="AI7" i="22" s="1"/>
  <c r="AF7" i="22"/>
  <c r="AB7" i="22"/>
  <c r="AC7" i="22" s="1"/>
  <c r="Y7" i="22"/>
  <c r="Z7" i="22" s="1"/>
  <c r="V7" i="22"/>
  <c r="W7" i="22" s="1"/>
  <c r="S7" i="22"/>
  <c r="T7" i="22" s="1"/>
  <c r="P7" i="22"/>
  <c r="Q7" i="22" s="1"/>
  <c r="M7" i="22"/>
  <c r="N7" i="22" s="1"/>
  <c r="J7" i="22"/>
  <c r="K7" i="22" s="1"/>
  <c r="AQ6" i="22"/>
  <c r="AR6" i="22" s="1"/>
  <c r="AN6" i="22"/>
  <c r="AO6" i="22" s="1"/>
  <c r="AK6" i="22"/>
  <c r="AL6" i="22" s="1"/>
  <c r="AH6" i="22"/>
  <c r="AI6" i="22" s="1"/>
  <c r="AF6" i="22"/>
  <c r="AB6" i="22"/>
  <c r="AC6" i="22" s="1"/>
  <c r="Y6" i="22"/>
  <c r="Z6" i="22" s="1"/>
  <c r="V6" i="22"/>
  <c r="W6" i="22" s="1"/>
  <c r="S6" i="22"/>
  <c r="T6" i="22" s="1"/>
  <c r="P6" i="22"/>
  <c r="Q6" i="22" s="1"/>
  <c r="M6" i="22"/>
  <c r="N6" i="22" s="1"/>
  <c r="J6" i="22"/>
  <c r="K6" i="22" s="1"/>
  <c r="AQ5" i="22"/>
  <c r="AR5" i="22" s="1"/>
  <c r="AN5" i="22"/>
  <c r="AO5" i="22" s="1"/>
  <c r="AK5" i="22"/>
  <c r="AL5" i="22" s="1"/>
  <c r="AH5" i="22"/>
  <c r="AI5" i="22" s="1"/>
  <c r="AF5" i="22"/>
  <c r="AB5" i="22"/>
  <c r="AC5" i="22" s="1"/>
  <c r="Y5" i="22"/>
  <c r="Z5" i="22" s="1"/>
  <c r="V5" i="22"/>
  <c r="W5" i="22" s="1"/>
  <c r="S5" i="22"/>
  <c r="T5" i="22" s="1"/>
  <c r="P5" i="22"/>
  <c r="Q5" i="22" s="1"/>
  <c r="M5" i="22"/>
  <c r="N5" i="22" s="1"/>
  <c r="J5" i="22"/>
  <c r="K5" i="22" s="1"/>
  <c r="K88" i="21"/>
  <c r="D88" i="21" s="1"/>
  <c r="C88" i="21" s="1"/>
  <c r="F88" i="21"/>
  <c r="K87" i="21"/>
  <c r="F87" i="21"/>
  <c r="D87" i="21"/>
  <c r="C87" i="21" s="1"/>
  <c r="G82" i="21"/>
  <c r="K82" i="21" s="1"/>
  <c r="D82" i="21" s="1"/>
  <c r="C82" i="21" s="1"/>
  <c r="G81" i="21"/>
  <c r="F81" i="21" s="1"/>
  <c r="G80" i="21"/>
  <c r="F80" i="21" s="1"/>
  <c r="G79" i="21"/>
  <c r="F79" i="21" s="1"/>
  <c r="G78" i="21"/>
  <c r="K78" i="21" s="1"/>
  <c r="D78" i="21" s="1"/>
  <c r="C78" i="21" s="1"/>
  <c r="G77" i="21"/>
  <c r="K77" i="21" s="1"/>
  <c r="D77" i="21" s="1"/>
  <c r="C77" i="21" s="1"/>
  <c r="G76" i="21"/>
  <c r="K76" i="21" s="1"/>
  <c r="D76" i="21" s="1"/>
  <c r="C76" i="21" s="1"/>
  <c r="G75" i="21"/>
  <c r="K75" i="21" s="1"/>
  <c r="D75" i="21" s="1"/>
  <c r="C75" i="21" s="1"/>
  <c r="G74" i="21"/>
  <c r="K74" i="21" s="1"/>
  <c r="D74" i="21" s="1"/>
  <c r="C74" i="21" s="1"/>
  <c r="G73" i="21"/>
  <c r="K73" i="21" s="1"/>
  <c r="D73" i="21" s="1"/>
  <c r="C73" i="21" s="1"/>
  <c r="G72" i="21"/>
  <c r="K72" i="21" s="1"/>
  <c r="D72" i="21" s="1"/>
  <c r="C72" i="21" s="1"/>
  <c r="G71" i="21"/>
  <c r="K71" i="21" s="1"/>
  <c r="D71" i="21" s="1"/>
  <c r="C71" i="21" s="1"/>
  <c r="G70" i="21"/>
  <c r="F70" i="21" s="1"/>
  <c r="G69" i="21"/>
  <c r="F69" i="21" s="1"/>
  <c r="B68" i="21"/>
  <c r="G68" i="21" s="1"/>
  <c r="B67" i="21"/>
  <c r="G67" i="21" s="1"/>
  <c r="G66" i="21"/>
  <c r="K66" i="21" s="1"/>
  <c r="D66" i="21" s="1"/>
  <c r="C66" i="21" s="1"/>
  <c r="G65" i="21"/>
  <c r="K65" i="21" s="1"/>
  <c r="D65" i="21" s="1"/>
  <c r="C65" i="21" s="1"/>
  <c r="G64" i="21"/>
  <c r="F64" i="21" s="1"/>
  <c r="G63" i="21"/>
  <c r="F63" i="21" s="1"/>
  <c r="G62" i="21"/>
  <c r="F62" i="21" s="1"/>
  <c r="G61" i="21"/>
  <c r="F61" i="21" s="1"/>
  <c r="G60" i="21"/>
  <c r="F60" i="21" s="1"/>
  <c r="G59" i="21"/>
  <c r="F59" i="21" s="1"/>
  <c r="G58" i="21"/>
  <c r="K58" i="21" s="1"/>
  <c r="D58" i="21" s="1"/>
  <c r="C58" i="21" s="1"/>
  <c r="AQ53" i="21"/>
  <c r="AR53" i="21" s="1"/>
  <c r="AN53" i="21"/>
  <c r="AO53" i="21" s="1"/>
  <c r="AK53" i="21"/>
  <c r="AL53" i="21" s="1"/>
  <c r="AH53" i="21"/>
  <c r="AI53" i="21" s="1"/>
  <c r="AF53" i="21"/>
  <c r="AB53" i="21"/>
  <c r="AC53" i="21" s="1"/>
  <c r="Y53" i="21"/>
  <c r="Z53" i="21" s="1"/>
  <c r="V53" i="21"/>
  <c r="W53" i="21" s="1"/>
  <c r="S53" i="21"/>
  <c r="T53" i="21" s="1"/>
  <c r="P53" i="21"/>
  <c r="Q53" i="21" s="1"/>
  <c r="M53" i="21"/>
  <c r="N53" i="21" s="1"/>
  <c r="J53" i="21"/>
  <c r="K53" i="21" s="1"/>
  <c r="AQ52" i="21"/>
  <c r="AR52" i="21" s="1"/>
  <c r="AN52" i="21"/>
  <c r="AO52" i="21" s="1"/>
  <c r="AK52" i="21"/>
  <c r="AL52" i="21" s="1"/>
  <c r="AH52" i="21"/>
  <c r="AI52" i="21" s="1"/>
  <c r="AF52" i="21"/>
  <c r="AB52" i="21"/>
  <c r="AC52" i="21" s="1"/>
  <c r="Y52" i="21"/>
  <c r="Z52" i="21" s="1"/>
  <c r="V52" i="21"/>
  <c r="W52" i="21" s="1"/>
  <c r="S52" i="21"/>
  <c r="T52" i="21" s="1"/>
  <c r="P52" i="21"/>
  <c r="Q52" i="21" s="1"/>
  <c r="M52" i="21"/>
  <c r="N52" i="21" s="1"/>
  <c r="J52" i="21"/>
  <c r="K52" i="21" s="1"/>
  <c r="AQ51" i="21"/>
  <c r="AR51" i="21" s="1"/>
  <c r="AN51" i="21"/>
  <c r="AO51" i="21" s="1"/>
  <c r="AK51" i="21"/>
  <c r="AL51" i="21" s="1"/>
  <c r="AH51" i="21"/>
  <c r="AI51" i="21" s="1"/>
  <c r="AF51" i="21"/>
  <c r="AB51" i="21"/>
  <c r="AC51" i="21" s="1"/>
  <c r="Y51" i="21"/>
  <c r="Z51" i="21" s="1"/>
  <c r="V51" i="21"/>
  <c r="W51" i="21" s="1"/>
  <c r="S51" i="21"/>
  <c r="T51" i="21" s="1"/>
  <c r="P51" i="21"/>
  <c r="Q51" i="21" s="1"/>
  <c r="M51" i="21"/>
  <c r="N51" i="21" s="1"/>
  <c r="J51" i="21"/>
  <c r="K51" i="21" s="1"/>
  <c r="AQ50" i="21"/>
  <c r="AR50" i="21" s="1"/>
  <c r="AN50" i="21"/>
  <c r="AO50" i="21" s="1"/>
  <c r="AK50" i="21"/>
  <c r="AL50" i="21" s="1"/>
  <c r="AH50" i="21"/>
  <c r="AI50" i="21" s="1"/>
  <c r="AF50" i="21"/>
  <c r="AB50" i="21"/>
  <c r="AC50" i="21" s="1"/>
  <c r="Y50" i="21"/>
  <c r="Z50" i="21" s="1"/>
  <c r="V50" i="21"/>
  <c r="W50" i="21" s="1"/>
  <c r="S50" i="21"/>
  <c r="T50" i="21" s="1"/>
  <c r="P50" i="21"/>
  <c r="Q50" i="21" s="1"/>
  <c r="M50" i="21"/>
  <c r="N50" i="21" s="1"/>
  <c r="J50" i="21"/>
  <c r="K50" i="21" s="1"/>
  <c r="CA45" i="21"/>
  <c r="K45" i="21"/>
  <c r="D45" i="21" s="1"/>
  <c r="C45" i="21" s="1"/>
  <c r="F45" i="21"/>
  <c r="CA44" i="21"/>
  <c r="K44" i="21"/>
  <c r="D44" i="21" s="1"/>
  <c r="C44" i="21" s="1"/>
  <c r="F44" i="21"/>
  <c r="CA43" i="21"/>
  <c r="K43" i="21"/>
  <c r="D43" i="21" s="1"/>
  <c r="C43" i="21" s="1"/>
  <c r="F43" i="21"/>
  <c r="CA42" i="21"/>
  <c r="K42" i="21"/>
  <c r="D42" i="21" s="1"/>
  <c r="C42" i="21" s="1"/>
  <c r="F42" i="21"/>
  <c r="CA41" i="21"/>
  <c r="K41" i="21"/>
  <c r="F41" i="21"/>
  <c r="D41" i="21"/>
  <c r="C41" i="21"/>
  <c r="BX40" i="21"/>
  <c r="BZ40" i="21" s="1"/>
  <c r="BU40" i="21"/>
  <c r="BW40" i="21" s="1"/>
  <c r="BR40" i="21"/>
  <c r="BT40" i="21" s="1"/>
  <c r="BO40" i="21"/>
  <c r="BQ40" i="21" s="1"/>
  <c r="BL40" i="21"/>
  <c r="BN40" i="21" s="1"/>
  <c r="BI40" i="21"/>
  <c r="BK40" i="21" s="1"/>
  <c r="BF40" i="21"/>
  <c r="BH40" i="21" s="1"/>
  <c r="BC40" i="21"/>
  <c r="BE40" i="21" s="1"/>
  <c r="BB40" i="21"/>
  <c r="AY40" i="21"/>
  <c r="AS40" i="21"/>
  <c r="AP40" i="21"/>
  <c r="AM40" i="21"/>
  <c r="AJ40" i="21"/>
  <c r="AG40" i="21"/>
  <c r="AD40" i="21"/>
  <c r="AA40" i="21"/>
  <c r="X40" i="21"/>
  <c r="U40" i="21"/>
  <c r="R40" i="21"/>
  <c r="O40" i="21"/>
  <c r="G40" i="21"/>
  <c r="K40" i="21" s="1"/>
  <c r="D40" i="21" s="1"/>
  <c r="C40" i="21" s="1"/>
  <c r="BX39" i="21"/>
  <c r="BZ39" i="21" s="1"/>
  <c r="BU39" i="21"/>
  <c r="BW39" i="21" s="1"/>
  <c r="BR39" i="21"/>
  <c r="BT39" i="21" s="1"/>
  <c r="BO39" i="21"/>
  <c r="BQ39" i="21" s="1"/>
  <c r="BL39" i="21"/>
  <c r="BN39" i="21" s="1"/>
  <c r="BI39" i="21"/>
  <c r="BK39" i="21" s="1"/>
  <c r="BF39" i="21"/>
  <c r="BH39" i="21" s="1"/>
  <c r="BC39" i="21"/>
  <c r="BE39" i="21" s="1"/>
  <c r="BB39" i="21"/>
  <c r="AY39" i="21"/>
  <c r="AS39" i="21"/>
  <c r="AP39" i="21"/>
  <c r="AM39" i="21"/>
  <c r="AJ39" i="21"/>
  <c r="AG39" i="21"/>
  <c r="AD39" i="21"/>
  <c r="AA39" i="21"/>
  <c r="X39" i="21"/>
  <c r="U39" i="21"/>
  <c r="R39" i="21"/>
  <c r="O39" i="21"/>
  <c r="K39" i="21"/>
  <c r="D39" i="21" s="1"/>
  <c r="C39" i="21" s="1"/>
  <c r="G39" i="21"/>
  <c r="BX38" i="21"/>
  <c r="BZ38" i="21" s="1"/>
  <c r="BU38" i="21"/>
  <c r="BW38" i="21" s="1"/>
  <c r="BR38" i="21"/>
  <c r="BT38" i="21" s="1"/>
  <c r="BO38" i="21"/>
  <c r="BQ38" i="21" s="1"/>
  <c r="BL38" i="21"/>
  <c r="BN38" i="21" s="1"/>
  <c r="BI38" i="21"/>
  <c r="BK38" i="21" s="1"/>
  <c r="BF38" i="21"/>
  <c r="BH38" i="21" s="1"/>
  <c r="BC38" i="21"/>
  <c r="BE38" i="21" s="1"/>
  <c r="BB38" i="21"/>
  <c r="AY38" i="21"/>
  <c r="AS38" i="21"/>
  <c r="AP38" i="21"/>
  <c r="AM38" i="21"/>
  <c r="AJ38" i="21"/>
  <c r="AG38" i="21"/>
  <c r="AD38" i="21"/>
  <c r="AA38" i="21"/>
  <c r="X38" i="21"/>
  <c r="U38" i="21"/>
  <c r="R38" i="21"/>
  <c r="O38" i="21"/>
  <c r="G38" i="21"/>
  <c r="K38" i="21" s="1"/>
  <c r="D38" i="21" s="1"/>
  <c r="C38" i="21" s="1"/>
  <c r="F38" i="21"/>
  <c r="BB37" i="21"/>
  <c r="AY37" i="21"/>
  <c r="AV37" i="21"/>
  <c r="AS37" i="21"/>
  <c r="AP37" i="21"/>
  <c r="AM37" i="21"/>
  <c r="AJ37" i="21"/>
  <c r="AG37" i="21"/>
  <c r="AD37" i="21"/>
  <c r="AA37" i="21"/>
  <c r="X37" i="21"/>
  <c r="U37" i="21"/>
  <c r="R37" i="21"/>
  <c r="O37" i="21"/>
  <c r="K37" i="21"/>
  <c r="D37" i="21" s="1"/>
  <c r="C37" i="21" s="1"/>
  <c r="G37" i="21"/>
  <c r="BB36" i="21"/>
  <c r="AY36" i="21"/>
  <c r="AV36" i="21"/>
  <c r="AS36" i="21"/>
  <c r="AP36" i="21"/>
  <c r="AM36" i="21"/>
  <c r="AJ36" i="21"/>
  <c r="AG36" i="21"/>
  <c r="AD36" i="21"/>
  <c r="AA36" i="21"/>
  <c r="X36" i="21"/>
  <c r="U36" i="21"/>
  <c r="R36" i="21"/>
  <c r="O36" i="21"/>
  <c r="F36" i="21"/>
  <c r="G36" i="21" s="1"/>
  <c r="K36" i="21" s="1"/>
  <c r="D36" i="21" s="1"/>
  <c r="C36" i="21" s="1"/>
  <c r="P31" i="21"/>
  <c r="R31" i="21" s="1"/>
  <c r="M31" i="21"/>
  <c r="O31" i="21" s="1"/>
  <c r="B31" i="21"/>
  <c r="G31" i="21" s="1"/>
  <c r="K31" i="21" s="1"/>
  <c r="D31" i="21" s="1"/>
  <c r="P30" i="21"/>
  <c r="R30" i="21" s="1"/>
  <c r="M30" i="21"/>
  <c r="O30" i="21" s="1"/>
  <c r="B30" i="21"/>
  <c r="G30" i="21" s="1"/>
  <c r="F30" i="21" s="1"/>
  <c r="P29" i="21"/>
  <c r="R29" i="21" s="1"/>
  <c r="M29" i="21"/>
  <c r="O29" i="21" s="1"/>
  <c r="B29" i="21"/>
  <c r="G29" i="21" s="1"/>
  <c r="K29" i="21" s="1"/>
  <c r="D29" i="21" s="1"/>
  <c r="P28" i="21"/>
  <c r="R28" i="21" s="1"/>
  <c r="M28" i="21"/>
  <c r="O28" i="21" s="1"/>
  <c r="B28" i="21"/>
  <c r="G28" i="21" s="1"/>
  <c r="K28" i="21" s="1"/>
  <c r="D28" i="21" s="1"/>
  <c r="P27" i="21"/>
  <c r="R27" i="21" s="1"/>
  <c r="M27" i="21"/>
  <c r="O27" i="21" s="1"/>
  <c r="B27" i="21"/>
  <c r="G27" i="21" s="1"/>
  <c r="P26" i="21"/>
  <c r="R26" i="21" s="1"/>
  <c r="M26" i="21"/>
  <c r="O26" i="21" s="1"/>
  <c r="B26" i="21"/>
  <c r="G26" i="21" s="1"/>
  <c r="P25" i="21"/>
  <c r="R25" i="21" s="1"/>
  <c r="M25" i="21"/>
  <c r="O25" i="21" s="1"/>
  <c r="B25" i="21"/>
  <c r="G25" i="21" s="1"/>
  <c r="K25" i="21" s="1"/>
  <c r="D25" i="21" s="1"/>
  <c r="P24" i="21"/>
  <c r="R24" i="21" s="1"/>
  <c r="M24" i="21"/>
  <c r="O24" i="21" s="1"/>
  <c r="B24" i="21"/>
  <c r="G24" i="21" s="1"/>
  <c r="P23" i="21"/>
  <c r="R23" i="21" s="1"/>
  <c r="M23" i="21"/>
  <c r="O23" i="21" s="1"/>
  <c r="B23" i="21"/>
  <c r="G23" i="21" s="1"/>
  <c r="K23" i="21" s="1"/>
  <c r="D23" i="21" s="1"/>
  <c r="K40" i="20"/>
  <c r="K39" i="20"/>
  <c r="K38" i="20"/>
  <c r="K35" i="20"/>
  <c r="G31" i="20"/>
  <c r="K31" i="20" s="1"/>
  <c r="G30" i="20"/>
  <c r="K30" i="20" s="1"/>
  <c r="G29" i="20"/>
  <c r="K29" i="20" s="1"/>
  <c r="G28" i="20"/>
  <c r="K28" i="20" s="1"/>
  <c r="G27" i="20"/>
  <c r="K27" i="20" s="1"/>
  <c r="G26" i="20"/>
  <c r="K26" i="20" s="1"/>
  <c r="G25" i="20"/>
  <c r="K25" i="20" s="1"/>
  <c r="G24" i="20"/>
  <c r="K24" i="20" s="1"/>
  <c r="G23" i="20"/>
  <c r="K23" i="20" s="1"/>
  <c r="G22" i="20"/>
  <c r="K22" i="20" s="1"/>
  <c r="G21" i="20"/>
  <c r="K21" i="20" s="1"/>
  <c r="G20" i="20"/>
  <c r="K20" i="20" s="1"/>
  <c r="G19" i="20"/>
  <c r="K19" i="20" s="1"/>
  <c r="G18" i="20"/>
  <c r="K18" i="20" s="1"/>
  <c r="G17" i="20"/>
  <c r="K17" i="20" s="1"/>
  <c r="G16" i="20"/>
  <c r="K16" i="20" s="1"/>
  <c r="G15" i="20"/>
  <c r="K15" i="20" s="1"/>
  <c r="G14" i="20"/>
  <c r="K14" i="20" s="1"/>
  <c r="G13" i="20"/>
  <c r="K13" i="20" s="1"/>
  <c r="G12" i="20"/>
  <c r="K12" i="20" s="1"/>
  <c r="G11" i="20"/>
  <c r="K11" i="20" s="1"/>
  <c r="G10" i="20"/>
  <c r="K10" i="20" s="1"/>
  <c r="G9" i="20"/>
  <c r="K9" i="20" s="1"/>
  <c r="G8" i="20"/>
  <c r="K8" i="20" s="1"/>
  <c r="G7" i="20"/>
  <c r="K7" i="20" s="1"/>
  <c r="G99" i="19"/>
  <c r="G11" i="19" s="1"/>
  <c r="F11" i="19" s="1"/>
  <c r="G98" i="19"/>
  <c r="G10" i="19" s="1"/>
  <c r="F10" i="19" s="1"/>
  <c r="G97" i="19"/>
  <c r="K97" i="19" s="1"/>
  <c r="D97" i="19" s="1"/>
  <c r="D96" i="19"/>
  <c r="C96" i="19"/>
  <c r="D95" i="19"/>
  <c r="C95" i="19"/>
  <c r="M94" i="19"/>
  <c r="G94" i="19"/>
  <c r="K94" i="19" s="1"/>
  <c r="D94" i="19" s="1"/>
  <c r="K90" i="19"/>
  <c r="K89" i="19"/>
  <c r="K88" i="19"/>
  <c r="K87" i="19"/>
  <c r="K86" i="19"/>
  <c r="K85" i="19"/>
  <c r="K84" i="19"/>
  <c r="K83" i="19"/>
  <c r="K82" i="19"/>
  <c r="K81" i="19"/>
  <c r="K80" i="19"/>
  <c r="K79" i="19"/>
  <c r="K78" i="19"/>
  <c r="K77" i="19"/>
  <c r="K76" i="19"/>
  <c r="K75" i="19"/>
  <c r="K74" i="19"/>
  <c r="K73" i="19"/>
  <c r="K72" i="19"/>
  <c r="K71" i="19"/>
  <c r="K70" i="19"/>
  <c r="K69" i="19"/>
  <c r="K68" i="19"/>
  <c r="K67" i="19"/>
  <c r="K66" i="19"/>
  <c r="K60" i="19"/>
  <c r="F60" i="19"/>
  <c r="K59" i="19"/>
  <c r="F59" i="19"/>
  <c r="K58" i="19"/>
  <c r="F58" i="19"/>
  <c r="K57" i="19"/>
  <c r="F57" i="19"/>
  <c r="K56" i="19"/>
  <c r="F56" i="19"/>
  <c r="K54" i="19"/>
  <c r="F54" i="19"/>
  <c r="K53" i="19"/>
  <c r="F53" i="19"/>
  <c r="K52" i="19"/>
  <c r="F52" i="19"/>
  <c r="K51" i="19"/>
  <c r="F51" i="19"/>
  <c r="K50" i="19"/>
  <c r="F50" i="19"/>
  <c r="K49" i="19"/>
  <c r="F49" i="19"/>
  <c r="K48" i="19"/>
  <c r="F48" i="19"/>
  <c r="K47" i="19"/>
  <c r="K46" i="19"/>
  <c r="F46" i="19"/>
  <c r="K41" i="19"/>
  <c r="F41" i="19"/>
  <c r="K40" i="19"/>
  <c r="F40" i="19"/>
  <c r="K39" i="19"/>
  <c r="F39" i="19"/>
  <c r="K38" i="19"/>
  <c r="F38" i="19"/>
  <c r="K37" i="19"/>
  <c r="F37" i="19"/>
  <c r="K36" i="19"/>
  <c r="F36" i="19"/>
  <c r="K35" i="19"/>
  <c r="F35" i="19"/>
  <c r="K34" i="19"/>
  <c r="F34" i="19"/>
  <c r="K33" i="19"/>
  <c r="F33" i="19"/>
  <c r="K32" i="19"/>
  <c r="F32" i="19"/>
  <c r="K31" i="19"/>
  <c r="F31" i="19"/>
  <c r="K30" i="19"/>
  <c r="F30" i="19"/>
  <c r="K29" i="19"/>
  <c r="F29" i="19"/>
  <c r="K28" i="19"/>
  <c r="F28" i="19"/>
  <c r="K27" i="19"/>
  <c r="F27" i="19"/>
  <c r="K26" i="19"/>
  <c r="F26" i="19"/>
  <c r="K25" i="19"/>
  <c r="F25" i="19"/>
  <c r="K24" i="19"/>
  <c r="F24" i="19"/>
  <c r="K23" i="19"/>
  <c r="F23" i="19"/>
  <c r="K22" i="19"/>
  <c r="F22" i="19"/>
  <c r="G7" i="19"/>
  <c r="F7" i="19" s="1"/>
  <c r="B7" i="19"/>
  <c r="G6" i="19"/>
  <c r="F6" i="19" s="1"/>
  <c r="G5" i="19"/>
  <c r="F5" i="19" s="1"/>
  <c r="G4" i="19"/>
  <c r="F4" i="19" s="1"/>
  <c r="D17" i="17"/>
  <c r="D6" i="17" s="1"/>
  <c r="D48" i="6" s="1"/>
  <c r="D16" i="21" l="1"/>
  <c r="C16" i="21" s="1"/>
  <c r="F66" i="21"/>
  <c r="O18" i="23"/>
  <c r="D18" i="23" s="1"/>
  <c r="G12" i="19"/>
  <c r="F12" i="19" s="1"/>
  <c r="G9" i="19"/>
  <c r="F9" i="19" s="1"/>
  <c r="F24" i="22"/>
  <c r="F77" i="21"/>
  <c r="F18" i="22"/>
  <c r="F72" i="21"/>
  <c r="F75" i="21"/>
  <c r="K59" i="21"/>
  <c r="D59" i="21" s="1"/>
  <c r="C59" i="21" s="1"/>
  <c r="T25" i="21"/>
  <c r="K60" i="21"/>
  <c r="D60" i="21" s="1"/>
  <c r="C60" i="21" s="1"/>
  <c r="K80" i="21"/>
  <c r="D80" i="21" s="1"/>
  <c r="C80" i="21" s="1"/>
  <c r="K19" i="22"/>
  <c r="D19" i="22" s="1"/>
  <c r="C19" i="22" s="1"/>
  <c r="F24" i="21"/>
  <c r="K24" i="21"/>
  <c r="D24" i="21" s="1"/>
  <c r="C24" i="21" s="1"/>
  <c r="F78" i="21"/>
  <c r="K81" i="21"/>
  <c r="D81" i="21" s="1"/>
  <c r="C81" i="21" s="1"/>
  <c r="T28" i="21"/>
  <c r="K62" i="21"/>
  <c r="D62" i="21" s="1"/>
  <c r="C62" i="21" s="1"/>
  <c r="F76" i="21"/>
  <c r="F25" i="22"/>
  <c r="T30" i="21"/>
  <c r="K64" i="21"/>
  <c r="D64" i="21" s="1"/>
  <c r="C64" i="21" s="1"/>
  <c r="K79" i="21"/>
  <c r="D79" i="21" s="1"/>
  <c r="C79" i="21" s="1"/>
  <c r="T27" i="21"/>
  <c r="T31" i="21"/>
  <c r="F65" i="21"/>
  <c r="K69" i="21"/>
  <c r="D69" i="21" s="1"/>
  <c r="C69" i="21" s="1"/>
  <c r="F74" i="21"/>
  <c r="F17" i="22"/>
  <c r="K34" i="22"/>
  <c r="D34" i="22" s="1"/>
  <c r="C34" i="22" s="1"/>
  <c r="K26" i="21"/>
  <c r="D26" i="21" s="1"/>
  <c r="C26" i="21" s="1"/>
  <c r="F26" i="21"/>
  <c r="T26" i="21"/>
  <c r="K67" i="21"/>
  <c r="D67" i="21" s="1"/>
  <c r="C67" i="21" s="1"/>
  <c r="F67" i="21"/>
  <c r="F68" i="21"/>
  <c r="K68" i="21"/>
  <c r="D68" i="21" s="1"/>
  <c r="C68" i="21" s="1"/>
  <c r="K27" i="21"/>
  <c r="D27" i="21" s="1"/>
  <c r="C27" i="21" s="1"/>
  <c r="F27" i="21"/>
  <c r="AS51" i="21"/>
  <c r="AV51" i="21" s="1"/>
  <c r="D51" i="21" s="1"/>
  <c r="T29" i="21"/>
  <c r="AS50" i="21"/>
  <c r="AV50" i="21" s="1"/>
  <c r="D50" i="21" s="1"/>
  <c r="C50" i="21" s="1"/>
  <c r="AS52" i="21"/>
  <c r="AV52" i="21" s="1"/>
  <c r="D52" i="21" s="1"/>
  <c r="C52" i="21" s="1"/>
  <c r="D10" i="23"/>
  <c r="C10" i="23" s="1"/>
  <c r="C19" i="23"/>
  <c r="K61" i="21"/>
  <c r="D61" i="21" s="1"/>
  <c r="C61" i="21" s="1"/>
  <c r="K63" i="21"/>
  <c r="D63" i="21" s="1"/>
  <c r="C63" i="21" s="1"/>
  <c r="K70" i="21"/>
  <c r="D70" i="21" s="1"/>
  <c r="C70" i="21" s="1"/>
  <c r="K14" i="22"/>
  <c r="D14" i="22" s="1"/>
  <c r="C14" i="22" s="1"/>
  <c r="K21" i="22"/>
  <c r="D21" i="22" s="1"/>
  <c r="C21" i="22" s="1"/>
  <c r="F29" i="21"/>
  <c r="F82" i="21"/>
  <c r="F31" i="22"/>
  <c r="F36" i="22"/>
  <c r="AS53" i="21"/>
  <c r="AV53" i="21" s="1"/>
  <c r="D53" i="21" s="1"/>
  <c r="F58" i="21"/>
  <c r="F16" i="22"/>
  <c r="F23" i="21"/>
  <c r="F71" i="21"/>
  <c r="F73" i="21"/>
  <c r="F27" i="22"/>
  <c r="T23" i="21"/>
  <c r="T24" i="21"/>
  <c r="F29" i="22"/>
  <c r="CA38" i="21"/>
  <c r="CA39" i="21"/>
  <c r="CA40" i="21"/>
  <c r="CA37" i="21"/>
  <c r="CA36" i="21"/>
  <c r="C18" i="23"/>
  <c r="D9" i="23"/>
  <c r="C9" i="23" s="1"/>
  <c r="D8" i="23"/>
  <c r="C8" i="23" s="1"/>
  <c r="D7" i="23"/>
  <c r="C7" i="23" s="1"/>
  <c r="C17" i="23"/>
  <c r="D6" i="23"/>
  <c r="C6" i="23" s="1"/>
  <c r="AS5" i="22"/>
  <c r="AV5" i="22" s="1"/>
  <c r="D5" i="22" s="1"/>
  <c r="C5" i="22" s="1"/>
  <c r="AS6" i="22"/>
  <c r="AV6" i="22" s="1"/>
  <c r="D6" i="22" s="1"/>
  <c r="C6" i="22" s="1"/>
  <c r="AS8" i="22"/>
  <c r="AV8" i="22" s="1"/>
  <c r="D8" i="22" s="1"/>
  <c r="C8" i="22" s="1"/>
  <c r="K22" i="22"/>
  <c r="D22" i="22" s="1"/>
  <c r="C22" i="22" s="1"/>
  <c r="F22" i="22"/>
  <c r="F20" i="22"/>
  <c r="K23" i="22"/>
  <c r="D23" i="22" s="1"/>
  <c r="C23" i="22" s="1"/>
  <c r="K30" i="22"/>
  <c r="D30" i="22" s="1"/>
  <c r="C30" i="22" s="1"/>
  <c r="K32" i="22"/>
  <c r="D32" i="22" s="1"/>
  <c r="C32" i="22" s="1"/>
  <c r="AS7" i="22"/>
  <c r="G7" i="22" s="1"/>
  <c r="F7" i="22" s="1"/>
  <c r="F13" i="22"/>
  <c r="F15" i="22"/>
  <c r="F33" i="22"/>
  <c r="F26" i="22"/>
  <c r="F28" i="22"/>
  <c r="F35" i="22"/>
  <c r="F37" i="22"/>
  <c r="C97" i="19"/>
  <c r="C94" i="19"/>
  <c r="K98" i="19"/>
  <c r="D98" i="19" s="1"/>
  <c r="G8" i="19"/>
  <c r="F8" i="19" s="1"/>
  <c r="K99" i="19"/>
  <c r="D99" i="19" s="1"/>
  <c r="C23" i="21"/>
  <c r="C31" i="21"/>
  <c r="C25" i="21"/>
  <c r="C28" i="21"/>
  <c r="C29" i="21"/>
  <c r="F25" i="21"/>
  <c r="F28" i="21"/>
  <c r="K30" i="21"/>
  <c r="D30" i="21" s="1"/>
  <c r="F31" i="21"/>
  <c r="N17" i="18"/>
  <c r="N16" i="18"/>
  <c r="D16" i="18" s="1"/>
  <c r="N15" i="18"/>
  <c r="D15" i="18" s="1"/>
  <c r="C17" i="17"/>
  <c r="D17" i="18" l="1"/>
  <c r="D6" i="18" s="1"/>
  <c r="D20" i="17"/>
  <c r="D9" i="17" s="1"/>
  <c r="C16" i="18"/>
  <c r="C15" i="18"/>
  <c r="G52" i="21"/>
  <c r="F52" i="21" s="1"/>
  <c r="AV7" i="22"/>
  <c r="D7" i="22" s="1"/>
  <c r="C7" i="22" s="1"/>
  <c r="G6" i="22"/>
  <c r="F6" i="22" s="1"/>
  <c r="D6" i="21"/>
  <c r="C6" i="21" s="1"/>
  <c r="G50" i="21"/>
  <c r="F50" i="21" s="1"/>
  <c r="G8" i="22"/>
  <c r="F8" i="22" s="1"/>
  <c r="C53" i="21"/>
  <c r="D10" i="21"/>
  <c r="C10" i="21" s="1"/>
  <c r="D9" i="21"/>
  <c r="C9" i="21" s="1"/>
  <c r="G53" i="21"/>
  <c r="G12" i="21" s="1"/>
  <c r="F12" i="21" s="1"/>
  <c r="G51" i="21"/>
  <c r="F51" i="21" s="1"/>
  <c r="C6" i="17"/>
  <c r="G48" i="6"/>
  <c r="G10" i="6" s="1"/>
  <c r="G49" i="6"/>
  <c r="J6" i="21"/>
  <c r="I6" i="21" s="1"/>
  <c r="J11" i="21"/>
  <c r="I11" i="21" s="1"/>
  <c r="J8" i="21"/>
  <c r="I8" i="21" s="1"/>
  <c r="J12" i="21"/>
  <c r="I12" i="21" s="1"/>
  <c r="J9" i="21"/>
  <c r="I9" i="21" s="1"/>
  <c r="J10" i="21"/>
  <c r="I10" i="21" s="1"/>
  <c r="J13" i="21"/>
  <c r="I13" i="21" s="1"/>
  <c r="J7" i="21"/>
  <c r="I7" i="21" s="1"/>
  <c r="J5" i="21"/>
  <c r="I5" i="21" s="1"/>
  <c r="G5" i="22"/>
  <c r="F5" i="22" s="1"/>
  <c r="C98" i="19"/>
  <c r="C99" i="19"/>
  <c r="D7" i="21"/>
  <c r="C7" i="21" s="1"/>
  <c r="C30" i="21"/>
  <c r="D12" i="21"/>
  <c r="C12" i="21" s="1"/>
  <c r="D8" i="21"/>
  <c r="C8" i="21" s="1"/>
  <c r="C51" i="21"/>
  <c r="D5" i="21"/>
  <c r="C5" i="21" s="1"/>
  <c r="D11" i="21"/>
  <c r="C11" i="21" s="1"/>
  <c r="D13" i="21"/>
  <c r="C13" i="21" s="1"/>
  <c r="G23" i="6" l="1"/>
  <c r="G22" i="6"/>
  <c r="F15" i="29" s="1"/>
  <c r="G19" i="6"/>
  <c r="F14" i="29" s="1"/>
  <c r="G20" i="6"/>
  <c r="G14" i="29" s="1"/>
  <c r="C20" i="17"/>
  <c r="G15" i="6"/>
  <c r="C17" i="18"/>
  <c r="G17" i="6"/>
  <c r="G13" i="29" s="1"/>
  <c r="G16" i="6"/>
  <c r="F13" i="29" s="1"/>
  <c r="G15" i="29"/>
  <c r="G11" i="6"/>
  <c r="G11" i="29" s="1"/>
  <c r="F11" i="29"/>
  <c r="G9" i="6"/>
  <c r="C6" i="18"/>
  <c r="D7" i="18"/>
  <c r="D52" i="6"/>
  <c r="G52" i="6" s="1"/>
  <c r="C9" i="17"/>
  <c r="G5" i="21"/>
  <c r="F5" i="21" s="1"/>
  <c r="G9" i="21"/>
  <c r="F9" i="21" s="1"/>
  <c r="G11" i="21"/>
  <c r="F11" i="21" s="1"/>
  <c r="F53" i="21"/>
  <c r="G13" i="21"/>
  <c r="F13" i="21" s="1"/>
  <c r="G8" i="21"/>
  <c r="F8" i="21" s="1"/>
  <c r="G6" i="21"/>
  <c r="F6" i="21" s="1"/>
  <c r="G10" i="21"/>
  <c r="F10" i="21" s="1"/>
  <c r="G7" i="21"/>
  <c r="F7" i="21" s="1"/>
  <c r="G51" i="6"/>
  <c r="G29" i="6"/>
  <c r="G55" i="6"/>
  <c r="S14" i="29" l="1"/>
  <c r="L14" i="29"/>
  <c r="I13" i="34" s="1"/>
  <c r="K14" i="29"/>
  <c r="H13" i="34" s="1"/>
  <c r="R14" i="29"/>
  <c r="R11" i="29"/>
  <c r="K11" i="29"/>
  <c r="H10" i="34" s="1"/>
  <c r="S11" i="29"/>
  <c r="L11" i="29"/>
  <c r="I10" i="34" s="1"/>
  <c r="S15" i="29"/>
  <c r="L15" i="29"/>
  <c r="I14" i="34" s="1"/>
  <c r="K15" i="29"/>
  <c r="H14" i="34" s="1"/>
  <c r="R15" i="29"/>
  <c r="K13" i="29"/>
  <c r="H12" i="34" s="1"/>
  <c r="R13" i="29"/>
  <c r="L13" i="29"/>
  <c r="I12" i="34" s="1"/>
  <c r="S13" i="29"/>
  <c r="G14" i="6"/>
  <c r="G13" i="6"/>
  <c r="F12" i="29" s="1"/>
  <c r="E15" i="29"/>
  <c r="T64" i="6"/>
  <c r="T60" i="6"/>
  <c r="T49" i="6"/>
  <c r="K12" i="26" s="1"/>
  <c r="T37" i="6"/>
  <c r="T41" i="6"/>
  <c r="K11" i="26" s="1"/>
  <c r="P42" i="6"/>
  <c r="I11" i="26" s="1"/>
  <c r="P36" i="6"/>
  <c r="I10" i="26" s="1"/>
  <c r="P64" i="6"/>
  <c r="I13" i="26" s="1"/>
  <c r="R38" i="6"/>
  <c r="J10" i="26" s="1"/>
  <c r="R64" i="6"/>
  <c r="R41" i="6"/>
  <c r="J11" i="26" s="1"/>
  <c r="R60" i="6"/>
  <c r="P48" i="6"/>
  <c r="I12" i="26" s="1"/>
  <c r="L40" i="6"/>
  <c r="G11" i="26" s="1"/>
  <c r="L63" i="6"/>
  <c r="L31" i="6"/>
  <c r="G10" i="26" s="1"/>
  <c r="L59" i="6"/>
  <c r="L48" i="6"/>
  <c r="G12" i="26" s="1"/>
  <c r="N51" i="6"/>
  <c r="H12" i="26" s="1"/>
  <c r="R49" i="6"/>
  <c r="J12" i="26" s="1"/>
  <c r="G12" i="29"/>
  <c r="C7" i="18"/>
  <c r="E11" i="29"/>
  <c r="E14" i="29"/>
  <c r="E13" i="29"/>
  <c r="D45" i="6"/>
  <c r="G45" i="6" s="1"/>
  <c r="G25" i="6" s="1"/>
  <c r="G44" i="6"/>
  <c r="G8" i="6" s="1"/>
  <c r="G47" i="6"/>
  <c r="G30" i="6"/>
  <c r="Q14" i="29" l="1"/>
  <c r="U14" i="29" s="1"/>
  <c r="Q11" i="29"/>
  <c r="U11" i="29" s="1"/>
  <c r="J11" i="29"/>
  <c r="G10" i="34" s="1"/>
  <c r="M35" i="29"/>
  <c r="Q15" i="29"/>
  <c r="U15" i="29" s="1"/>
  <c r="J13" i="29"/>
  <c r="Q13" i="29"/>
  <c r="U13" i="29" s="1"/>
  <c r="S12" i="29"/>
  <c r="L12" i="29"/>
  <c r="I11" i="34" s="1"/>
  <c r="K12" i="29"/>
  <c r="H11" i="34" s="1"/>
  <c r="R12" i="29"/>
  <c r="U10" i="26"/>
  <c r="K13" i="26"/>
  <c r="G24" i="6"/>
  <c r="H24" i="6" s="1"/>
  <c r="G26" i="6"/>
  <c r="M11" i="29"/>
  <c r="T11" i="29" s="1"/>
  <c r="M15" i="29"/>
  <c r="T15" i="29" s="1"/>
  <c r="E12" i="29"/>
  <c r="G13" i="26"/>
  <c r="S10" i="26" s="1"/>
  <c r="J13" i="26"/>
  <c r="V10" i="26" s="1"/>
  <c r="K10" i="26"/>
  <c r="W10" i="26" s="1"/>
  <c r="T6" i="6"/>
  <c r="R6" i="6"/>
  <c r="L6" i="6"/>
  <c r="N64" i="6"/>
  <c r="N43" i="6"/>
  <c r="H11" i="26" s="1"/>
  <c r="N34" i="6"/>
  <c r="H10" i="26" s="1"/>
  <c r="N67" i="6"/>
  <c r="P6" i="6"/>
  <c r="G6" i="6"/>
  <c r="G10" i="29"/>
  <c r="G7" i="6"/>
  <c r="F10" i="29" s="1"/>
  <c r="M14" i="29"/>
  <c r="T14" i="29" s="1"/>
  <c r="M13" i="29"/>
  <c r="T13" i="29" s="1"/>
  <c r="G39" i="6"/>
  <c r="G61" i="6"/>
  <c r="N15" i="29" l="1"/>
  <c r="K10" i="29"/>
  <c r="H9" i="34" s="1"/>
  <c r="R10" i="29"/>
  <c r="S10" i="29"/>
  <c r="L10" i="29"/>
  <c r="I9" i="34" s="1"/>
  <c r="M12" i="29"/>
  <c r="T12" i="29" s="1"/>
  <c r="J12" i="29"/>
  <c r="N12" i="29" s="1"/>
  <c r="Q12" i="29"/>
  <c r="U12" i="29" s="1"/>
  <c r="N11" i="29"/>
  <c r="J44" i="6"/>
  <c r="F11" i="26" s="1"/>
  <c r="F16" i="29"/>
  <c r="K16" i="29" s="1"/>
  <c r="H25" i="6"/>
  <c r="G16" i="29"/>
  <c r="H26" i="6"/>
  <c r="G14" i="34"/>
  <c r="H13" i="26"/>
  <c r="T10" i="26" s="1"/>
  <c r="E16" i="29"/>
  <c r="V65" i="6"/>
  <c r="V53" i="6"/>
  <c r="L12" i="26" s="1"/>
  <c r="V33" i="6"/>
  <c r="V69" i="6"/>
  <c r="V58" i="6"/>
  <c r="V57" i="6"/>
  <c r="V45" i="6"/>
  <c r="L11" i="26" s="1"/>
  <c r="N13" i="29"/>
  <c r="G12" i="34"/>
  <c r="N14" i="29"/>
  <c r="G13" i="34"/>
  <c r="E10" i="29"/>
  <c r="N6" i="6"/>
  <c r="J68" i="6"/>
  <c r="J32" i="6"/>
  <c r="F10" i="26" s="1"/>
  <c r="J52" i="6"/>
  <c r="F12" i="26" s="1"/>
  <c r="J56" i="6"/>
  <c r="J10" i="29" l="1"/>
  <c r="Q10" i="29"/>
  <c r="U10" i="29" s="1"/>
  <c r="S16" i="29"/>
  <c r="L16" i="29"/>
  <c r="I15" i="34" s="1"/>
  <c r="M16" i="29"/>
  <c r="T16" i="29" s="1"/>
  <c r="J16" i="29"/>
  <c r="G15" i="34" s="1"/>
  <c r="Q16" i="29"/>
  <c r="U16" i="29" s="1"/>
  <c r="R16" i="29"/>
  <c r="H15" i="34"/>
  <c r="L13" i="26"/>
  <c r="F13" i="26"/>
  <c r="R10" i="26" s="1"/>
  <c r="G11" i="34"/>
  <c r="M10" i="29"/>
  <c r="L10" i="26"/>
  <c r="V6" i="6"/>
  <c r="J6" i="6"/>
  <c r="M19" i="29" l="1"/>
  <c r="X10" i="26"/>
  <c r="D30" i="29" a="1"/>
  <c r="D37" i="29" s="1"/>
  <c r="U19" i="29"/>
  <c r="N16" i="29"/>
  <c r="T10" i="29"/>
  <c r="T19" i="29" s="1"/>
  <c r="G9" i="34"/>
  <c r="N10" i="29"/>
  <c r="D33" i="29" l="1"/>
  <c r="K33" i="29" s="1"/>
  <c r="D36" i="29"/>
  <c r="L36" i="29" s="1"/>
  <c r="D32" i="29"/>
  <c r="J32" i="29" s="1"/>
  <c r="D35" i="29"/>
  <c r="L35" i="29" s="1"/>
  <c r="D31" i="29"/>
  <c r="L31" i="29" s="1"/>
  <c r="D34" i="29"/>
  <c r="J34" i="29" s="1"/>
  <c r="D30" i="29"/>
  <c r="K30" i="29" s="1"/>
  <c r="K31" i="29"/>
  <c r="J33" i="29"/>
  <c r="L33" i="29"/>
  <c r="J37" i="29"/>
  <c r="K37" i="29"/>
  <c r="L37" i="29"/>
  <c r="L32" i="29"/>
  <c r="K32" i="29"/>
  <c r="U20" i="29"/>
  <c r="U21" i="29" s="1"/>
  <c r="N19" i="29"/>
  <c r="N20" i="29" s="1"/>
  <c r="I7" i="37"/>
  <c r="F8" i="37"/>
  <c r="H21" i="29" l="1"/>
  <c r="I10" i="37"/>
  <c r="K22" i="37"/>
  <c r="I8" i="37"/>
  <c r="I11" i="37" s="1"/>
  <c r="I12" i="37" s="1"/>
  <c r="J35" i="29"/>
  <c r="K35" i="29"/>
  <c r="M34" i="29"/>
  <c r="N34" i="29"/>
  <c r="J36" i="29"/>
  <c r="M37" i="29"/>
  <c r="N37" i="29"/>
  <c r="K36" i="29"/>
  <c r="N35" i="29"/>
  <c r="M32" i="29"/>
  <c r="N32" i="29"/>
  <c r="M33" i="29"/>
  <c r="N33" i="29"/>
  <c r="L34" i="29"/>
  <c r="K34" i="29"/>
  <c r="J30" i="29"/>
  <c r="J31" i="29"/>
  <c r="L30" i="29"/>
  <c r="J7" i="37"/>
  <c r="G8" i="37"/>
  <c r="N21" i="29"/>
  <c r="O20" i="29"/>
  <c r="F7" i="37"/>
  <c r="J8" i="37" l="1"/>
  <c r="J9" i="37" s="1"/>
  <c r="M22" i="37"/>
  <c r="M21" i="37" s="1"/>
  <c r="I9" i="37"/>
  <c r="K21" i="37"/>
  <c r="F10" i="37"/>
  <c r="F11" i="37" s="1"/>
  <c r="F12" i="37" s="1"/>
  <c r="E16" i="37"/>
  <c r="F16" i="37" s="1"/>
  <c r="M30" i="29"/>
  <c r="N30" i="29"/>
  <c r="M31" i="29"/>
  <c r="N31" i="29"/>
  <c r="M36" i="29"/>
  <c r="N36" i="29"/>
  <c r="J10" i="37"/>
  <c r="J11" i="37" s="1"/>
  <c r="J12" i="37" s="1"/>
  <c r="AN10" i="37" s="1"/>
  <c r="F9" i="37"/>
  <c r="G7" i="37"/>
  <c r="E18" i="37" l="1"/>
  <c r="F13" i="37"/>
  <c r="E17" i="37"/>
  <c r="F17" i="37" s="1"/>
  <c r="G9" i="37"/>
  <c r="G10" i="37"/>
  <c r="G11" i="37" s="1"/>
  <c r="G12" i="37" s="1"/>
  <c r="E19" i="3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C215F869-4E1E-4289-B9FA-71852D06E832}">
      <text>
        <r>
          <rPr>
            <sz val="10"/>
            <rFont val="Arial"/>
            <family val="2"/>
          </rPr>
          <t xml:space="preserve">Tipo de respuesta: Dinero
Número de dígitos en los decimales: 2
Valores aceptables: Rango limitado. Desde $0,00 USD hasta tope
</t>
        </r>
      </text>
    </comment>
    <comment ref="C4" authorId="0" shapeId="0" xr:uid="{66B382E4-9772-4718-A55A-7E3339535AE1}">
      <text>
        <r>
          <rPr>
            <sz val="10"/>
            <rFont val="Arial"/>
            <family val="2"/>
          </rPr>
          <t xml:space="preserve">Tipo de respuesta: Dinero
Número de dígitos en los decimales: 2
Valores aceptables: Rango limitado. Desde $0,00 USD hasta tope
</t>
        </r>
      </text>
    </comment>
    <comment ref="C5" authorId="0" shapeId="0" xr:uid="{D10D9DEF-E75C-49A1-BFF3-CE2286349AC5}">
      <text>
        <r>
          <rPr>
            <sz val="10"/>
            <rFont val="Arial"/>
            <family val="2"/>
          </rPr>
          <t xml:space="preserve">Tipo de respuesta: Dinero
Número de dígitos en los decimales: 2
Valores aceptables: Rango limitado. Desde $0,00 USD hasta tope
</t>
        </r>
      </text>
    </comment>
    <comment ref="C6" authorId="0" shapeId="0" xr:uid="{29F7FB26-5D41-4F48-A5F7-A7D366E59FD8}">
      <text>
        <r>
          <rPr>
            <sz val="10"/>
            <rFont val="Arial"/>
            <family val="2"/>
          </rPr>
          <t xml:space="preserve">Tipo de respuesta: Dinero
Número de dígitos en los decimales: 2
Valores aceptables: Rango limitado. Desde $0,00 USD hasta tope
</t>
        </r>
      </text>
    </comment>
    <comment ref="C7" authorId="0" shapeId="0" xr:uid="{97EF9BC1-CD29-41BE-9A60-8703F9A185F2}">
      <text>
        <r>
          <rPr>
            <sz val="10"/>
            <rFont val="Arial"/>
            <family val="2"/>
          </rPr>
          <t xml:space="preserve">Tipo de respuesta: Dinero
Número de dígitos en los decimales: 2
Valores aceptables: Rango limitado. Desde $0,00 USD hasta tope
</t>
        </r>
      </text>
    </comment>
    <comment ref="C8" authorId="0" shapeId="0" xr:uid="{14863C06-6B17-4EBF-B880-09D9D04AEF6A}">
      <text>
        <r>
          <rPr>
            <sz val="10"/>
            <rFont val="Arial"/>
            <family val="2"/>
          </rPr>
          <t xml:space="preserve">Tipo de respuesta: Dinero
Número de dígitos en los decimales: 2
Valores aceptables: Rango limitado. Desde $0,00 USD hasta tope
</t>
        </r>
      </text>
    </comment>
    <comment ref="C9" authorId="0" shapeId="0" xr:uid="{919F81FE-8FB6-4488-88F0-A9A96DE15EAA}">
      <text>
        <r>
          <rPr>
            <sz val="10"/>
            <rFont val="Arial"/>
            <family val="2"/>
          </rPr>
          <t xml:space="preserve">Tipo de respuesta: Dinero
Número de dígitos en los decimales: 2
Valores aceptables: Rango limitado. Desde $0,00 USD hasta tope
</t>
        </r>
      </text>
    </comment>
    <comment ref="C10" authorId="0" shapeId="0" xr:uid="{3EEFF61C-0C87-436E-93A4-4823ABCEA0F0}">
      <text>
        <r>
          <rPr>
            <sz val="10"/>
            <rFont val="Arial"/>
            <family val="2"/>
          </rPr>
          <t xml:space="preserve">Tipo de respuesta: Dinero
Número de dígitos en los decimales: 2
Valores aceptables: Rango limitado. Desde $0,00 USD hasta tope
</t>
        </r>
      </text>
    </comment>
    <comment ref="C11" authorId="0" shapeId="0" xr:uid="{70BC6C5E-40A7-4CDC-B9B6-6AC83EDAAD13}">
      <text>
        <r>
          <rPr>
            <sz val="10"/>
            <rFont val="Arial"/>
            <family val="2"/>
          </rPr>
          <t xml:space="preserve">Tipo de respuesta: Dinero
Número de dígitos en los decimales: 2
Valores aceptables: Rango limitado. Desde $0,00 USD hasta tope
</t>
        </r>
      </text>
    </comment>
    <comment ref="C12" authorId="0" shapeId="0" xr:uid="{213D997B-0752-4729-8866-B9562B706603}">
      <text>
        <r>
          <rPr>
            <sz val="10"/>
            <rFont val="Arial"/>
            <family val="2"/>
          </rPr>
          <t xml:space="preserve">Tipo de respuesta: Dinero
Número de dígitos en los decimales: 2
Valores aceptables: Rango limitado. Desde $0,00 USD hasta tope
</t>
        </r>
      </text>
    </comment>
    <comment ref="C13" authorId="0" shapeId="0" xr:uid="{2EABB363-1983-44EC-BC9A-1F64DEB29D2F}">
      <text>
        <r>
          <rPr>
            <sz val="10"/>
            <rFont val="Arial"/>
            <family val="2"/>
          </rPr>
          <t xml:space="preserve">Tipo de respuesta: Dinero
Número de dígitos en los decimales: 2
Valores aceptables: Rango limitado. Desde $0,00 USD hasta tope
</t>
        </r>
      </text>
    </comment>
    <comment ref="C14" authorId="0" shapeId="0" xr:uid="{13681A12-BAB4-4C36-BB30-9910B48EFE9E}">
      <text>
        <r>
          <rPr>
            <sz val="10"/>
            <rFont val="Arial"/>
            <family val="2"/>
          </rPr>
          <t xml:space="preserve">Tipo de respuesta: Dinero
Número de dígitos en los decimales: 2
Valores aceptables: Rango limitado. Desde $0,00 USD hasta tope
</t>
        </r>
      </text>
    </comment>
    <comment ref="C15" authorId="0" shapeId="0" xr:uid="{8B4AF0D9-1B25-4296-A906-C30CEE63B937}">
      <text>
        <r>
          <rPr>
            <sz val="10"/>
            <rFont val="Arial"/>
            <family val="2"/>
          </rPr>
          <t xml:space="preserve">Tipo de respuesta: Dinero
Número de dígitos en los decimales: 2
Valores aceptables: Rango limitado. Desde $0,00 USD hasta tope
</t>
        </r>
      </text>
    </comment>
    <comment ref="C16" authorId="0" shapeId="0" xr:uid="{52F763CE-EE2E-457D-BB8E-AF906128FE24}">
      <text>
        <r>
          <rPr>
            <sz val="10"/>
            <rFont val="Arial"/>
            <family val="2"/>
          </rPr>
          <t xml:space="preserve">Tipo de respuesta: Dinero
Número de dígitos en los decimales: 2
Valores aceptables: Rango limitado. Desde $0,00 USD hasta tope
</t>
        </r>
      </text>
    </comment>
    <comment ref="C17" authorId="0" shapeId="0" xr:uid="{A4C2A6A4-5BFE-4D0D-BF87-3852E61BCBE5}">
      <text>
        <r>
          <rPr>
            <sz val="10"/>
            <rFont val="Arial"/>
            <family val="2"/>
          </rPr>
          <t xml:space="preserve">Tipo de respuesta: Dinero
Número de dígitos en los decimales: 2
Valores aceptables: Rango limitado. Desde $0,00 USD hasta tope
</t>
        </r>
      </text>
    </comment>
    <comment ref="C18" authorId="0" shapeId="0" xr:uid="{EF73935E-4390-48BA-B1C8-D02379CED703}">
      <text>
        <r>
          <rPr>
            <sz val="10"/>
            <rFont val="Arial"/>
            <family val="2"/>
          </rPr>
          <t xml:space="preserve">Tipo de respuesta: Dinero
Número de dígitos en los decimales: 2
Valores aceptables: Rango limitado. Desde $0,00 USD hasta tope
</t>
        </r>
      </text>
    </comment>
    <comment ref="C19" authorId="0" shapeId="0" xr:uid="{7EA3105B-2D80-482E-85FC-44DF5AD6AAA8}">
      <text>
        <r>
          <rPr>
            <sz val="10"/>
            <rFont val="Arial"/>
            <family val="2"/>
          </rPr>
          <t xml:space="preserve">Tipo de respuesta: Dinero
Número de dígitos en los decimales: 2
Valores aceptables: Rango limitado. Desde $0,00 USD hasta tope
</t>
        </r>
      </text>
    </comment>
    <comment ref="C20" authorId="0" shapeId="0" xr:uid="{2F70A6AA-D7EA-4395-8861-5FC3CA92E053}">
      <text>
        <r>
          <rPr>
            <sz val="10"/>
            <rFont val="Arial"/>
            <family val="2"/>
          </rPr>
          <t xml:space="preserve">Tipo de respuesta: Dinero
Número de dígitos en los decimales: 2
Valores aceptables: Rango limitado. Desde $0,00 USD hasta tope
</t>
        </r>
      </text>
    </comment>
    <comment ref="C21" authorId="0" shapeId="0" xr:uid="{7BDF9874-3575-4C3D-BE4B-FB9D359A5F9A}">
      <text>
        <r>
          <rPr>
            <sz val="10"/>
            <rFont val="Arial"/>
            <family val="2"/>
          </rPr>
          <t xml:space="preserve">Tipo de respuesta: Dinero
Número de dígitos en los decimales: 2
Valores aceptables: Rango limitado. Desde $0,00 USD hasta tope
</t>
        </r>
      </text>
    </comment>
    <comment ref="C22" authorId="0" shapeId="0" xr:uid="{3BFA59A7-B504-4AEF-A201-E4A6E3F0772E}">
      <text>
        <r>
          <rPr>
            <sz val="10"/>
            <rFont val="Arial"/>
            <family val="2"/>
          </rPr>
          <t xml:space="preserve">Tipo de respuesta: Dinero
Número de dígitos en los decimales: 2
Valores aceptables: Rango limitado. Desde $0,00 USD hasta tope
</t>
        </r>
      </text>
    </comment>
    <comment ref="C23" authorId="0" shapeId="0" xr:uid="{8C8158D2-6226-4057-95AE-3F04C92D9A97}">
      <text>
        <r>
          <rPr>
            <sz val="10"/>
            <rFont val="Arial"/>
            <family val="2"/>
          </rPr>
          <t xml:space="preserve">Tipo de respuesta: Dinero
Número de dígitos en los decimales: 2
Valores aceptables: Rango limitado. Desde $0,00 USD hasta tope
</t>
        </r>
      </text>
    </comment>
    <comment ref="C24" authorId="0" shapeId="0" xr:uid="{BC493C07-F3DD-434F-85B0-F09110F51483}">
      <text>
        <r>
          <rPr>
            <sz val="10"/>
            <rFont val="Arial"/>
            <family val="2"/>
          </rPr>
          <t xml:space="preserve">Tipo de respuesta: Dinero
Número de dígitos en los decimales: 2
Valores aceptables: Rango limitado. Desde $0,00 USD hasta tope
</t>
        </r>
      </text>
    </comment>
    <comment ref="C25" authorId="0" shapeId="0" xr:uid="{B820DE44-66E9-434D-AE18-1731B04EEE85}">
      <text>
        <r>
          <rPr>
            <sz val="10"/>
            <rFont val="Arial"/>
            <family val="2"/>
          </rPr>
          <t xml:space="preserve">Tipo de respuesta: Dinero
Número de dígitos en los decimales: 2
Valores aceptables: Rango limitado. Desde $0,00 USD hasta tope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s>
  <commentList>
    <comment ref="D8" authorId="0" shapeId="0" xr:uid="{00000000-0006-0000-0500-000001000000}">
      <text>
        <r>
          <rPr>
            <b/>
            <sz val="9"/>
            <color indexed="81"/>
            <rFont val="Tahoma"/>
            <family val="2"/>
          </rPr>
          <t>Bergerat, Juan (Los Perales):</t>
        </r>
        <r>
          <rPr>
            <sz val="9"/>
            <color indexed="81"/>
            <rFont val="Tahoma"/>
            <family val="2"/>
          </rPr>
          <t xml:space="preserve">
Triazina + IC</t>
        </r>
      </text>
    </comment>
    <comment ref="F8" authorId="0" shapeId="0" xr:uid="{00000000-0006-0000-0500-000002000000}">
      <text>
        <r>
          <rPr>
            <b/>
            <sz val="9"/>
            <color indexed="81"/>
            <rFont val="Tahoma"/>
            <family val="2"/>
          </rPr>
          <t>Bergerat, Juan (Los Perales):</t>
        </r>
        <r>
          <rPr>
            <sz val="9"/>
            <color indexed="81"/>
            <rFont val="Tahoma"/>
            <family val="2"/>
          </rPr>
          <t xml:space="preserve">
922 con IC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s>
  <commentList>
    <comment ref="C2" authorId="0" shapeId="0" xr:uid="{00000000-0006-0000-0C00-000001000000}">
      <text>
        <r>
          <rPr>
            <b/>
            <sz val="9"/>
            <color indexed="81"/>
            <rFont val="Tahoma"/>
            <family val="2"/>
          </rPr>
          <t>Bergerat, Juan (Los Perales):</t>
        </r>
        <r>
          <rPr>
            <sz val="9"/>
            <color indexed="81"/>
            <rFont val="Tahoma"/>
            <family val="2"/>
          </rPr>
          <t xml:space="preserve">
Corrección decargas socilaes y demas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s>
  <commentList>
    <comment ref="D2" authorId="0" shapeId="0" xr:uid="{00000000-0006-0000-0F00-000001000000}">
      <text>
        <r>
          <rPr>
            <b/>
            <sz val="9"/>
            <color indexed="81"/>
            <rFont val="Tahoma"/>
            <family val="2"/>
          </rPr>
          <t>Bergerat, Juan (Los Perales):</t>
        </r>
        <r>
          <rPr>
            <sz val="9"/>
            <color indexed="81"/>
            <rFont val="Tahoma"/>
            <family val="2"/>
          </rPr>
          <t xml:space="preserve">
5 horas a 40 km/h
+ 100 viaje a yac.</t>
        </r>
      </text>
    </comment>
    <comment ref="C3" authorId="0" shapeId="0" xr:uid="{00000000-0006-0000-0F00-000002000000}">
      <text>
        <r>
          <rPr>
            <b/>
            <sz val="9"/>
            <color indexed="81"/>
            <rFont val="Tahoma"/>
            <family val="2"/>
          </rPr>
          <t>Bergerat, Juan (Los Perales):</t>
        </r>
        <r>
          <rPr>
            <sz val="9"/>
            <color indexed="81"/>
            <rFont val="Tahoma"/>
            <family val="2"/>
          </rPr>
          <t xml:space="preserve">
170 cada salida a reposición + km entre puntos
</t>
        </r>
      </text>
    </comment>
    <comment ref="C5" authorId="0" shapeId="0" xr:uid="{00000000-0006-0000-0F00-000003000000}">
      <text>
        <r>
          <rPr>
            <b/>
            <sz val="9"/>
            <color indexed="81"/>
            <rFont val="Tahoma"/>
            <family val="2"/>
          </rPr>
          <t>Bergerat, Juan (Los Perales):</t>
        </r>
        <r>
          <rPr>
            <sz val="9"/>
            <color indexed="81"/>
            <rFont val="Tahoma"/>
            <family val="2"/>
          </rPr>
          <t xml:space="preserve">
2 viajes por semana desde NQN (170km ida mas 170 km vuelta)</t>
        </r>
      </text>
    </comment>
    <comment ref="G7" authorId="0" shapeId="0" xr:uid="{00000000-0006-0000-0F00-000004000000}">
      <text>
        <r>
          <rPr>
            <b/>
            <sz val="9"/>
            <color indexed="81"/>
            <rFont val="Tahoma"/>
            <family val="2"/>
          </rPr>
          <t>Bergerat, Juan (Los Perales):</t>
        </r>
        <r>
          <rPr>
            <sz val="9"/>
            <color indexed="81"/>
            <rFont val="Tahoma"/>
            <family val="2"/>
          </rPr>
          <t xml:space="preserve">
dividido 2 por ser dos equipos
</t>
        </r>
      </text>
    </comment>
  </commentList>
</comments>
</file>

<file path=xl/sharedStrings.xml><?xml version="1.0" encoding="utf-8"?>
<sst xmlns="http://schemas.openxmlformats.org/spreadsheetml/2006/main" count="2774" uniqueCount="1192">
  <si>
    <t>Cantidad</t>
  </si>
  <si>
    <t xml:space="preserve">Cantidad </t>
  </si>
  <si>
    <t>UM</t>
  </si>
  <si>
    <t>Gas Oil</t>
  </si>
  <si>
    <t>Ítem</t>
  </si>
  <si>
    <t>Servicio</t>
  </si>
  <si>
    <t>Costo Unitario [AR$/um]</t>
  </si>
  <si>
    <t>Costo total [AR$]</t>
  </si>
  <si>
    <t>mes</t>
  </si>
  <si>
    <t>1.1</t>
  </si>
  <si>
    <t>Operador - Control y muestreo</t>
  </si>
  <si>
    <t>1.2</t>
  </si>
  <si>
    <t>Jefe de area</t>
  </si>
  <si>
    <t>Herramientas</t>
  </si>
  <si>
    <t>Herramientas para unidad equipo pesado</t>
  </si>
  <si>
    <t>Supervisor</t>
  </si>
  <si>
    <t>Ing. de aplicación</t>
  </si>
  <si>
    <t>3.1</t>
  </si>
  <si>
    <t>3.2</t>
  </si>
  <si>
    <t>4.1</t>
  </si>
  <si>
    <t>5.1</t>
  </si>
  <si>
    <t>2.1</t>
  </si>
  <si>
    <t>2.2</t>
  </si>
  <si>
    <t>Mano de Obra D</t>
  </si>
  <si>
    <t>Mano de Obra I</t>
  </si>
  <si>
    <t>2.3</t>
  </si>
  <si>
    <t>2.4</t>
  </si>
  <si>
    <t>Referente CSMA</t>
  </si>
  <si>
    <t>4.2</t>
  </si>
  <si>
    <t>Servicios Contratados</t>
  </si>
  <si>
    <t>Equipos con mantenimiento</t>
  </si>
  <si>
    <t>-</t>
  </si>
  <si>
    <t>Chubut</t>
  </si>
  <si>
    <t xml:space="preserve">Tasa de cambio </t>
  </si>
  <si>
    <t>AR$/U$S</t>
  </si>
  <si>
    <t>Comb-Lubr-Neu-Mant</t>
  </si>
  <si>
    <t>Costo [U$S/mes]</t>
  </si>
  <si>
    <t>Costo [AR$/mes]</t>
  </si>
  <si>
    <t xml:space="preserve">Unidad liviana Pick up C/D </t>
  </si>
  <si>
    <t>Unidad liviana Pick up C/S</t>
  </si>
  <si>
    <t xml:space="preserve">Camion de reposición </t>
  </si>
  <si>
    <t>Camion de reposición con hidro grua</t>
  </si>
  <si>
    <t>Autoelevador</t>
  </si>
  <si>
    <t>COSTOS VARIABLES</t>
  </si>
  <si>
    <t>Promedio Km/mes</t>
  </si>
  <si>
    <t>Combustibles</t>
  </si>
  <si>
    <t>Lubricantes</t>
  </si>
  <si>
    <t>Total Costos Variables</t>
  </si>
  <si>
    <t>(A) - Vehículos</t>
  </si>
  <si>
    <t>Tipo de insumo</t>
  </si>
  <si>
    <t>Costo unitario $/Litro</t>
  </si>
  <si>
    <t>Consumo Lt/Km-Lt/Hs</t>
  </si>
  <si>
    <t>Importe</t>
  </si>
  <si>
    <t>Pick up Ranger 2.2 TDCi 4x4 XL Safety 6MT C/D o C/S</t>
  </si>
  <si>
    <t>Aceite</t>
  </si>
  <si>
    <t>Camión chasis Iveco Tector 170E25</t>
  </si>
  <si>
    <t>(A+B) - Unidades</t>
  </si>
  <si>
    <t>COSTOS FIJOS</t>
  </si>
  <si>
    <t>Leasing o Amortización</t>
  </si>
  <si>
    <t>Total Costos Fijos</t>
  </si>
  <si>
    <t>Costo Unitario [U$S]</t>
  </si>
  <si>
    <t>Costo Unitario [AR$]</t>
  </si>
  <si>
    <t>Valor residual [%]</t>
  </si>
  <si>
    <t>Durabilidad Promedio [mes]</t>
  </si>
  <si>
    <t>Costo mensual</t>
  </si>
  <si>
    <t>Amortización</t>
  </si>
  <si>
    <t>Herramientas e insumos</t>
  </si>
  <si>
    <t xml:space="preserve">Herramientas para recorredor </t>
  </si>
  <si>
    <t>Herramientas para unidad de rellenado</t>
  </si>
  <si>
    <t>Herramientas Laboratorio</t>
  </si>
  <si>
    <t>Equipamiento de Laboratorio (agua, petróleo y general)</t>
  </si>
  <si>
    <t>EQUIPO TVR</t>
  </si>
  <si>
    <t>SALINOMETRO PETROTEST SCO1</t>
  </si>
  <si>
    <t>KARL FISHER MKC-520 + REPUESTO DE CELDA COMPLETA</t>
  </si>
  <si>
    <t>HIGROMETRO PORTATIL MODELO PM880</t>
  </si>
  <si>
    <t>Total Costo Fijo [AR$/mes]</t>
  </si>
  <si>
    <t>Valor Residual [%]</t>
  </si>
  <si>
    <t>Caja de herramientas</t>
  </si>
  <si>
    <t>Juego de destornilladores Philips</t>
  </si>
  <si>
    <t>Juego de destornilladores Planos</t>
  </si>
  <si>
    <t>Llave Francesa Bacho 18"</t>
  </si>
  <si>
    <t>Llave Francesa Bacho 10"</t>
  </si>
  <si>
    <t>Stilson RIGID 24" aluminio</t>
  </si>
  <si>
    <t>Stilson RIGID 18" aluminio</t>
  </si>
  <si>
    <t>Pinza de fuerza</t>
  </si>
  <si>
    <t>Pinza Pico Loro</t>
  </si>
  <si>
    <t>Pinza</t>
  </si>
  <si>
    <t xml:space="preserve">Juego de llaves fijas 8  a 24 mm </t>
  </si>
  <si>
    <t>Juego de llaves fijas 7/8 a 1 "</t>
  </si>
  <si>
    <t>Maza anti chispa 3 Kg</t>
  </si>
  <si>
    <t>Pala Plana</t>
  </si>
  <si>
    <t>Cepillo de acero</t>
  </si>
  <si>
    <t>Cinta metrica de 5 m</t>
  </si>
  <si>
    <t>Cronometro</t>
  </si>
  <si>
    <t>Corta tubing de 1/4"</t>
  </si>
  <si>
    <t>Dobladora tubing de 1/4"</t>
  </si>
  <si>
    <t>Atornillador taladro electrico</t>
  </si>
  <si>
    <t>Otros Equipos</t>
  </si>
  <si>
    <t>Trailer Laboratorio 12 mts</t>
  </si>
  <si>
    <t>LLAVE DE GOLPE 1-5/8"</t>
  </si>
  <si>
    <t>LLAVE DE GOLPE 1-7/8"</t>
  </si>
  <si>
    <t>LLAVE DE GOLPE 2"</t>
  </si>
  <si>
    <t>MANGO DE FUERZA Eng 1/2"</t>
  </si>
  <si>
    <t>EQUIPO DETECTOR 4 GASES</t>
  </si>
  <si>
    <t>CALIBRACION EQUIPO 4 GASES</t>
  </si>
  <si>
    <t>SENSOR DETECTOR</t>
  </si>
  <si>
    <t>ARNES DE SEGURIDAD MOD</t>
  </si>
  <si>
    <t>CABO DE VIDA</t>
  </si>
  <si>
    <t>Arnes Seguridad Industrial Cabo Posicionamiento Iram 3622-1</t>
  </si>
  <si>
    <t>DISPOSITIVO Anticaida 5m</t>
  </si>
  <si>
    <t>Stilson RIGID 48" aluminio</t>
  </si>
  <si>
    <t>Stilson RIGID 36" aluminio</t>
  </si>
  <si>
    <t>Balanza analítica</t>
  </si>
  <si>
    <t>Equipos de laboratorio</t>
  </si>
  <si>
    <t>HACH   Modelo DR2800</t>
  </si>
  <si>
    <t>Calibracion  Hach DR2800</t>
  </si>
  <si>
    <t>HACH   Modelo HQ30D (PHMETRO, O2)</t>
  </si>
  <si>
    <t>HELADERA EXHIBIDORA</t>
  </si>
  <si>
    <t>BAMBOLETAS PARA MUESTRAS DE GAS</t>
  </si>
  <si>
    <t>Bomba de vacío</t>
  </si>
  <si>
    <t>DESECADOR DE VIDRIO CON TAPA</t>
  </si>
  <si>
    <t>Baño termostático para tubos torpedo (MASSON)</t>
  </si>
  <si>
    <t>BALANZA DE CONTRAPESO TUBOS TORPEDO</t>
  </si>
  <si>
    <t>CENTRIFUGAS P/ TUBO TORPEDO (Gelec 72D)</t>
  </si>
  <si>
    <t>HORNO PARA MEDIOS DE CULTIVOS</t>
  </si>
  <si>
    <t>DENSIMETRO DIGITAL  ( portátil ) Marca: Anton Paar</t>
  </si>
  <si>
    <t>Calibracion de Balanza Analitica</t>
  </si>
  <si>
    <t>DIGESTOR HACH DRB-200</t>
  </si>
  <si>
    <t>AGITADOR MAGNETICO</t>
  </si>
  <si>
    <t>MANTO CALEFACTOR PARA BALON DE 1000 ml</t>
  </si>
  <si>
    <t>BOMBA DRAGER P/GASES</t>
  </si>
  <si>
    <t>REFRIGERANTE LIEBIG</t>
  </si>
  <si>
    <t>Calibracion de termometros digitales</t>
  </si>
  <si>
    <t>KIT Dureza Total y Calcica HACH  10 - 4000 mg/l</t>
  </si>
  <si>
    <t>KIT Dureza Total y Calcica HACH  20 - 400 mg/l</t>
  </si>
  <si>
    <t>KIT Sulfato HACH  50 - 200 mg/l</t>
  </si>
  <si>
    <t>KIT Alcalinidad HACH  10 - 4000 mg/l</t>
  </si>
  <si>
    <t>Densimetro para gasolina</t>
  </si>
  <si>
    <t>EQUIPO PARA MEDIR PVR (METODO REID) RECIPIENTE CON 2 CAMARAS +MANOMETRO</t>
  </si>
  <si>
    <t>BAÑO MARIA</t>
  </si>
  <si>
    <t>TERMOMETRO DIGITAL PARA BAÑO MARIA</t>
  </si>
  <si>
    <t>Costo Amortización</t>
  </si>
  <si>
    <t xml:space="preserve">Costo Unitario   </t>
  </si>
  <si>
    <t>Mantenimiento Mensual</t>
  </si>
  <si>
    <t>(A+B+C+D) - Equipos de dosificación con instalacíon</t>
  </si>
  <si>
    <t>Equipo Dosificador 215lts. eléctrico, líneas inoxidables 3/8 tablero eléctrico con guarda motor y disyuntor línea de inyección con válvula de alivio y retorno a recipiente. Con TB</t>
  </si>
  <si>
    <t>Equipo Dosificador 215lts. Neumático, líneas inoxidables 3/8 con reguladora neumática, línea de inyección con válvula de alivio y retorno a recipiente. Con TB</t>
  </si>
  <si>
    <t>Equipo Dosificador 215lts.solar, líneas inoxidables 3/8, línea de inyección con válvula de alivio y retorno a recipiente, con soporte con caño 2" para pantalla sola. Con TB</t>
  </si>
  <si>
    <t>Equipo Dosificador 410lts. Neumático, líneas inoxidables 3/8 con reguladoras neumática. línea de inyección con válvula de alivio y retorno a recipiente</t>
  </si>
  <si>
    <t>Equipo Dosificador 410lts.electrico, líneas inoxidables 3/8 tablero eléctrico con guarda motor y disyuntor línea de inyección con válvula de alivio y retorno a recipiente.</t>
  </si>
  <si>
    <t>Equipo Dosificador 410lts. solar, líneas inoxidables 3/8 línea de inyección con válvula de alivio y retorno a recipiente, con soporte en caño de 2" para pantalla solar.</t>
  </si>
  <si>
    <t>Equipo Dosificador 1000lts. neumático, líneas inoxidables 3/8 con reguladora neumática, línea de inyección con válvula de alivio y retorno a contenedor.</t>
  </si>
  <si>
    <t xml:space="preserve">Equipo Dosificador 1000lts. eléctrico, líneas inoxidables 3/8, tablero eléctrico con guarda motor y disyuntor línea de inyección con válvula de alivio y retorno a contenedor </t>
  </si>
  <si>
    <t>Equipo dosificador 1000lts. solar, líneas inoxidables 3/8 líneas de inyección con válvula de a alivio y retorno contenedor, con soporte en caño de 2" para pantalla solar</t>
  </si>
  <si>
    <t>(E) - Transmición satelital</t>
  </si>
  <si>
    <t>Canon por Instalacióny mantenimiento transmisión satelital</t>
  </si>
  <si>
    <t>COSTOS DE MANTENIMIENTO</t>
  </si>
  <si>
    <t xml:space="preserve">Tubo de vidrio de 5/8" de 1 mt </t>
  </si>
  <si>
    <t>Pintura PQB</t>
  </si>
  <si>
    <t>Otros</t>
  </si>
  <si>
    <t>Total Costos de mantenimiento</t>
  </si>
  <si>
    <t>(A) - Estructura de equipos de dosificación</t>
  </si>
  <si>
    <t>Costo Unidad [AR$]</t>
  </si>
  <si>
    <t>Costo Mensual [AR$/mes</t>
  </si>
  <si>
    <t>hay un desuento del 20%</t>
  </si>
  <si>
    <t>Kit de empaquetaduras</t>
  </si>
  <si>
    <t>Conjunto de valvulas DE/DECI/DEN</t>
  </si>
  <si>
    <t>Kit de válvula cabezal DE/DECI/DEN</t>
  </si>
  <si>
    <t>Embolo buzo  DE/DECI/DEN</t>
  </si>
  <si>
    <t>Valvula bolilla acero inoxidable</t>
  </si>
  <si>
    <t>Valvula bolilla ceramica</t>
  </si>
  <si>
    <t>Grifo de purga</t>
  </si>
  <si>
    <t>Rodamiento de mando</t>
  </si>
  <si>
    <t>Kit visor</t>
  </si>
  <si>
    <t>Kit tapón de carga de aceite</t>
  </si>
  <si>
    <t>Limpia vástago wipper</t>
  </si>
  <si>
    <t>Kit de juntas DEC</t>
  </si>
  <si>
    <t>Conjunto cabezal DEC/DEN</t>
  </si>
  <si>
    <t>Motor de accionamiento</t>
  </si>
  <si>
    <t>Kit de juntas DEN (Carter y distribuidor)</t>
  </si>
  <si>
    <t>Diafragma motor</t>
  </si>
  <si>
    <t>Diafragma de servo valvula</t>
  </si>
  <si>
    <t>Distribuidor DEN</t>
  </si>
  <si>
    <t>Servo valvula DEN</t>
  </si>
  <si>
    <t>Regulador de presión</t>
  </si>
  <si>
    <t>Resorte DEN/S y DEN/E</t>
  </si>
  <si>
    <t>Regulador de caudal</t>
  </si>
  <si>
    <t>(B) - Bombas para equipos de dosificación</t>
  </si>
  <si>
    <t>DECI 10/70Dosificadora a embolo buzo de accionamiento eléctrico ELASTÓMERO ( Viton® ),  PTFE ( Teflon® )</t>
  </si>
  <si>
    <t>DECI 15/140Dosificadora a embolo buzo de accionamiento eléctrico ELASTÓMERO ( Viton® ), PTFE ( Teflon® )</t>
  </si>
  <si>
    <t>DEN/S 10 Bombas Dosificadora a Émbolo Buzo de Accionamiento Neumático ELASTÓMERO ( Viton® ), PTFE ( Teflon® )</t>
  </si>
  <si>
    <t>DEN/E 10 Bombas Dosificadora a Émbolo Buzo de Accionamiento Neumático ELASTÓMERO ( Viton® ), PTFE ( Teflon® )</t>
  </si>
  <si>
    <t>DEN/E 15 Bombas Dosificadora a Émbolo Buzo de Accionamiento Neumático ELASTÓMERO ( Viton® ), PTFE ( Teflon® )</t>
  </si>
  <si>
    <t>MIRBLA ISM 225</t>
  </si>
  <si>
    <t xml:space="preserve">WILDEN P.025 POLI/TEFLON  </t>
  </si>
  <si>
    <t>COSTOS DE INSTALACIÓN</t>
  </si>
  <si>
    <t>TUBO INOX. 1/4" X 0,89 mm</t>
  </si>
  <si>
    <t>CONECTOR RECTO 1/4" OD X 1/4" NPT.</t>
  </si>
  <si>
    <t>CONECTOR CODO 1/4" OD X 1/4" NPT</t>
  </si>
  <si>
    <t>UNIÓN RECTA 1/4" OD X 1/4" OD AISI 316</t>
  </si>
  <si>
    <t>VIROLA Y CONTRAVIROLA DE 1/4"</t>
  </si>
  <si>
    <t>TUERCA, VIROLA Y CONTRAVIROLA DE 1/4"</t>
  </si>
  <si>
    <t>VÁLVULA DE RETENCIÓN ABAC 1/4".</t>
  </si>
  <si>
    <t>REGULADORA DE PRESION FISHER, RANGO 0-800 PSI</t>
  </si>
  <si>
    <t>REGULADORA DE 1/4"S/ LUBRICADOR, RANGO 0-100 PSI</t>
  </si>
  <si>
    <t>BUJE DE REDUCCIÓN DE 1/2" X 1/4" AISI 316 S-3000</t>
  </si>
  <si>
    <t>TAPONES 1/4" NPT AISI 316 S-3000</t>
  </si>
  <si>
    <t>Cable 4 x 3 soterrado</t>
  </si>
  <si>
    <t>Total Costo de Instalación [AR$/mes]</t>
  </si>
  <si>
    <t>(C) - Instalaciones  en locación</t>
  </si>
  <si>
    <t>Importe [AR$]</t>
  </si>
  <si>
    <t>Instalación neumática en pozos</t>
  </si>
  <si>
    <t>Instalación neumática en plantas o baterías</t>
  </si>
  <si>
    <t>Instalación eléctrica en pozos</t>
  </si>
  <si>
    <t>Instalación eléctrica en plantas o baterías</t>
  </si>
  <si>
    <t>(D) - Accesorios</t>
  </si>
  <si>
    <t>Transmisor de nivel</t>
  </si>
  <si>
    <t>Indicador de nivel DOSIVAC</t>
  </si>
  <si>
    <t>Caudalimetro Volumétrico DOSIVAC</t>
  </si>
  <si>
    <t>Interruptor de caudal</t>
  </si>
  <si>
    <t>Transmisor de Presión</t>
  </si>
  <si>
    <t>Variador de frecuencia</t>
  </si>
  <si>
    <t>Control total trif 220v ó 380v DOSIVAC</t>
  </si>
  <si>
    <t>Válvula de alivio y recirculación 1/2" - SET [100bar]</t>
  </si>
  <si>
    <t xml:space="preserve">Válvula aguja 1/4" AISI316L </t>
  </si>
  <si>
    <t>Válvula esférica 3C bridada 1/2" AISI316L</t>
  </si>
  <si>
    <t xml:space="preserve">Tubo graduado de vidrio de 5/8" de 1 mt </t>
  </si>
  <si>
    <t>Transformador eléctrico 1KVA 480-380V</t>
  </si>
  <si>
    <t>Manómetro 2 1/2" c/Glicerina nptm1/2"L</t>
  </si>
  <si>
    <t>Filtro "Y" INOX "GORA" 180 MIC</t>
  </si>
  <si>
    <t>Filtro "T" INOX "GORA" 180 MIC</t>
  </si>
  <si>
    <t>Válvula esférica NPTH 3 cuerpos roscada 1/4" AISI316L</t>
  </si>
  <si>
    <t>Válvula esférica NPTH 3 cuerpos roscada 1/2" AISI316L</t>
  </si>
  <si>
    <t>Válvula esférica NPTH 3 cuerpos roscada 3/4" AISI316L</t>
  </si>
  <si>
    <t>Válvula esférica NPTH 3 cuerpos roscada 1" AISI316L</t>
  </si>
  <si>
    <t>Contenedor de 1000 lts Better reforzado FORMIGPLAS</t>
  </si>
  <si>
    <t>Contenedor de 1000 lts Better descartable FORMIGPLAS</t>
  </si>
  <si>
    <t>Tanque de  240 lts tipo aceitunero</t>
  </si>
  <si>
    <t>Tanque de 189 lts Cónico de alta densidad FORMIGPLAS</t>
  </si>
  <si>
    <t>Canon por Instalación de equipo transmisión satelital</t>
  </si>
  <si>
    <t>Canon mensual por servicio de transmisión de datos (C/1hs)</t>
  </si>
  <si>
    <t>Comb-Lub</t>
  </si>
  <si>
    <t>Analisis I&amp;C</t>
  </si>
  <si>
    <t>Hierro Total</t>
  </si>
  <si>
    <t>Residual de fosfonatos</t>
  </si>
  <si>
    <t>Hidrocarburo en agua y sólidos</t>
  </si>
  <si>
    <t>Bacterias (BAT, BSR, BPA)</t>
  </si>
  <si>
    <t>Análisis fisicoquímico completo</t>
  </si>
  <si>
    <t>Agua</t>
  </si>
  <si>
    <t>Asfalteno y Parafina</t>
  </si>
  <si>
    <t>Contenido de sales</t>
  </si>
  <si>
    <t>% BSW (Agua, Emulsión y Sólidos)</t>
  </si>
  <si>
    <t>Petróleo</t>
  </si>
  <si>
    <t>Costo unitario [$]</t>
  </si>
  <si>
    <t>Costo Total [u$d]</t>
  </si>
  <si>
    <t>Costo unitario [u$d]</t>
  </si>
  <si>
    <t>Cantidad [#/mes]</t>
  </si>
  <si>
    <t>Análisis y Determinaciones</t>
  </si>
  <si>
    <t>Insumos de Laboratorio</t>
  </si>
  <si>
    <t>PICK UP TOYOTA HILUX 4X4 D/C DX 2.4 TDI</t>
  </si>
  <si>
    <t>PICK UP TOYOTA HILUX 4x4 S/C DX 2.4 TDI</t>
  </si>
  <si>
    <t>HIDROGRUA HIAB MOD. 140 6 TON</t>
  </si>
  <si>
    <t>2.5</t>
  </si>
  <si>
    <t>3.3</t>
  </si>
  <si>
    <t>3.4</t>
  </si>
  <si>
    <t>3.5</t>
  </si>
  <si>
    <t>Consumo km/lt</t>
  </si>
  <si>
    <t>Consumo Lt/Km</t>
  </si>
  <si>
    <t>Mes</t>
  </si>
  <si>
    <t>JA</t>
  </si>
  <si>
    <t>Sup</t>
  </si>
  <si>
    <t>CSMA</t>
  </si>
  <si>
    <t>Op</t>
  </si>
  <si>
    <t>IA</t>
  </si>
  <si>
    <t>H2S Kitawa</t>
  </si>
  <si>
    <t>BOMBA Kitagawa</t>
  </si>
  <si>
    <t>MO</t>
  </si>
  <si>
    <t>V</t>
  </si>
  <si>
    <t>GO</t>
  </si>
  <si>
    <t>IPIM</t>
  </si>
  <si>
    <t>Estructura de Costo</t>
  </si>
  <si>
    <t>Mano de Obra</t>
  </si>
  <si>
    <t>Vehiculos</t>
  </si>
  <si>
    <t>Combustibles - Lubriucantes</t>
  </si>
  <si>
    <t>Insumos generales</t>
  </si>
  <si>
    <t>Incidencia</t>
  </si>
  <si>
    <t>Fuente de datos</t>
  </si>
  <si>
    <t>Mes base</t>
  </si>
  <si>
    <t>CCT 644/12</t>
  </si>
  <si>
    <t>Indec</t>
  </si>
  <si>
    <t>Índice en formula</t>
  </si>
  <si>
    <t>Opción</t>
  </si>
  <si>
    <t>Item</t>
  </si>
  <si>
    <r>
      <t>Servicio de aplicación de productos químicos mediante batcheo y reposición en puntos de dosificación continua mediante bomba dosificadora:</t>
    </r>
    <r>
      <rPr>
        <sz val="12"/>
        <rFont val="Arial"/>
        <family val="2"/>
      </rPr>
      <t xml:space="preserve"> Se solicita cotizar el servicio mensual de 1 camión con 2 (dos) operadores (oficiales con carnet habilitante) equipado con hidrogrúa apta para izaje de skid de dosificación e IBC de productos químicos, bomba  para trasvase de producto químico, con bomba back up para trasvase, bomba triplex para batcheo de hasta 2000 psi, capacidad de carga de 8 totes (no fijos) de apróx. 1000 lt, dispositivo de conexión a pozo, mangueras de 1 pulgada certificada con grilletes y acoples rápidos, manómetros, caudalímetros, bandeja ecológica, elementos de seguridad y material absorbente para contención y saneamiento de derrames, y todo aquel dispositivo que permita cumplir con la funcionalidad esperada. El móvil debe estar equipado con la radio base y el sistema de comunicación que Pampa Energía determine. Los operadores deberán contar con al menos un telefono celular con cobertura en los activos de Pampa Energía </t>
    </r>
  </si>
  <si>
    <r>
      <t>Servicio de control de sistemas continuos de dosificación:</t>
    </r>
    <r>
      <rPr>
        <sz val="12"/>
        <rFont val="Arial"/>
        <family val="2"/>
      </rPr>
      <t xml:space="preserve"> Se solicita cotizar el servicio mensual de 2 pick ups cabina doble 4x4, con 1 operador (oficial) + 1 ayudante por cada móvil, equipado con caja de herramientas para reparaciones menores de los sistemas dosificadores (reparación de pérdidas, limpieza de bandejas ecológicas, control y ajuste de dosificación según programa de PESA, limpieza de filtros, purga de los pulmones de gas de alimentación de bombas, reemplazo de bombas dosificadoras, instalación y conexión de sistemas de dosificación en boca de pozo o plantas, etc), pala, material absorbente para contención y saneamiento de derrames, además de la elaboración y ejecución de un programa de mantenimiento preventivo de los sistemas de dosificación que permita cumplir con el programa de aplicación previsto en cada sitio.  El móvil debe estar equipado con la radio base y el sistema de comunicación que Pampa Energía determine. Los operadores deberán contar con al menos un telefono celular con cobertura en los activos de Pampa Energía </t>
    </r>
  </si>
  <si>
    <r>
      <t>Servicio de Representante técnico:</t>
    </r>
    <r>
      <rPr>
        <sz val="12"/>
        <rFont val="Arial"/>
        <family val="2"/>
      </rPr>
      <t xml:space="preserve"> Se solicita cotizar el servicio mensual de un supervisor operativo con perfil técnico con movilidad propia (pick up 4x4 cabina simple) que oficie de nexo entre el personal netamente operativo de su empresa y Pampa Energía. Dicho servicio será prestado</t>
    </r>
    <r>
      <rPr>
        <b/>
        <sz val="12"/>
        <rFont val="Arial"/>
        <family val="2"/>
      </rPr>
      <t xml:space="preserve"> 2 veces por semana</t>
    </r>
    <r>
      <rPr>
        <sz val="12"/>
        <rFont val="Arial"/>
        <family val="2"/>
      </rPr>
      <t xml:space="preserve">. El móvil debe estar equipado con la radio base y el sistema de comunicación que Pampa Energía determine. Los operadores deberán contar con al menos un telefono celular con cobertura en los activos de Pampa Energía </t>
    </r>
  </si>
  <si>
    <r>
      <t xml:space="preserve">Servicio técnico de soporte de Ingeniería: </t>
    </r>
    <r>
      <rPr>
        <sz val="12"/>
        <rFont val="Arial"/>
        <family val="2"/>
      </rPr>
      <t xml:space="preserve">Se solicita cotizar la asistencia técnica de 1 Ingeniero capacitado en temas de tratamientos químicos de los productos cotizados. Dicho servicio será prestado </t>
    </r>
    <r>
      <rPr>
        <b/>
        <sz val="12"/>
        <rFont val="Arial"/>
        <family val="2"/>
      </rPr>
      <t>solo a demanda</t>
    </r>
    <r>
      <rPr>
        <sz val="12"/>
        <rFont val="Arial"/>
        <family val="2"/>
      </rPr>
      <t>.</t>
    </r>
  </si>
  <si>
    <r>
      <t xml:space="preserve">Servicio técnico de un laboratorista: </t>
    </r>
    <r>
      <rPr>
        <sz val="12"/>
        <rFont val="Arial"/>
        <family val="2"/>
      </rPr>
      <t xml:space="preserve">Se solicita cotizar la asistencia técnica de 1 laboratorista con movilidad propia (pick up 4x4 cabina simple) y capacitado en muestreo y análisis fisico-químico de fluidos producidos (agua, petróleo y gas). Dicho servicio será prestado </t>
    </r>
    <r>
      <rPr>
        <b/>
        <sz val="12"/>
        <rFont val="Arial"/>
        <family val="2"/>
      </rPr>
      <t>1 vez por semana</t>
    </r>
    <r>
      <rPr>
        <sz val="12"/>
        <rFont val="Arial"/>
        <family val="2"/>
      </rPr>
      <t xml:space="preserve">. El móvil debe estar equipado con la radio base y el sistema de comunicación que Pampa Energía determine. Los operadores deberán contar con al menos un telefono celular con cobertura en los activos de Pampa Energía </t>
    </r>
  </si>
  <si>
    <r>
      <t xml:space="preserve">Servicio técnico de un responsable de seguridad: </t>
    </r>
    <r>
      <rPr>
        <sz val="12"/>
        <rFont val="Arial"/>
        <family val="2"/>
      </rPr>
      <t xml:space="preserve">Se solicita cotizar la asistencia técnica de 1 técnico en seguridad. Dicho servicio será prestado </t>
    </r>
    <r>
      <rPr>
        <b/>
        <sz val="12"/>
        <rFont val="Arial"/>
        <family val="2"/>
      </rPr>
      <t>1 vez por semana</t>
    </r>
    <r>
      <rPr>
        <sz val="12"/>
        <rFont val="Arial"/>
        <family val="2"/>
      </rPr>
      <t>.</t>
    </r>
  </si>
  <si>
    <r>
      <t>Servicio de aplicación de productos químicos mediante batcheo:</t>
    </r>
    <r>
      <rPr>
        <sz val="12"/>
        <rFont val="Arial"/>
        <family val="2"/>
      </rPr>
      <t xml:space="preserve"> Se solicita cotizar el servicio de 1 camión con 1 (un) operador (oficial con carnet habilitante) + 1 ayudante, equipado con con hidrogrúa apta para izaje de skid de dosificación e IBC de productos químicos, bomba para trasvase de producto químico, con bomba back up para trasvase, bomba triplex para batcheo de hasta 5000 psi, dispositivo de conexión a pozo, línea de conexionado certificada para 5000 psi, mangueras de 1 pulgada certificada con grilletes y acoples rápidos, manómetros, caudalímetros, bandeja ecológica, elementos de seguridad y material absorbente para contención y saneamiento de derrames, y todo aquel dispositivo que permita cumplir con la funcionalidad esperada. Dicho servicio será prestado </t>
    </r>
    <r>
      <rPr>
        <b/>
        <sz val="12"/>
        <rFont val="Arial"/>
        <family val="2"/>
      </rPr>
      <t>solo a demanda programada</t>
    </r>
    <r>
      <rPr>
        <sz val="12"/>
        <rFont val="Arial"/>
        <family val="2"/>
      </rPr>
      <t xml:space="preserve">. El móvil debe estar equipado con la radio base y el sistema de comunicación que Pampa Energía determine. Los operadores deberán contar con al menos un telefono celular con cobertura en los activos de Pampa Energía </t>
    </r>
  </si>
  <si>
    <r>
      <t xml:space="preserve">Servicio de Trailer Vestidor: </t>
    </r>
    <r>
      <rPr>
        <sz val="12"/>
        <rFont val="Arial"/>
        <family val="2"/>
      </rPr>
      <t xml:space="preserve">Se solicita cotizar un trailer vestuario/cambiador que deberá ser utilizado exclusivamente para tal fin. Pampa Energía suministrará energía electrica pero no proveerá la instalación de cloacas ni provisión de agua. No se autoriza la instalación de dispenser de agua ni anafes. Las tareas de limpieza y mantenimiento serán a cargo del contratista, entre ellas las mediciones de puesta tierra y demás exigencias de tipo legal, seguridad y medio ambiente.  </t>
    </r>
  </si>
  <si>
    <t>Operador - Chofer</t>
  </si>
  <si>
    <t>Laboratorista</t>
  </si>
  <si>
    <t>Servicio de reposición (hs 50%)</t>
  </si>
  <si>
    <t>Servicio de reposición (hs 100%)</t>
  </si>
  <si>
    <t>Servicio de control y mantenimiento (50%)</t>
  </si>
  <si>
    <t>Servicio de control y mantenimiento (100%)</t>
  </si>
  <si>
    <t>Reposición</t>
  </si>
  <si>
    <t>Control</t>
  </si>
  <si>
    <t>Camión reposición con hydro grua</t>
  </si>
  <si>
    <t>Camión batch</t>
  </si>
  <si>
    <t>Pick Up (Control)</t>
  </si>
  <si>
    <t>Pick Up (Laboratorista + Ingeniero)</t>
  </si>
  <si>
    <t>Pick Up (RT, 2 veces PU control)</t>
  </si>
  <si>
    <t>Camión de batch</t>
  </si>
  <si>
    <t>5.3</t>
  </si>
  <si>
    <t>MB Atego 1720-48 EU5</t>
  </si>
  <si>
    <t>Equipo de batch (5000 psi)</t>
  </si>
  <si>
    <t>Calcular km</t>
  </si>
  <si>
    <t>km-mes</t>
  </si>
  <si>
    <t>Pup recorredor</t>
  </si>
  <si>
    <t>Pup RT</t>
  </si>
  <si>
    <t>Pup Laboratorista</t>
  </si>
  <si>
    <t>Pup CSMA</t>
  </si>
  <si>
    <t>Puntos/día</t>
  </si>
  <si>
    <t>Camión reposición</t>
  </si>
  <si>
    <t>Dïas</t>
  </si>
  <si>
    <t>Puntos reposición</t>
  </si>
  <si>
    <t>Volumen mes</t>
  </si>
  <si>
    <t>Volumen punto prom</t>
  </si>
  <si>
    <t>Puntos día</t>
  </si>
  <si>
    <t>Volumen día</t>
  </si>
  <si>
    <t>km-día</t>
  </si>
  <si>
    <t>MB Atego 1720-48 EU5 (batch)</t>
  </si>
  <si>
    <t>PICK UP TOYOTA HILUX 4X4 D/C DX 2.4 TDI (Recorredor)</t>
  </si>
  <si>
    <t>PICK UP TOYOTA HILUX 4X4 D/C DX 2.4 TDI (RT)</t>
  </si>
  <si>
    <t>PICK UP TOYOTA HILUX 4X4 D/C DX 2.4 TDI (Laboratorista/CSMA)</t>
  </si>
  <si>
    <t>Puntos control</t>
  </si>
  <si>
    <t>PICK UP TOYOTA HILUX 4X4 D/C DX 2.4 TDI (Laboratorista/CSMA/IA)</t>
  </si>
  <si>
    <t>2.6</t>
  </si>
  <si>
    <t>3.6</t>
  </si>
  <si>
    <t>5.2</t>
  </si>
  <si>
    <t>5.4</t>
  </si>
  <si>
    <t>5.5</t>
  </si>
  <si>
    <t>Sistemas de comunicación de unidades (Pup Control)</t>
  </si>
  <si>
    <t>Sistemas de comunicación de unidades (Pup IA/RT/CSMA/Lab)</t>
  </si>
  <si>
    <t>Sistemas de comunicación de unidades (camipon rep)</t>
  </si>
  <si>
    <t>Sistemas de comunicación de unidades (Camion batch)</t>
  </si>
  <si>
    <t xml:space="preserve">Herramientas recorredor </t>
  </si>
  <si>
    <t>Comunicación (Reposición)</t>
  </si>
  <si>
    <t>Comunicación (Control)</t>
  </si>
  <si>
    <t>Comunicación (RT/Lab/CSMA/IA)</t>
  </si>
  <si>
    <t>día</t>
  </si>
  <si>
    <t>Herramientas para unidad equipo pesado (batch)</t>
  </si>
  <si>
    <t>Comunicación (Batch)</t>
  </si>
  <si>
    <t>Herramientas lab</t>
  </si>
  <si>
    <t>Operador - Chofer (batch)</t>
  </si>
  <si>
    <t>5.6</t>
  </si>
  <si>
    <t>5.7</t>
  </si>
  <si>
    <t>5.8</t>
  </si>
  <si>
    <t>4.3</t>
  </si>
  <si>
    <t>4.4</t>
  </si>
  <si>
    <t>1.3</t>
  </si>
  <si>
    <t>1.4</t>
  </si>
  <si>
    <t>1.5</t>
  </si>
  <si>
    <t>1.6</t>
  </si>
  <si>
    <t>1.7</t>
  </si>
  <si>
    <t>1.8</t>
  </si>
  <si>
    <t>Costo</t>
  </si>
  <si>
    <t>k</t>
  </si>
  <si>
    <t>Precio</t>
  </si>
  <si>
    <t>Venta</t>
  </si>
  <si>
    <t>Pick Up (Ingeniero)</t>
  </si>
  <si>
    <t>hora</t>
  </si>
  <si>
    <t>Equipo de batch</t>
  </si>
  <si>
    <t>4.5</t>
  </si>
  <si>
    <t>L-V 8hs</t>
  </si>
  <si>
    <t>Hs 50%</t>
  </si>
  <si>
    <t>Hs 100%</t>
  </si>
  <si>
    <t>Q</t>
  </si>
  <si>
    <t>Chofer</t>
  </si>
  <si>
    <t>Puesto</t>
  </si>
  <si>
    <t>Hs50%</t>
  </si>
  <si>
    <t>Hs100%</t>
  </si>
  <si>
    <t>Horas al 50 y 100</t>
  </si>
  <si>
    <t>Ajusta por</t>
  </si>
  <si>
    <t>1. Servicio de reposición</t>
  </si>
  <si>
    <t>2. Servicio de control y mantenimiento</t>
  </si>
  <si>
    <t>5. Servicio Laboratorista</t>
  </si>
  <si>
    <t>8. Servicio de Trailer Vestidor</t>
  </si>
  <si>
    <t>4. Servicio Ing. Aplicación</t>
  </si>
  <si>
    <t>6. Servicio Técnico en Seguridad</t>
  </si>
  <si>
    <t>3. Servicio Responsable Técnico</t>
  </si>
  <si>
    <t>http://www.acara.org.ar/ (Mercedez Benz Atego 1726-42 C/Simple EU5 )</t>
  </si>
  <si>
    <t>Secretaría de energía de la nación - Gasoil Grado 3 - Precio Venta al Publico - Estación de servicio Petro Oeste SRL (http://res1104.se.gob.ar/)</t>
  </si>
  <si>
    <t>7. Servicio de Batch con camión</t>
  </si>
  <si>
    <t>ANEXO I</t>
  </si>
  <si>
    <t>PLANILLA DE COTIZACION DEL SERVICIO DE APLICACIÓN, REPOSICIÓN Y CONTROL DE PRODUCTOS QUÍMICOS - Planilla B</t>
  </si>
  <si>
    <t>Lunes a Viernes de 8 a 18 hs</t>
  </si>
  <si>
    <t>Horas extras al 50%</t>
  </si>
  <si>
    <t>Horas extras al 100%</t>
  </si>
  <si>
    <t>$/mes</t>
  </si>
  <si>
    <t>$/hora</t>
  </si>
  <si>
    <t>$/dia</t>
  </si>
  <si>
    <t>PLANILLA DE COTIZACION DE PROVISIÓN DE PRODUCTOS QUÍMICOS - Planilla A</t>
  </si>
  <si>
    <t>Productos químicos</t>
  </si>
  <si>
    <t>Inhibidor de corrosión para aplicación en Batch y Túbing saver para pozos productores de gas</t>
  </si>
  <si>
    <t>Inhibidor de corrosión para dosif contínua por capilar en pozos productores de gas y líneas de conducción de gas</t>
  </si>
  <si>
    <t>Inhibidor de corrosión para dosif en contínua en PIAS</t>
  </si>
  <si>
    <t>Inhibidor de corrosión para red contra incendios</t>
  </si>
  <si>
    <t>Fluid Packer (Inhibidor de corrosión + biocida + secuestrante de O2)</t>
  </si>
  <si>
    <t>Inhibidor de Incrustación para CaCO3 y CaSO4/BaSO4 ( dual )  Baterías y Agua de inyección</t>
  </si>
  <si>
    <t>Secuestrante de SH2 en gas para pozos de gas y separadores (con inh. de incrustaciones)</t>
  </si>
  <si>
    <t>Secuestrante de Oxígeno para agua salada</t>
  </si>
  <si>
    <t>Dispersante de parafinas - Solvente de parafinas</t>
  </si>
  <si>
    <t>Inhibidor de parafinas para pozos productores de petroleo</t>
  </si>
  <si>
    <t>Inhibidor de hidratos para gas (libre de metanol)</t>
  </si>
  <si>
    <t>Ruptor/inhibidor de hidratos - metanol</t>
  </si>
  <si>
    <t>Biocida batcheo pozo (base glutaraldehido + amonio cuaternario)</t>
  </si>
  <si>
    <t>Biocida (base glutaraldehido)</t>
  </si>
  <si>
    <t>Biocida (base THPS)</t>
  </si>
  <si>
    <t>Limpiador de capilares</t>
  </si>
  <si>
    <t>Inhibidor de Sales en pozos productores de gas ( NaCl)</t>
  </si>
  <si>
    <t>Hipoclorito de sodio</t>
  </si>
  <si>
    <t>Ruptor de emulsión para slop oil</t>
  </si>
  <si>
    <t>Desemulsionante</t>
  </si>
  <si>
    <t>Espumante pozos con bajo contenido de HC</t>
  </si>
  <si>
    <t>Espumante pozos con alto contenido de HC</t>
  </si>
  <si>
    <t>Producto dual (Espumante + Inhibidor de corrosión)</t>
  </si>
  <si>
    <t>Unidad de medida</t>
  </si>
  <si>
    <t>Producto solicitado</t>
  </si>
  <si>
    <t>%</t>
  </si>
  <si>
    <t>A1</t>
  </si>
  <si>
    <t>A2</t>
  </si>
  <si>
    <t>Observaciones Laboratorio</t>
  </si>
  <si>
    <t>Observaciones JBJB</t>
  </si>
  <si>
    <t>Consumo 60 meses</t>
  </si>
  <si>
    <t>Flete</t>
  </si>
  <si>
    <t>CY8760W</t>
  </si>
  <si>
    <t>CY8780</t>
  </si>
  <si>
    <t>Lic 2015 CY8780</t>
  </si>
  <si>
    <t>EERR</t>
  </si>
  <si>
    <t>60M</t>
  </si>
  <si>
    <t>1M</t>
  </si>
  <si>
    <t>ECY1040</t>
  </si>
  <si>
    <t>ECY1022</t>
  </si>
  <si>
    <t>(ECY1040 Opción de PAE tiene 5% de inh. corrosión, es con una base espumante más económica que la del ECY914). Actual Halliburton 80% ESB + 20% CY, se aplican separados. Podremos hacer algo similar? Vjas /Djas?. ECY899 (14% de CY). Podremos aumentar CY en ECY1040</t>
  </si>
  <si>
    <t>Consumo [lts]</t>
  </si>
  <si>
    <t>ESB920</t>
  </si>
  <si>
    <t>ESB800</t>
  </si>
  <si>
    <t>(menor %de activo que el ESB900, anda bien en HC bajos) (ESB 800 eficiencia comprobada en varios yacimientos de la cuenca)</t>
  </si>
  <si>
    <t>IC5400</t>
  </si>
  <si>
    <t>Ruptor/inhibidor de hidratos -metanol</t>
  </si>
  <si>
    <t>SB14</t>
  </si>
  <si>
    <t>CP</t>
  </si>
  <si>
    <t>Inhibidor de Sales en pozos productores de gas (NaCl)</t>
  </si>
  <si>
    <t>IC108</t>
  </si>
  <si>
    <t>BSH8080</t>
  </si>
  <si>
    <t>BSH515</t>
  </si>
  <si>
    <t>BXC1133</t>
  </si>
  <si>
    <t>BXC3201</t>
  </si>
  <si>
    <t>CY802</t>
  </si>
  <si>
    <t>CY51W</t>
  </si>
  <si>
    <t>BXC3234</t>
  </si>
  <si>
    <t>tenemos otra opcioón???</t>
  </si>
  <si>
    <t>ESB9846</t>
  </si>
  <si>
    <t>BX150</t>
  </si>
  <si>
    <t>DBN1488</t>
  </si>
  <si>
    <t>KPF28</t>
  </si>
  <si>
    <t>KPF7</t>
  </si>
  <si>
    <t>TFDP. No se sugiere para altas T KPF7</t>
  </si>
  <si>
    <t>CY8760</t>
  </si>
  <si>
    <t>Ir con 8760</t>
  </si>
  <si>
    <t>BX989</t>
  </si>
  <si>
    <t>BX920</t>
  </si>
  <si>
    <t>RFI Pluspetrol aclarar THPC - ver menor precio</t>
  </si>
  <si>
    <t>SO4345</t>
  </si>
  <si>
    <t>DPB58</t>
  </si>
  <si>
    <t>DPA7367S esp asfaltenos</t>
  </si>
  <si>
    <t xml:space="preserve">Inhibidor de parafinas para pozos productores de petróleo </t>
  </si>
  <si>
    <t>IPB650A</t>
  </si>
  <si>
    <t>IPB651</t>
  </si>
  <si>
    <t>IPB953/935 opción parafinas</t>
  </si>
  <si>
    <t>BHI30</t>
  </si>
  <si>
    <t>BHI22</t>
  </si>
  <si>
    <t>DS600</t>
  </si>
  <si>
    <t>RT75</t>
  </si>
  <si>
    <t>Ver nota 1</t>
  </si>
  <si>
    <t>Unidad [USD/litro]</t>
  </si>
  <si>
    <t>Tarifas Base</t>
  </si>
  <si>
    <t>Denominación Comercial</t>
  </si>
  <si>
    <t>Ver Nota 1</t>
  </si>
  <si>
    <t>PQ</t>
  </si>
  <si>
    <t>WPU061</t>
  </si>
  <si>
    <t>Tasa de Cambio</t>
  </si>
  <si>
    <t>Formula de Ajuste para Servicios</t>
  </si>
  <si>
    <t>Formula de Ajuste para Productos Químicos</t>
  </si>
  <si>
    <t>La aplicación de la formula se realizará cuando se origine alguna de las siguientes condiciones:</t>
  </si>
  <si>
    <r>
      <t>ü</t>
    </r>
    <r>
      <rPr>
        <sz val="7"/>
        <color theme="1"/>
        <rFont val="Times New Roman"/>
        <family val="1"/>
      </rPr>
      <t xml:space="preserve">  </t>
    </r>
    <r>
      <rPr>
        <sz val="12"/>
        <color theme="1"/>
        <rFont val="Arial"/>
        <family val="2"/>
      </rPr>
      <t>Semestralmente.</t>
    </r>
  </si>
  <si>
    <r>
      <t>ü</t>
    </r>
    <r>
      <rPr>
        <sz val="7"/>
        <color theme="1"/>
        <rFont val="Times New Roman"/>
        <family val="1"/>
      </rPr>
      <t xml:space="preserve">  </t>
    </r>
    <r>
      <rPr>
        <sz val="12"/>
        <color theme="1"/>
        <rFont val="Arial"/>
        <family val="2"/>
      </rPr>
      <t xml:space="preserve">Cuando existan variaciones en el costo de mano de obra según CCT644/12. </t>
    </r>
  </si>
  <si>
    <r>
      <t>ü</t>
    </r>
    <r>
      <rPr>
        <sz val="7"/>
        <color theme="1"/>
        <rFont val="Times New Roman"/>
        <family val="1"/>
      </rPr>
      <t xml:space="preserve">  </t>
    </r>
    <r>
      <rPr>
        <sz val="12"/>
        <color theme="1"/>
        <rFont val="Arial"/>
        <family val="2"/>
      </rPr>
      <t>Cuando la variación mensual sea superior al 5%, o exista una variación acumulada superior al 15%.</t>
    </r>
  </si>
  <si>
    <t>La aplicación de la formula se realizará bajo alguna de las siguientes condiciones:</t>
  </si>
  <si>
    <t>Venta [USD]</t>
  </si>
  <si>
    <t>Costo [USD]</t>
  </si>
  <si>
    <t>Global</t>
  </si>
  <si>
    <t>K</t>
  </si>
  <si>
    <t>Gasto Estimado [USD]</t>
  </si>
  <si>
    <t>Contribución Primaria [USD]</t>
  </si>
  <si>
    <t>USD</t>
  </si>
  <si>
    <t>Trailer</t>
  </si>
  <si>
    <t>Planta de efluentes</t>
  </si>
  <si>
    <t>TC Vta Divisas</t>
  </si>
  <si>
    <t>Neumaticos</t>
  </si>
  <si>
    <t>Cubierta</t>
  </si>
  <si>
    <t>Costo unitario $</t>
  </si>
  <si>
    <t>Consumo $/km</t>
  </si>
  <si>
    <t>Servicio Plantas Moviles</t>
  </si>
  <si>
    <t>Frecuencia</t>
  </si>
  <si>
    <t>Servicio de tratamiento de efluentes cloacales con PTEC móvil</t>
  </si>
  <si>
    <t>Día</t>
  </si>
  <si>
    <t>Un</t>
  </si>
  <si>
    <t>Asistencia en DTM</t>
  </si>
  <si>
    <t>Desmovilización finaldel Servicio</t>
  </si>
  <si>
    <t>Servicio de camión de vacío (Capac. 9 m3)</t>
  </si>
  <si>
    <t>Muestreo y Análisis de Efluentes Tratados (Cumplimiento Legal)</t>
  </si>
  <si>
    <t>Instalación y Conexión de Trailer Componente de Campamento</t>
  </si>
  <si>
    <t>Costo sin IVA</t>
  </si>
  <si>
    <t>PQ no dado de alta</t>
  </si>
  <si>
    <t>Venta [ARS]</t>
  </si>
  <si>
    <t>Mark Up Solo TQ</t>
  </si>
  <si>
    <t>Mark Up Scio + TQ</t>
  </si>
  <si>
    <t>EERR Resultado Mensual en USD</t>
  </si>
  <si>
    <t>Implica un descuento en el servicio de</t>
  </si>
  <si>
    <t>CR A2     (dic-22)</t>
  </si>
  <si>
    <t>Área</t>
  </si>
  <si>
    <t>Pozo</t>
  </si>
  <si>
    <t>Planta, Batería, Pozo</t>
  </si>
  <si>
    <t>Aplicación [Continua/batch]</t>
  </si>
  <si>
    <t>Punto de inyección</t>
  </si>
  <si>
    <t>Ubicación</t>
  </si>
  <si>
    <t>Tratamiento químico</t>
  </si>
  <si>
    <t>Producto Químico</t>
  </si>
  <si>
    <t>Sierra Chata</t>
  </si>
  <si>
    <t xml:space="preserve"> SCH E 2</t>
  </si>
  <si>
    <t>Continuo</t>
  </si>
  <si>
    <t>Tbg</t>
  </si>
  <si>
    <t>Capilar por directa</t>
  </si>
  <si>
    <t>DUAL (Inh. Corrosión + Espumante)</t>
  </si>
  <si>
    <t>SCH E 6</t>
  </si>
  <si>
    <t>SCH 7</t>
  </si>
  <si>
    <t>SCH 15</t>
  </si>
  <si>
    <t>SCH 16</t>
  </si>
  <si>
    <t>SCH 24</t>
  </si>
  <si>
    <t>SCH 43</t>
  </si>
  <si>
    <t>SCH 47</t>
  </si>
  <si>
    <t>SCH 48</t>
  </si>
  <si>
    <t>SCH 61</t>
  </si>
  <si>
    <t>SCH 63</t>
  </si>
  <si>
    <t>SCH 31</t>
  </si>
  <si>
    <t>ESPUMANTE</t>
  </si>
  <si>
    <t xml:space="preserve">SCH 38 </t>
  </si>
  <si>
    <t>SCH 73</t>
  </si>
  <si>
    <t>Tbg/ Cr 13</t>
  </si>
  <si>
    <t>SCH 87</t>
  </si>
  <si>
    <t>SCh 97</t>
  </si>
  <si>
    <t>SCH 1134</t>
  </si>
  <si>
    <t>SCH 1132</t>
  </si>
  <si>
    <t>SCH 113</t>
  </si>
  <si>
    <t>SCH 79</t>
  </si>
  <si>
    <t>INHIBIDOR DE HALITAS</t>
  </si>
  <si>
    <t>SCH 80</t>
  </si>
  <si>
    <t>AGUA</t>
  </si>
  <si>
    <t>SCH 08</t>
  </si>
  <si>
    <t>INHIBIDOR CORROSIÓN</t>
  </si>
  <si>
    <t>SCH 12</t>
  </si>
  <si>
    <t>SCH 28</t>
  </si>
  <si>
    <t>SCH 50</t>
  </si>
  <si>
    <t>SCH 53</t>
  </si>
  <si>
    <t>SCH 82</t>
  </si>
  <si>
    <t>Tbg 2" 3/8" 14 de junio 2014 Cr3</t>
  </si>
  <si>
    <t>SCH 93</t>
  </si>
  <si>
    <t>Tbg 2" 3/8" 10 de junio 2014 J55</t>
  </si>
  <si>
    <t>SCH 102</t>
  </si>
  <si>
    <t>SCH 0X 1</t>
  </si>
  <si>
    <t>LC</t>
  </si>
  <si>
    <t>SCH SX 1</t>
  </si>
  <si>
    <t>SCH NX 1</t>
  </si>
  <si>
    <t>SCH 3</t>
  </si>
  <si>
    <t>SCH E 4</t>
  </si>
  <si>
    <t>SCH E 7</t>
  </si>
  <si>
    <t>SCH E 8</t>
  </si>
  <si>
    <t>SCH E 9</t>
  </si>
  <si>
    <t>SCH 10</t>
  </si>
  <si>
    <t>SCH 14</t>
  </si>
  <si>
    <t>SCH 18</t>
  </si>
  <si>
    <t>SCH 27</t>
  </si>
  <si>
    <t>SCH 34</t>
  </si>
  <si>
    <t>SCH 35</t>
  </si>
  <si>
    <t>SCH 36</t>
  </si>
  <si>
    <t>SCH 37</t>
  </si>
  <si>
    <t>SCH 38</t>
  </si>
  <si>
    <t>SCH 39</t>
  </si>
  <si>
    <t>SCH 40</t>
  </si>
  <si>
    <t>SCH 41</t>
  </si>
  <si>
    <t>SCH 44</t>
  </si>
  <si>
    <t>SCH 46</t>
  </si>
  <si>
    <t>SCH 57</t>
  </si>
  <si>
    <t>SCH 59</t>
  </si>
  <si>
    <t>SCH 60</t>
  </si>
  <si>
    <t>SCH 65</t>
  </si>
  <si>
    <t>SCH 71</t>
  </si>
  <si>
    <t>SCH 72</t>
  </si>
  <si>
    <t>SCH 90</t>
  </si>
  <si>
    <t>SCH 94</t>
  </si>
  <si>
    <t>SCH 98</t>
  </si>
  <si>
    <t>SCH 103</t>
  </si>
  <si>
    <t>SCH 104</t>
  </si>
  <si>
    <t>SCH 106</t>
  </si>
  <si>
    <t>SCH 108</t>
  </si>
  <si>
    <t>SCH 116</t>
  </si>
  <si>
    <t>SCH 119</t>
  </si>
  <si>
    <t>SCH 141</t>
  </si>
  <si>
    <t>SCH 126</t>
  </si>
  <si>
    <t>SCH 130</t>
  </si>
  <si>
    <t>SCH 51</t>
  </si>
  <si>
    <t>PIAS [Pozo Disposal]</t>
  </si>
  <si>
    <t>SCH 1133</t>
  </si>
  <si>
    <t>SCH 1135</t>
  </si>
  <si>
    <t>PNE X 1001</t>
  </si>
  <si>
    <t xml:space="preserve">INHIBIDOR DE INCRUSTACIONES </t>
  </si>
  <si>
    <t>GASODUCTO 16"</t>
  </si>
  <si>
    <t>COLECTOR 3</t>
  </si>
  <si>
    <t>SCH 1004</t>
  </si>
  <si>
    <t>RUPTOR DE HIDRATOS</t>
  </si>
  <si>
    <t>WATER SKIMMER</t>
  </si>
  <si>
    <t>ENTRADA</t>
  </si>
  <si>
    <t>PIAS</t>
  </si>
  <si>
    <t>SALIDA</t>
  </si>
  <si>
    <t>Biocida</t>
  </si>
  <si>
    <t>RED CONTRA INCENDIO (RCI)</t>
  </si>
  <si>
    <t>Batcheo quincenal</t>
  </si>
  <si>
    <t xml:space="preserve">Ingreso TK </t>
  </si>
  <si>
    <t>PTG</t>
  </si>
  <si>
    <t xml:space="preserve">V 1030 </t>
  </si>
  <si>
    <t>salida</t>
  </si>
  <si>
    <t>desemulsionante</t>
  </si>
  <si>
    <t>POZO CAMPAMENTO</t>
  </si>
  <si>
    <t xml:space="preserve">Ingreso Tanque </t>
  </si>
  <si>
    <t>Campamento</t>
  </si>
  <si>
    <t>Biocida Hipoclorito de sodio</t>
  </si>
  <si>
    <t>El Mangrullo</t>
  </si>
  <si>
    <t>Pozo rio</t>
  </si>
  <si>
    <t>ingreso a LC</t>
  </si>
  <si>
    <t>Captacion de agua</t>
  </si>
  <si>
    <t>Linea de ingreso a TK</t>
  </si>
  <si>
    <t>M 1020</t>
  </si>
  <si>
    <t>CAPILAR POR DIRECTA</t>
  </si>
  <si>
    <t>CC12</t>
  </si>
  <si>
    <t>LC M 1105</t>
  </si>
  <si>
    <t>LC M 1104</t>
  </si>
  <si>
    <t>PAD 1</t>
  </si>
  <si>
    <t>M 1105</t>
  </si>
  <si>
    <t>a demanda</t>
  </si>
  <si>
    <t>Batcheo Semanal</t>
  </si>
  <si>
    <t>M 1104</t>
  </si>
  <si>
    <t>MX 2</t>
  </si>
  <si>
    <t>continuo a demanda</t>
  </si>
  <si>
    <t>M 1018</t>
  </si>
  <si>
    <t>Separador Control II</t>
  </si>
  <si>
    <t>PTA EMA</t>
  </si>
  <si>
    <t>Secuestrante H2S + Inh. Incrustaciones</t>
  </si>
  <si>
    <t>Separador General I</t>
  </si>
  <si>
    <t>Separador General II</t>
  </si>
  <si>
    <t>Separador de control 03</t>
  </si>
  <si>
    <t>PIAS EMA</t>
  </si>
  <si>
    <t>Ingreso TK 07</t>
  </si>
  <si>
    <t xml:space="preserve"> PTG</t>
  </si>
  <si>
    <t>Salida Flash</t>
  </si>
  <si>
    <t>Colector de campo 10</t>
  </si>
  <si>
    <t>Secuestrante de H2S</t>
  </si>
  <si>
    <t>E.P.F</t>
  </si>
  <si>
    <t>entrada separador</t>
  </si>
  <si>
    <t>T.P.F</t>
  </si>
  <si>
    <t>Rincón de Aranda</t>
  </si>
  <si>
    <t>RDA X 1001</t>
  </si>
  <si>
    <t>capilar por directa</t>
  </si>
  <si>
    <t>inhibidor de parafinas</t>
  </si>
  <si>
    <t>M-1023</t>
  </si>
  <si>
    <t>Batcheo</t>
  </si>
  <si>
    <t>S/D</t>
  </si>
  <si>
    <t>M.x-3</t>
  </si>
  <si>
    <t>M-1025</t>
  </si>
  <si>
    <t>M-1028</t>
  </si>
  <si>
    <t>M-1031</t>
  </si>
  <si>
    <t>M-1019</t>
  </si>
  <si>
    <t>M-1040</t>
  </si>
  <si>
    <t>M-1048</t>
  </si>
  <si>
    <t>M-1047</t>
  </si>
  <si>
    <t>M-1091</t>
  </si>
  <si>
    <t>M-1062</t>
  </si>
  <si>
    <t>Ma-1051</t>
  </si>
  <si>
    <t>M-1105h</t>
  </si>
  <si>
    <r>
      <rPr>
        <b/>
        <sz val="10"/>
        <color theme="1"/>
        <rFont val="Exo 2"/>
      </rPr>
      <t>(*)</t>
    </r>
    <r>
      <rPr>
        <sz val="10"/>
        <color theme="1"/>
        <rFont val="Exo 2"/>
      </rPr>
      <t xml:space="preserve"> Basado en esquema de dosificación actual en los yacimientos y proporcionado por PESA</t>
    </r>
  </si>
  <si>
    <t>Puntos en continuo</t>
  </si>
  <si>
    <t>Puntos en batch</t>
  </si>
  <si>
    <t>Puntos probables para CTRL Nivel</t>
  </si>
  <si>
    <t>Puntos probables para Skid Full</t>
  </si>
  <si>
    <t>Skid fijo/camión</t>
  </si>
  <si>
    <t>Consumo mes</t>
  </si>
  <si>
    <t>Consumo 60M</t>
  </si>
  <si>
    <t>Comentario para Joanna</t>
  </si>
  <si>
    <t>En la PE tenemos IC108</t>
  </si>
  <si>
    <t>Dosificación [l/día] o [litros batch] (*)</t>
  </si>
  <si>
    <t>Dosificación equ en l/d</t>
  </si>
  <si>
    <t>Dif. EERR a AII</t>
  </si>
  <si>
    <t>telemetría de inyección</t>
  </si>
  <si>
    <t/>
  </si>
  <si>
    <t>Ítem Asociado</t>
  </si>
  <si>
    <t>1 y 2. Reposición - Control y mant.</t>
  </si>
  <si>
    <t>Descripción</t>
  </si>
  <si>
    <t>No cumplir en tiempo y forma</t>
  </si>
  <si>
    <t>Penalidad</t>
  </si>
  <si>
    <t>% Dcto certificación mensual</t>
  </si>
  <si>
    <t>1,5 de la tarifa diaria por día de demora</t>
  </si>
  <si>
    <t>Planilla/ N°</t>
  </si>
  <si>
    <t>B/1</t>
  </si>
  <si>
    <t>B/7</t>
  </si>
  <si>
    <t>A/Todos</t>
  </si>
  <si>
    <t>Provisión de PQ</t>
  </si>
  <si>
    <t>Frecuencia de ocurrencia</t>
  </si>
  <si>
    <t>1,5 por mes</t>
  </si>
  <si>
    <t>Cada 2 meses</t>
  </si>
  <si>
    <t>10% de lo facturado en el mes + 1% por día de demora adicional</t>
  </si>
  <si>
    <t>Comentario</t>
  </si>
  <si>
    <t>Equipos F/S o con desperfectos</t>
  </si>
  <si>
    <t>1,5 días del servicio no prestado - 3 días el incumplir dos días consecutivos de ïtem 1 y 2</t>
  </si>
  <si>
    <t>0,1% de la facturación total Ítem 1 y 2 por cada equipo y pr cada día</t>
  </si>
  <si>
    <t>se considera que un 2,5% de los equipos puede presentar problemas y que la resolución implique 3 días</t>
  </si>
  <si>
    <t>7. Scio Bacth On Call</t>
  </si>
  <si>
    <t>Eficiecia de dosificación por exceso 105%</t>
  </si>
  <si>
    <t>20% del producto no aplicado</t>
  </si>
  <si>
    <t>Producto en exceso</t>
  </si>
  <si>
    <t>Subdosificación</t>
  </si>
  <si>
    <t>Penalidad por subdosificación</t>
  </si>
  <si>
    <t>Multa USD/mes</t>
  </si>
  <si>
    <t>10 puntos por mes sobre 127 = 7,8%</t>
  </si>
  <si>
    <t>Sobredosificación</t>
  </si>
  <si>
    <t>Penalidad por sobredosificación</t>
  </si>
  <si>
    <t>Probabilidad sub</t>
  </si>
  <si>
    <t>Probabilidad sobre</t>
  </si>
  <si>
    <t>se estima que el 15% de los puntos tenga problemas de dosificación (+7,5% - 7,5%)</t>
  </si>
  <si>
    <t>Provisión de PQ (Todo)</t>
  </si>
  <si>
    <t>Eficiecia de dosificación por defecto  90%</t>
  </si>
  <si>
    <t>EERR (penalizado)</t>
  </si>
  <si>
    <t>Reducción en Vta</t>
  </si>
  <si>
    <t>Sin Penalidades</t>
  </si>
  <si>
    <t>Con Penaliades</t>
  </si>
  <si>
    <t>Co Penalidades</t>
  </si>
  <si>
    <t>SI</t>
  </si>
  <si>
    <t>NO</t>
  </si>
  <si>
    <t>Puntos</t>
  </si>
  <si>
    <t>Costo unitario</t>
  </si>
  <si>
    <t>Costo Total</t>
  </si>
  <si>
    <t>Periodo de amortización</t>
  </si>
  <si>
    <t>Costo total [USD/mes]</t>
  </si>
  <si>
    <t>Tipo</t>
  </si>
  <si>
    <t>Sensor de nivel con transmisión de datos</t>
  </si>
  <si>
    <t>Skid Telecomandado</t>
  </si>
  <si>
    <t>Transmisión nube</t>
  </si>
  <si>
    <t>Controlador SAT</t>
  </si>
  <si>
    <t>Se considera no cumplia una vez cada 2 meses + 7 días de demora</t>
  </si>
  <si>
    <t>Porque pusimos 50, nos parece que fue indicado por PM en fx de la inversión aprobada</t>
  </si>
  <si>
    <t>Controlador 46</t>
  </si>
  <si>
    <t>Reducción de Penalidades por Sensorización</t>
  </si>
  <si>
    <t>BSH516</t>
  </si>
  <si>
    <t>BSH970</t>
  </si>
  <si>
    <t>IC110</t>
  </si>
  <si>
    <t>ABC11</t>
  </si>
  <si>
    <t>ABC3010</t>
  </si>
  <si>
    <t>ABC33</t>
  </si>
  <si>
    <t>ABC33SP</t>
  </si>
  <si>
    <t>ABC42</t>
  </si>
  <si>
    <t>ABC54</t>
  </si>
  <si>
    <t>ABC699</t>
  </si>
  <si>
    <t>BHI50SP</t>
  </si>
  <si>
    <t>BPO1560</t>
  </si>
  <si>
    <t>BSH300</t>
  </si>
  <si>
    <t>BSH506</t>
  </si>
  <si>
    <t>BSH507</t>
  </si>
  <si>
    <t>BSH522</t>
  </si>
  <si>
    <t>BSH8050</t>
  </si>
  <si>
    <t>BSH922</t>
  </si>
  <si>
    <t>BX150SP</t>
  </si>
  <si>
    <t>BX158</t>
  </si>
  <si>
    <t>BX225</t>
  </si>
  <si>
    <t>BX245</t>
  </si>
  <si>
    <t>BX256</t>
  </si>
  <si>
    <t>BX256SP</t>
  </si>
  <si>
    <t>BX264</t>
  </si>
  <si>
    <t>BX600</t>
  </si>
  <si>
    <t>BX707</t>
  </si>
  <si>
    <t>BX715</t>
  </si>
  <si>
    <t>BX836</t>
  </si>
  <si>
    <t>BX838</t>
  </si>
  <si>
    <t>BX844</t>
  </si>
  <si>
    <t>BX855</t>
  </si>
  <si>
    <t>BX910</t>
  </si>
  <si>
    <t>BX927</t>
  </si>
  <si>
    <t>BX936</t>
  </si>
  <si>
    <t>BX960</t>
  </si>
  <si>
    <t>BX968</t>
  </si>
  <si>
    <t>BXC3209</t>
  </si>
  <si>
    <t>CY2005</t>
  </si>
  <si>
    <t>CY20W</t>
  </si>
  <si>
    <t>CY2190</t>
  </si>
  <si>
    <t>CY395W</t>
  </si>
  <si>
    <t>CY50W</t>
  </si>
  <si>
    <t>CY59W</t>
  </si>
  <si>
    <t>CY8765</t>
  </si>
  <si>
    <t>CY8890</t>
  </si>
  <si>
    <t>CYB589</t>
  </si>
  <si>
    <t>CYB808</t>
  </si>
  <si>
    <t>CYB816</t>
  </si>
  <si>
    <t>DBB5690</t>
  </si>
  <si>
    <t>DBC3158</t>
  </si>
  <si>
    <t>DBC4070</t>
  </si>
  <si>
    <t>DBC4077</t>
  </si>
  <si>
    <t>DBC4155</t>
  </si>
  <si>
    <t>DBC4352</t>
  </si>
  <si>
    <t>DBC4352SP</t>
  </si>
  <si>
    <t>DBC4634SP</t>
  </si>
  <si>
    <t>DBC4641</t>
  </si>
  <si>
    <t>DBC4651</t>
  </si>
  <si>
    <t>DBC4685</t>
  </si>
  <si>
    <t>DBC4872SP</t>
  </si>
  <si>
    <t>DBC4873LD</t>
  </si>
  <si>
    <t>DBC4879</t>
  </si>
  <si>
    <t>DBC4928</t>
  </si>
  <si>
    <t>DBC4949</t>
  </si>
  <si>
    <t>DBM4002</t>
  </si>
  <si>
    <t>DBM4022</t>
  </si>
  <si>
    <t>DBM4075</t>
  </si>
  <si>
    <t>DBM4080A</t>
  </si>
  <si>
    <t>DBM4080B</t>
  </si>
  <si>
    <t>DBN1481</t>
  </si>
  <si>
    <t>DBN1487</t>
  </si>
  <si>
    <t>DBN1525</t>
  </si>
  <si>
    <t>DBN1680</t>
  </si>
  <si>
    <t>DBN1710</t>
  </si>
  <si>
    <t>DBN2446</t>
  </si>
  <si>
    <t>DBN5130</t>
  </si>
  <si>
    <t>DBN5182</t>
  </si>
  <si>
    <t>DBN5631</t>
  </si>
  <si>
    <t>DBN5645</t>
  </si>
  <si>
    <t>DBN7203</t>
  </si>
  <si>
    <t>DBN7311</t>
  </si>
  <si>
    <t>DBS1170</t>
  </si>
  <si>
    <t>DBS3000</t>
  </si>
  <si>
    <t>DET105</t>
  </si>
  <si>
    <t>DHB50</t>
  </si>
  <si>
    <t>DPA7367</t>
  </si>
  <si>
    <t>DPA7367S</t>
  </si>
  <si>
    <t>DPB250</t>
  </si>
  <si>
    <t>DPB350</t>
  </si>
  <si>
    <t>DPB358</t>
  </si>
  <si>
    <t>DPB52</t>
  </si>
  <si>
    <t>DPB52SP</t>
  </si>
  <si>
    <t>DPB66</t>
  </si>
  <si>
    <t>DPB755</t>
  </si>
  <si>
    <t>DS100</t>
  </si>
  <si>
    <t>DS561</t>
  </si>
  <si>
    <t>DS563</t>
  </si>
  <si>
    <t>DS592</t>
  </si>
  <si>
    <t>DS704</t>
  </si>
  <si>
    <t>DS92</t>
  </si>
  <si>
    <t>ECY914</t>
  </si>
  <si>
    <t>ESB1590</t>
  </si>
  <si>
    <t>ESB310</t>
  </si>
  <si>
    <t>ESB600</t>
  </si>
  <si>
    <t>ESB711</t>
  </si>
  <si>
    <t>ESB900</t>
  </si>
  <si>
    <t>ESB980</t>
  </si>
  <si>
    <t>ESB9862</t>
  </si>
  <si>
    <t>ESB990</t>
  </si>
  <si>
    <t>FBS1401</t>
  </si>
  <si>
    <t>FBS1409</t>
  </si>
  <si>
    <t>FBS1599</t>
  </si>
  <si>
    <t>FBS1604</t>
  </si>
  <si>
    <t>FBS1672</t>
  </si>
  <si>
    <t>FBS1680</t>
  </si>
  <si>
    <t>FBS1747</t>
  </si>
  <si>
    <t>FBS2000</t>
  </si>
  <si>
    <t>FBS2010</t>
  </si>
  <si>
    <t>FBS2021</t>
  </si>
  <si>
    <t>FBS2041</t>
  </si>
  <si>
    <t>FBS2910</t>
  </si>
  <si>
    <t>FBS4504</t>
  </si>
  <si>
    <t>FBS4509</t>
  </si>
  <si>
    <t>FBS4703</t>
  </si>
  <si>
    <t>FBS4711</t>
  </si>
  <si>
    <t>FBS5609</t>
  </si>
  <si>
    <t>FBS8000</t>
  </si>
  <si>
    <t>FBS9550</t>
  </si>
  <si>
    <t>FBS9550SP</t>
  </si>
  <si>
    <t>FBS9558</t>
  </si>
  <si>
    <t>FBS9560</t>
  </si>
  <si>
    <t>FBS9670</t>
  </si>
  <si>
    <t>IAB7500</t>
  </si>
  <si>
    <t>IAB8000</t>
  </si>
  <si>
    <t>IC1315</t>
  </si>
  <si>
    <t>IC220</t>
  </si>
  <si>
    <t>IC5061</t>
  </si>
  <si>
    <t>IC5087</t>
  </si>
  <si>
    <t>IC5087A</t>
  </si>
  <si>
    <t>IC5091</t>
  </si>
  <si>
    <t>IC5098</t>
  </si>
  <si>
    <t>IC5400D</t>
  </si>
  <si>
    <t>IC5408</t>
  </si>
  <si>
    <t>IC5450</t>
  </si>
  <si>
    <t>IC7001</t>
  </si>
  <si>
    <t>IC7005</t>
  </si>
  <si>
    <t>IC7005D</t>
  </si>
  <si>
    <t>IC7016</t>
  </si>
  <si>
    <t>IC7058</t>
  </si>
  <si>
    <t>IC8210</t>
  </si>
  <si>
    <t>IC890</t>
  </si>
  <si>
    <t>IC896</t>
  </si>
  <si>
    <t>IC898</t>
  </si>
  <si>
    <t>IC904</t>
  </si>
  <si>
    <t>IC925</t>
  </si>
  <si>
    <t>IC962</t>
  </si>
  <si>
    <t>ICS400</t>
  </si>
  <si>
    <t>ICS408</t>
  </si>
  <si>
    <t>IPB22</t>
  </si>
  <si>
    <t>IPB279</t>
  </si>
  <si>
    <t>IPB530</t>
  </si>
  <si>
    <t>IPB535</t>
  </si>
  <si>
    <t>IPB547</t>
  </si>
  <si>
    <t>IPB550</t>
  </si>
  <si>
    <t>IPB60</t>
  </si>
  <si>
    <t>IPB6256</t>
  </si>
  <si>
    <t>IPB6256SP</t>
  </si>
  <si>
    <t>IPB650</t>
  </si>
  <si>
    <t>IPB653</t>
  </si>
  <si>
    <t>IPB658</t>
  </si>
  <si>
    <t>IPB68</t>
  </si>
  <si>
    <t>IPB71</t>
  </si>
  <si>
    <t>IPB78</t>
  </si>
  <si>
    <t>IPB79</t>
  </si>
  <si>
    <t>IPB895</t>
  </si>
  <si>
    <t>IPB895SP</t>
  </si>
  <si>
    <t>IPB900</t>
  </si>
  <si>
    <t>IPB930</t>
  </si>
  <si>
    <t>IPB935</t>
  </si>
  <si>
    <t>IPB935D</t>
  </si>
  <si>
    <t>IPB953</t>
  </si>
  <si>
    <t>KPF15</t>
  </si>
  <si>
    <t>KPF7SP</t>
  </si>
  <si>
    <t>MIB100</t>
  </si>
  <si>
    <t>MRB200</t>
  </si>
  <si>
    <t>NOVOC DS3500</t>
  </si>
  <si>
    <t>NOVOC DS3500SP</t>
  </si>
  <si>
    <t>NOVOC DS3508</t>
  </si>
  <si>
    <t>NOVOC DS3700</t>
  </si>
  <si>
    <t>NOVOC DS379</t>
  </si>
  <si>
    <t>PDB200</t>
  </si>
  <si>
    <t>PEB200</t>
  </si>
  <si>
    <t>PHB300</t>
  </si>
  <si>
    <t>PHB649</t>
  </si>
  <si>
    <t>RA48</t>
  </si>
  <si>
    <t>RFB1200</t>
  </si>
  <si>
    <t>RFB1268</t>
  </si>
  <si>
    <t>RFB1400</t>
  </si>
  <si>
    <t>RFB1408</t>
  </si>
  <si>
    <t>RFB200</t>
  </si>
  <si>
    <t>RFB625</t>
  </si>
  <si>
    <t>RFB650</t>
  </si>
  <si>
    <t>RFB659</t>
  </si>
  <si>
    <t>RFB671</t>
  </si>
  <si>
    <t>RFB679</t>
  </si>
  <si>
    <t>RFB685</t>
  </si>
  <si>
    <t>RFB700</t>
  </si>
  <si>
    <t>RFB702</t>
  </si>
  <si>
    <t>RFB708</t>
  </si>
  <si>
    <t>RFB790</t>
  </si>
  <si>
    <t>RFB801</t>
  </si>
  <si>
    <t>RFB810</t>
  </si>
  <si>
    <t>RT105</t>
  </si>
  <si>
    <t>RT142LD</t>
  </si>
  <si>
    <t>RT142SP</t>
  </si>
  <si>
    <t>RT147SP</t>
  </si>
  <si>
    <t>RT155</t>
  </si>
  <si>
    <t>RT160</t>
  </si>
  <si>
    <t>RT165</t>
  </si>
  <si>
    <t>RT20</t>
  </si>
  <si>
    <t>RT518</t>
  </si>
  <si>
    <t>RT566</t>
  </si>
  <si>
    <t>RT630</t>
  </si>
  <si>
    <t>RT638</t>
  </si>
  <si>
    <t>RT740</t>
  </si>
  <si>
    <t>RT760</t>
  </si>
  <si>
    <t>RT80</t>
  </si>
  <si>
    <t>RT903SP</t>
  </si>
  <si>
    <t>RT905</t>
  </si>
  <si>
    <t>SB1102</t>
  </si>
  <si>
    <t>SB14SP</t>
  </si>
  <si>
    <t>SB17</t>
  </si>
  <si>
    <t>SB19</t>
  </si>
  <si>
    <t>SB21</t>
  </si>
  <si>
    <t>SB22</t>
  </si>
  <si>
    <t>SB24</t>
  </si>
  <si>
    <t>SB25</t>
  </si>
  <si>
    <t>SB26</t>
  </si>
  <si>
    <t>SB28</t>
  </si>
  <si>
    <t>SB29</t>
  </si>
  <si>
    <t>SB45</t>
  </si>
  <si>
    <t>SB53</t>
  </si>
  <si>
    <t>SB82</t>
  </si>
  <si>
    <t>SEB100</t>
  </si>
  <si>
    <t>SO4207</t>
  </si>
  <si>
    <t>SO4345SP</t>
  </si>
  <si>
    <t>SPBC38</t>
  </si>
  <si>
    <t>SSB500</t>
  </si>
  <si>
    <t>CR A1     (ene-23)</t>
  </si>
  <si>
    <t>Tablero control de Mark Up</t>
  </si>
  <si>
    <t>Servicios Continuos</t>
  </si>
  <si>
    <t>Servicios On Call</t>
  </si>
  <si>
    <t>K scios continiuos</t>
  </si>
  <si>
    <t>K scios On Call</t>
  </si>
  <si>
    <t>Ajuste de k en tablero de control (proporcional)</t>
  </si>
  <si>
    <t>Definición de Mark Up</t>
  </si>
  <si>
    <t>Manual</t>
  </si>
  <si>
    <t>CP obj. (Con penalidades y sensorización)</t>
  </si>
  <si>
    <t>¿Se considera monitoreo de nivel?</t>
  </si>
  <si>
    <t>Según CP Obj.</t>
  </si>
  <si>
    <r>
      <t>ü</t>
    </r>
    <r>
      <rPr>
        <sz val="7"/>
        <color theme="1"/>
        <rFont val="Times New Roman"/>
        <family val="1"/>
      </rPr>
      <t xml:space="preserve">  </t>
    </r>
    <r>
      <rPr>
        <sz val="12"/>
        <color theme="1"/>
        <rFont val="Arial"/>
        <family val="2"/>
      </rPr>
      <t>Cuando la variación sea superior al 3%</t>
    </r>
  </si>
  <si>
    <r>
      <t>Incidencia según ítem de servicio (I</t>
    </r>
    <r>
      <rPr>
        <b/>
        <vertAlign val="subscript"/>
        <sz val="10"/>
        <color theme="0"/>
        <rFont val="Calibri"/>
        <family val="2"/>
        <scheme val="minor"/>
      </rPr>
      <t>MO,V,GO,IPIM</t>
    </r>
    <r>
      <rPr>
        <b/>
        <sz val="10"/>
        <color theme="0"/>
        <rFont val="Calibri"/>
        <family val="2"/>
        <scheme val="minor"/>
      </rPr>
      <t>)</t>
    </r>
  </si>
  <si>
    <t xml:space="preserve">Producto </t>
  </si>
  <si>
    <t>COSTO DE REPOSICIÓN PIC EN USD
A ADOPTAR PARA COTIZACIONES</t>
  </si>
  <si>
    <t>BSH919</t>
  </si>
  <si>
    <t>BX997</t>
  </si>
  <si>
    <t>CY824</t>
  </si>
  <si>
    <t>DBC2135</t>
  </si>
  <si>
    <t>DBC3518</t>
  </si>
  <si>
    <t>DBC4053</t>
  </si>
  <si>
    <t>DBC4991</t>
  </si>
  <si>
    <t>DBM2840</t>
  </si>
  <si>
    <t>DBM3075</t>
  </si>
  <si>
    <t>DBN1429</t>
  </si>
  <si>
    <t>DBN1431</t>
  </si>
  <si>
    <t>DBN1446</t>
  </si>
  <si>
    <t>DBN1464</t>
  </si>
  <si>
    <t>DBN1619</t>
  </si>
  <si>
    <t>DBN1890</t>
  </si>
  <si>
    <t>DBN2447</t>
  </si>
  <si>
    <t>DBN2482</t>
  </si>
  <si>
    <t>DBN2485</t>
  </si>
  <si>
    <t>DBN7315</t>
  </si>
  <si>
    <t>FBS1676</t>
  </si>
  <si>
    <t>FBS1685</t>
  </si>
  <si>
    <t>FBS1725</t>
  </si>
  <si>
    <t>GGB1000</t>
  </si>
  <si>
    <t>GXB2000</t>
  </si>
  <si>
    <t>HCB105</t>
  </si>
  <si>
    <t>IC7004</t>
  </si>
  <si>
    <t>IPB279 ALT</t>
  </si>
  <si>
    <t>IPB558</t>
  </si>
  <si>
    <t>IPC3551</t>
  </si>
  <si>
    <t>RFB1450</t>
  </si>
  <si>
    <t>RFB2050</t>
  </si>
  <si>
    <t>RFB2060</t>
  </si>
  <si>
    <t>RFB881</t>
  </si>
  <si>
    <t>RT937</t>
  </si>
  <si>
    <t>ABC1700</t>
  </si>
  <si>
    <t>BSH700</t>
  </si>
  <si>
    <t>CY2005 ALT</t>
  </si>
  <si>
    <t>DBC3513</t>
  </si>
  <si>
    <t>DBC4070 ORIGINAL</t>
  </si>
  <si>
    <t>DBC4155 ORIGINAL</t>
  </si>
  <si>
    <t>DBC4949 ORIGINAL</t>
  </si>
  <si>
    <t>DBM2840 ALT</t>
  </si>
  <si>
    <t>DBM3075 ALT</t>
  </si>
  <si>
    <t>DBM4075 ALT</t>
  </si>
  <si>
    <t>DBM4080A ALT</t>
  </si>
  <si>
    <t>DBN1464 ORIGINAL</t>
  </si>
  <si>
    <t>DBN2447 ORIGINAL</t>
  </si>
  <si>
    <t>DBN7315 ALT</t>
  </si>
  <si>
    <t>DBN7316</t>
  </si>
  <si>
    <t>FBS1676 ALT</t>
  </si>
  <si>
    <t>FBS1685 ALT</t>
  </si>
  <si>
    <t>IC106</t>
  </si>
  <si>
    <t>IC5099</t>
  </si>
  <si>
    <t>IC7001 ALT</t>
  </si>
  <si>
    <t>IC7004 ALT</t>
  </si>
  <si>
    <t>IC7005 ALT</t>
  </si>
  <si>
    <t>IC7005D ALT</t>
  </si>
  <si>
    <t>IC7016 ALT</t>
  </si>
  <si>
    <t>IC7058 ALT</t>
  </si>
  <si>
    <t>IC8014</t>
  </si>
  <si>
    <t>IPB22 ALT</t>
  </si>
  <si>
    <t>IPB530 ALT</t>
  </si>
  <si>
    <t>IPB535 ALT</t>
  </si>
  <si>
    <t>IPB550 ALT</t>
  </si>
  <si>
    <t>IPB558 ALT</t>
  </si>
  <si>
    <t>IPB650 ALT</t>
  </si>
  <si>
    <t>IPB650A ALT</t>
  </si>
  <si>
    <t>IPB651 ALT</t>
  </si>
  <si>
    <t>IPB653 ALT</t>
  </si>
  <si>
    <t>IPB658 ALT</t>
  </si>
  <si>
    <t>IPB935 ALT</t>
  </si>
  <si>
    <t>IPB935D ALT</t>
  </si>
  <si>
    <t>IPB953 ALT</t>
  </si>
  <si>
    <t>RT729</t>
  </si>
  <si>
    <t>TC (24-4-24)</t>
  </si>
  <si>
    <t>Venta contrato 60M (s/penalidades)</t>
  </si>
  <si>
    <t>Venta contrato 60M (c/penalidades)</t>
  </si>
  <si>
    <t>Penalidad mensual [USD/mes]</t>
  </si>
  <si>
    <t>EDGE</t>
  </si>
  <si>
    <t>Costo equipos</t>
  </si>
  <si>
    <t>Transmisión [USD/mes]</t>
  </si>
  <si>
    <t>Instalación [USD]</t>
  </si>
  <si>
    <t>Mant mensual [USD]</t>
  </si>
  <si>
    <t>Sensor sumergible</t>
  </si>
  <si>
    <t>Sensor P ext</t>
  </si>
  <si>
    <t>Xpert LP-4g-Li</t>
  </si>
  <si>
    <t>Xpert LP-Xb-Li</t>
  </si>
  <si>
    <t>Maestros</t>
  </si>
  <si>
    <t>Xpert 200-SAT-XB-BAT</t>
  </si>
  <si>
    <t>Esclavos</t>
  </si>
  <si>
    <t>Xpert 600-SAT-XB-BAT</t>
  </si>
  <si>
    <t>Estructura montaje RF</t>
  </si>
  <si>
    <t>Estructura equipos sat</t>
  </si>
  <si>
    <t>Total</t>
  </si>
  <si>
    <t>Caños para montaje RF</t>
  </si>
  <si>
    <t>VU</t>
  </si>
  <si>
    <t>Scio 46 abono mensual</t>
  </si>
  <si>
    <t>Scio Sat abono mensual</t>
  </si>
  <si>
    <t>Costo total mes</t>
  </si>
  <si>
    <t>Mantenimiento [USD/mes]</t>
  </si>
  <si>
    <t>Precio venta 2024</t>
  </si>
  <si>
    <t>Precio venta 2022</t>
  </si>
  <si>
    <t>Precio [USD/litro]</t>
  </si>
  <si>
    <t>Nota</t>
  </si>
  <si>
    <t>1. El inhibidor de corrosión para Red Contra Incendio (RCI) no es un producto actualmente comercializado por PECOM por lo que no se tiene nombre comercial disponible de este activo, en dado caso de adjudicación, se realizará la gestión comercial para proveerlo específicamente para Pampa Energía.</t>
  </si>
  <si>
    <t>Tablero control Tarifas</t>
  </si>
  <si>
    <t>K2022</t>
  </si>
  <si>
    <t>Variación 2022 a 2024</t>
  </si>
  <si>
    <t>Valor base</t>
  </si>
  <si>
    <t>Mes actual</t>
  </si>
  <si>
    <t>Scio</t>
  </si>
  <si>
    <t>Tarifas base</t>
  </si>
  <si>
    <t>Tarifas Ajustadas por FA</t>
  </si>
  <si>
    <t>Movilización inicial y final del Servicio</t>
  </si>
  <si>
    <t>Variación sobre inicial</t>
  </si>
  <si>
    <t>60 M</t>
  </si>
  <si>
    <t>1 AÑO</t>
  </si>
  <si>
    <t>PLANILLA DE CONSUMOS ESTIMADOS DE PRODUCTOS QUÍMICOS PARA 60 MESES DE CONTRATO</t>
  </si>
  <si>
    <t>Consumo total en Litros</t>
  </si>
  <si>
    <t>Esquema</t>
  </si>
  <si>
    <t>2024 - Ajuste por costo</t>
  </si>
  <si>
    <t>2024 - Ajuste por FA</t>
  </si>
  <si>
    <t>Costo MO Abr-24</t>
  </si>
  <si>
    <t>Variación sobre tarifas propuestas por costo</t>
  </si>
  <si>
    <t>CP PQ</t>
  </si>
  <si>
    <t>CP Scio</t>
  </si>
  <si>
    <t>PQ 2022 y Scio con costo</t>
  </si>
  <si>
    <t>PQ 2024 y Scio FA</t>
  </si>
  <si>
    <t>Venta global</t>
  </si>
  <si>
    <t>Venta [USD/mes]</t>
  </si>
  <si>
    <t>Costo [USD/mes]</t>
  </si>
  <si>
    <t>¿penalidades?</t>
  </si>
  <si>
    <t>Biocida (base glutaraldehido).</t>
  </si>
  <si>
    <t>Biocida (base THPS).</t>
  </si>
  <si>
    <t>Dispersante de parafinas - Solvente de parafinas.</t>
  </si>
  <si>
    <t>Espumante pozos con alto contenido de HC.</t>
  </si>
  <si>
    <t>Espumante pozos con bajo contenido de HC.</t>
  </si>
  <si>
    <t>Hipoclorito de sodio.</t>
  </si>
  <si>
    <t>Inhibidor de corrosión para red contra incendios.</t>
  </si>
  <si>
    <t>Inhibidor de hidratos para gas (libre de metanol).</t>
  </si>
  <si>
    <t>Limpiador de capilares.</t>
  </si>
  <si>
    <t>Ruptor/inhibidor de hidratos -metanol.</t>
  </si>
  <si>
    <t>Ruptor de emulsión para slop oil.</t>
  </si>
  <si>
    <t>Secuestrante de Oxígeno para agua salada.</t>
  </si>
  <si>
    <t>Biocida batcheo pozo (base glutaraldehido + amonio cuaternario).</t>
  </si>
  <si>
    <t>Inhibidor de corrosión para aplicación en Batch y Túbing saver para pozos productores de gas.</t>
  </si>
  <si>
    <t>Inhibidor de corrosión para dosif contínua por capilar en pozos productores de gas y líneas de conducción de gas.</t>
  </si>
  <si>
    <t>Inhibidor de corrosión para dosif en contínua en PIAS.</t>
  </si>
  <si>
    <t>Inhibidor de Incrustación para CaCO3 y CaSO4/BaSO4 ( dual )  Baterías y Agua de inyección.</t>
  </si>
  <si>
    <t>Inhibidor de parafinas para pozos productores de petróleo.</t>
  </si>
  <si>
    <t>Inhibidor de Sales en pozos productores de gas (NaCl).</t>
  </si>
  <si>
    <t>Producto dual (Espumante + Inhibidor de corrosión).</t>
  </si>
  <si>
    <t>Ver comentarios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</si>
</sst>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 #,##0.00_-;\-&quot;$&quot;\ * #,##0.00_-;_-&quot;$&quot;\ * &quot;-&quot;??_-;_-@_-"/>
    <numFmt numFmtId="164" formatCode="_-* #,##0.00\ _€_-;\-* #,##0.00\ _€_-;_-* &quot;-&quot;??\ _€_-;_-@_-"/>
    <numFmt numFmtId="165" formatCode="0.0"/>
    <numFmt numFmtId="166" formatCode="General_)"/>
    <numFmt numFmtId="167" formatCode="0.0%"/>
    <numFmt numFmtId="168" formatCode="#,##0.0"/>
    <numFmt numFmtId="169" formatCode="_-[$USD]\ * #,##0_-;\-[$USD]\ * #,##0_-;_-[$USD]\ * &quot;-&quot;_-;_-@_-"/>
    <numFmt numFmtId="170" formatCode="_ &quot;$&quot;\ * #,##0.00_ ;_ &quot;$&quot;\ * \-#,##0.00_ ;_ &quot;$&quot;\ * &quot;-&quot;??_ ;_ @_ "/>
    <numFmt numFmtId="171" formatCode="_ * #,##0.00_ ;_ * \-#,##0.00_ ;_ * &quot;-&quot;??_ ;_ @_ "/>
    <numFmt numFmtId="172" formatCode="0.0000"/>
    <numFmt numFmtId="173" formatCode="0.000%"/>
    <numFmt numFmtId="174" formatCode="#,##0.000"/>
  </numFmts>
  <fonts count="106">
    <font>
      <sz val="11"/>
      <color theme="1"/>
      <name val="Calibri"/>
      <family val="2"/>
      <scheme val="minor"/>
    </font>
    <font>
      <sz val="10"/>
      <name val="Arial"/>
      <family val="2"/>
    </font>
    <font>
      <sz val="8"/>
      <color indexed="8"/>
      <name val="Arial"/>
      <family val="2"/>
    </font>
    <font>
      <b/>
      <sz val="8"/>
      <color indexed="9"/>
      <name val="Arial"/>
      <family val="2"/>
    </font>
    <font>
      <sz val="8"/>
      <color theme="1"/>
      <name val="Calibri"/>
      <family val="2"/>
      <scheme val="minor"/>
    </font>
    <font>
      <b/>
      <sz val="8"/>
      <name val="Arial"/>
      <family val="2"/>
    </font>
    <font>
      <sz val="8"/>
      <name val="Arial"/>
      <family val="2"/>
    </font>
    <font>
      <sz val="8"/>
      <color theme="0" tint="-0.249977111117893"/>
      <name val="Arial"/>
      <family val="2"/>
    </font>
    <font>
      <b/>
      <i/>
      <sz val="8"/>
      <color indexed="9"/>
      <name val="Arial"/>
      <family val="2"/>
    </font>
    <font>
      <b/>
      <i/>
      <sz val="8"/>
      <color theme="1" tint="4.9989318521683403E-2"/>
      <name val="Arial"/>
      <family val="2"/>
    </font>
    <font>
      <b/>
      <sz val="8"/>
      <name val="Calibri"/>
      <family val="2"/>
      <scheme val="minor"/>
    </font>
    <font>
      <b/>
      <i/>
      <sz val="8"/>
      <name val="Arial"/>
      <family val="2"/>
    </font>
    <font>
      <b/>
      <i/>
      <sz val="8"/>
      <color indexed="8"/>
      <name val="Arial"/>
      <family val="2"/>
    </font>
    <font>
      <sz val="8"/>
      <color theme="1"/>
      <name val="Arial"/>
      <family val="2"/>
    </font>
    <font>
      <b/>
      <sz val="8"/>
      <color rgb="FFFF0000"/>
      <name val="Arial"/>
      <family val="2"/>
    </font>
    <font>
      <sz val="11"/>
      <color theme="1"/>
      <name val="Calibri"/>
      <family val="2"/>
      <scheme val="minor"/>
    </font>
    <font>
      <sz val="10"/>
      <name val="Arial"/>
      <family val="2"/>
    </font>
    <font>
      <sz val="10"/>
      <color indexed="9"/>
      <name val="Arial"/>
      <family val="2"/>
    </font>
    <font>
      <b/>
      <sz val="8"/>
      <color indexed="17"/>
      <name val="Arial"/>
      <family val="2"/>
    </font>
    <font>
      <b/>
      <sz val="8"/>
      <color indexed="8"/>
      <name val="Arial"/>
      <family val="2"/>
    </font>
    <font>
      <b/>
      <sz val="8"/>
      <color indexed="10"/>
      <name val="Arial"/>
      <family val="2"/>
    </font>
    <font>
      <sz val="12"/>
      <name val="Courier"/>
      <family val="3"/>
    </font>
    <font>
      <sz val="12"/>
      <name val="Exo"/>
    </font>
    <font>
      <sz val="12"/>
      <color indexed="9"/>
      <name val="Exo"/>
    </font>
    <font>
      <b/>
      <sz val="12"/>
      <color indexed="9"/>
      <name val="Exo"/>
    </font>
    <font>
      <sz val="12"/>
      <color indexed="8"/>
      <name val="Exo"/>
    </font>
    <font>
      <b/>
      <sz val="12"/>
      <color indexed="17"/>
      <name val="Exo"/>
    </font>
    <font>
      <b/>
      <sz val="12"/>
      <color indexed="8"/>
      <name val="Exo"/>
    </font>
    <font>
      <b/>
      <sz val="12"/>
      <name val="Exo"/>
    </font>
    <font>
      <b/>
      <sz val="12"/>
      <color indexed="10"/>
      <name val="Exo"/>
    </font>
    <font>
      <sz val="8"/>
      <color indexed="55"/>
      <name val="Arial"/>
      <family val="2"/>
    </font>
    <font>
      <sz val="8"/>
      <color rgb="FFFF0000"/>
      <name val="Arial"/>
      <family val="2"/>
    </font>
    <font>
      <b/>
      <sz val="8"/>
      <color indexed="55"/>
      <name val="Arial"/>
      <family val="2"/>
    </font>
    <font>
      <sz val="10"/>
      <color indexed="55"/>
      <name val="Arial"/>
      <family val="2"/>
    </font>
    <font>
      <sz val="10"/>
      <color indexed="8"/>
      <name val="Arial"/>
      <family val="2"/>
    </font>
    <font>
      <sz val="10"/>
      <color rgb="FFFF0000"/>
      <name val="Arial"/>
      <family val="2"/>
    </font>
    <font>
      <sz val="10"/>
      <color theme="0"/>
      <name val="Arial"/>
      <family val="2"/>
    </font>
    <font>
      <b/>
      <sz val="8"/>
      <color theme="0"/>
      <name val="Arial"/>
      <family val="2"/>
    </font>
    <font>
      <b/>
      <sz val="8"/>
      <color rgb="FF00B050"/>
      <name val="Arial"/>
      <family val="2"/>
    </font>
    <font>
      <b/>
      <sz val="8"/>
      <color theme="1"/>
      <name val="Arial"/>
      <family val="2"/>
    </font>
    <font>
      <b/>
      <sz val="8"/>
      <color theme="0" tint="-0.249977111117893"/>
      <name val="Arial"/>
      <family val="2"/>
    </font>
    <font>
      <b/>
      <sz val="8"/>
      <color theme="4"/>
      <name val="Arial"/>
      <family val="2"/>
    </font>
    <font>
      <sz val="10"/>
      <color theme="0" tint="-0.249977111117893"/>
      <name val="Arial"/>
      <family val="2"/>
    </font>
    <font>
      <sz val="11"/>
      <name val="Calibri"/>
      <family val="2"/>
      <scheme val="minor"/>
    </font>
    <font>
      <b/>
      <sz val="8"/>
      <color theme="7" tint="-0.499984740745262"/>
      <name val="Arial"/>
      <family val="2"/>
    </font>
    <font>
      <b/>
      <sz val="8"/>
      <color theme="9"/>
      <name val="Arial"/>
      <family val="2"/>
    </font>
    <font>
      <b/>
      <i/>
      <sz val="8"/>
      <color theme="0" tint="-0.499984740745262"/>
      <name val="Arial"/>
      <family val="2"/>
    </font>
    <font>
      <sz val="8"/>
      <name val="Exo2"/>
    </font>
    <font>
      <b/>
      <sz val="11"/>
      <color theme="0"/>
      <name val="Calibri"/>
      <family val="2"/>
      <scheme val="minor"/>
    </font>
    <font>
      <u/>
      <sz val="11"/>
      <color theme="10"/>
      <name val="Calibri"/>
      <family val="2"/>
      <scheme val="minor"/>
    </font>
    <font>
      <sz val="10"/>
      <name val="Arial"/>
      <family val="2"/>
    </font>
    <font>
      <b/>
      <sz val="12"/>
      <name val="Arial"/>
      <family val="2"/>
    </font>
    <font>
      <sz val="12"/>
      <name val="Arial"/>
      <family val="2"/>
    </font>
    <font>
      <sz val="9"/>
      <color indexed="81"/>
      <name val="Tahoma"/>
      <family val="2"/>
    </font>
    <font>
      <b/>
      <sz val="9"/>
      <color indexed="81"/>
      <name val="Tahoma"/>
      <family val="2"/>
    </font>
    <font>
      <b/>
      <sz val="10"/>
      <name val="Arial"/>
      <family val="2"/>
    </font>
    <font>
      <b/>
      <sz val="11"/>
      <name val="Calibri"/>
      <family val="2"/>
      <scheme val="minor"/>
    </font>
    <font>
      <b/>
      <sz val="12"/>
      <color theme="0"/>
      <name val="Calibri"/>
      <family val="2"/>
      <scheme val="minor"/>
    </font>
    <font>
      <sz val="10"/>
      <color theme="1"/>
      <name val="Calibri"/>
      <family val="2"/>
      <scheme val="minor"/>
    </font>
    <font>
      <sz val="10"/>
      <name val="Calibri"/>
      <family val="2"/>
      <scheme val="minor"/>
    </font>
    <font>
      <sz val="10"/>
      <name val="Exo2"/>
    </font>
    <font>
      <b/>
      <sz val="10"/>
      <name val="Exo2"/>
    </font>
    <font>
      <b/>
      <sz val="11"/>
      <color theme="1"/>
      <name val="Calibri"/>
      <family val="2"/>
      <scheme val="minor"/>
    </font>
    <font>
      <sz val="11"/>
      <color theme="0"/>
      <name val="Calibri"/>
      <family val="2"/>
      <scheme val="minor"/>
    </font>
    <font>
      <b/>
      <sz val="14"/>
      <color theme="0"/>
      <name val="Calibri"/>
      <family val="2"/>
      <scheme val="minor"/>
    </font>
    <font>
      <sz val="12"/>
      <color theme="1"/>
      <name val="Arial"/>
      <family val="2"/>
    </font>
    <font>
      <sz val="12"/>
      <color theme="1"/>
      <name val="Wingdings"/>
      <charset val="2"/>
    </font>
    <font>
      <sz val="7"/>
      <color theme="1"/>
      <name val="Times New Roman"/>
      <family val="1"/>
    </font>
    <font>
      <b/>
      <sz val="12"/>
      <color theme="1"/>
      <name val="Arial"/>
      <family val="2"/>
    </font>
    <font>
      <b/>
      <sz val="10"/>
      <color rgb="FF000000"/>
      <name val="Verdana"/>
      <family val="2"/>
    </font>
    <font>
      <b/>
      <sz val="8"/>
      <color rgb="FF000000"/>
      <name val="Verdana"/>
      <family val="2"/>
    </font>
    <font>
      <sz val="9"/>
      <color rgb="FF000000"/>
      <name val="Verdana"/>
      <family val="2"/>
    </font>
    <font>
      <b/>
      <sz val="12"/>
      <color rgb="FFFF0000"/>
      <name val="Arial"/>
      <family val="2"/>
    </font>
    <font>
      <b/>
      <sz val="12"/>
      <color rgb="FF00B050"/>
      <name val="Arial"/>
      <family val="2"/>
    </font>
    <font>
      <sz val="10"/>
      <color theme="0"/>
      <name val="Calibri"/>
      <family val="2"/>
      <scheme val="minor"/>
    </font>
    <font>
      <b/>
      <sz val="10"/>
      <color theme="1"/>
      <name val="Calibri"/>
      <family val="2"/>
      <scheme val="minor"/>
    </font>
    <font>
      <b/>
      <sz val="10"/>
      <color rgb="FF00B050"/>
      <name val="Calibri"/>
      <family val="2"/>
      <scheme val="minor"/>
    </font>
    <font>
      <sz val="10"/>
      <color rgb="FFFF0000"/>
      <name val="Calibri"/>
      <family val="2"/>
      <scheme val="minor"/>
    </font>
    <font>
      <sz val="8"/>
      <color theme="1"/>
      <name val="Exo 2"/>
    </font>
    <font>
      <b/>
      <sz val="8"/>
      <color indexed="9"/>
      <name val="Exo 2"/>
    </font>
    <font>
      <sz val="8"/>
      <name val="Exo 2"/>
    </font>
    <font>
      <sz val="10"/>
      <color theme="1"/>
      <name val="Exo 2"/>
    </font>
    <font>
      <b/>
      <sz val="10"/>
      <color theme="1"/>
      <name val="Exo 2"/>
    </font>
    <font>
      <sz val="10"/>
      <color theme="0" tint="-0.34998626667073579"/>
      <name val="Calibri"/>
      <family val="2"/>
      <scheme val="minor"/>
    </font>
    <font>
      <b/>
      <sz val="10"/>
      <color theme="0" tint="-0.34998626667073579"/>
      <name val="Calibri"/>
      <family val="2"/>
      <scheme val="minor"/>
    </font>
    <font>
      <b/>
      <sz val="10"/>
      <color theme="0"/>
      <name val="Calibri"/>
      <family val="2"/>
      <scheme val="minor"/>
    </font>
    <font>
      <b/>
      <vertAlign val="subscript"/>
      <sz val="10"/>
      <color theme="0"/>
      <name val="Calibri"/>
      <family val="2"/>
      <scheme val="minor"/>
    </font>
    <font>
      <b/>
      <sz val="10"/>
      <name val="Calibri"/>
      <family val="2"/>
      <scheme val="minor"/>
    </font>
    <font>
      <u/>
      <sz val="10"/>
      <color theme="10"/>
      <name val="Calibri"/>
      <family val="2"/>
      <scheme val="minor"/>
    </font>
    <font>
      <b/>
      <sz val="12"/>
      <name val="Calibri"/>
      <family val="2"/>
      <scheme val="minor"/>
    </font>
    <font>
      <b/>
      <sz val="11"/>
      <color rgb="FF7030A0"/>
      <name val="Calibri"/>
      <family val="2"/>
      <scheme val="minor"/>
    </font>
    <font>
      <b/>
      <sz val="11"/>
      <color rgb="FFFF0000"/>
      <name val="Calibri"/>
      <family val="2"/>
      <scheme val="minor"/>
    </font>
    <font>
      <b/>
      <sz val="10"/>
      <color theme="0"/>
      <name val="Exo"/>
    </font>
    <font>
      <b/>
      <sz val="10"/>
      <color theme="1"/>
      <name val="Exo"/>
    </font>
    <font>
      <sz val="10"/>
      <color theme="1"/>
      <name val="Exo"/>
    </font>
    <font>
      <sz val="10"/>
      <color rgb="FFFF0000"/>
      <name val="Exo"/>
    </font>
    <font>
      <b/>
      <sz val="10"/>
      <color rgb="FFFF0000"/>
      <name val="Exo"/>
    </font>
    <font>
      <b/>
      <sz val="10"/>
      <name val="Exo"/>
    </font>
    <font>
      <sz val="10"/>
      <color theme="0"/>
      <name val="Exo"/>
    </font>
    <font>
      <sz val="10"/>
      <name val="Exo"/>
    </font>
    <font>
      <b/>
      <sz val="10"/>
      <color theme="0"/>
      <name val="Arial"/>
      <family val="2"/>
    </font>
    <font>
      <sz val="10"/>
      <color theme="1"/>
      <name val="Arial"/>
      <family val="2"/>
    </font>
    <font>
      <b/>
      <sz val="14"/>
      <name val="Arial"/>
      <family val="2"/>
    </font>
    <font>
      <sz val="11"/>
      <color rgb="FF000000"/>
      <name val="Calibri"/>
      <family val="2"/>
    </font>
    <font>
      <b/>
      <sz val="12"/>
      <name val="Exo2"/>
    </font>
    <font>
      <sz val="12"/>
      <name val="Exo2"/>
    </font>
  </fonts>
  <fills count="28">
    <fill>
      <patternFill patternType="none"/>
    </fill>
    <fill>
      <patternFill patternType="gray125"/>
    </fill>
    <fill>
      <patternFill patternType="solid">
        <fgColor theme="0" tint="-4.9989318521683403E-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FFFF00"/>
        <bgColor indexed="64"/>
      </patternFill>
    </fill>
    <fill>
      <patternFill patternType="solid">
        <fgColor indexed="22"/>
        <bgColor indexed="64"/>
      </patternFill>
    </fill>
    <fill>
      <patternFill patternType="solid">
        <fgColor indexed="55"/>
        <bgColor indexed="64"/>
      </patternFill>
    </fill>
    <fill>
      <patternFill patternType="solid">
        <fgColor indexed="13"/>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4"/>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1"/>
        <bgColor indexed="64"/>
      </patternFill>
    </fill>
    <fill>
      <patternFill patternType="solid">
        <fgColor rgb="FF002060"/>
        <bgColor indexed="64"/>
      </patternFill>
    </fill>
    <fill>
      <patternFill patternType="solid">
        <fgColor rgb="FF0070C0"/>
        <bgColor indexed="64"/>
      </patternFill>
    </fill>
    <fill>
      <patternFill patternType="solid">
        <fgColor rgb="FF92D050"/>
        <bgColor indexed="64"/>
      </patternFill>
    </fill>
    <fill>
      <patternFill patternType="solid">
        <fgColor theme="8" tint="0.39997558519241921"/>
        <bgColor rgb="FF000000"/>
      </patternFill>
    </fill>
    <fill>
      <patternFill patternType="solid">
        <fgColor rgb="FF00B050"/>
        <bgColor indexed="64"/>
      </patternFill>
    </fill>
    <fill>
      <patternFill patternType="solid">
        <fgColor theme="7" tint="0.79998168889431442"/>
        <bgColor indexed="64"/>
      </patternFill>
    </fill>
    <fill>
      <patternFill patternType="solid">
        <fgColor rgb="FF00FF00"/>
        <bgColor indexed="64"/>
      </patternFill>
    </fill>
    <fill>
      <patternFill patternType="solid">
        <fgColor rgb="FF99FFCC"/>
        <bgColor indexed="64"/>
      </patternFill>
    </fill>
    <fill>
      <patternFill patternType="solid">
        <fgColor rgb="FFFFFFFF"/>
        <bgColor rgb="FF000000"/>
      </patternFill>
    </fill>
    <fill>
      <patternFill patternType="solid">
        <fgColor theme="5" tint="0.59999389629810485"/>
        <bgColor indexed="64"/>
      </patternFill>
    </fill>
    <fill>
      <patternFill patternType="solid">
        <fgColor indexed="43"/>
        <bgColor indexed="64"/>
      </patternFill>
    </fill>
  </fills>
  <borders count="10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bottom/>
      <diagonal/>
    </border>
    <border>
      <left style="dotted">
        <color indexed="64"/>
      </left>
      <right style="dotted">
        <color indexed="64"/>
      </right>
      <top style="dotted">
        <color indexed="64"/>
      </top>
      <bottom style="dotted">
        <color indexed="64"/>
      </bottom>
      <diagonal/>
    </border>
    <border>
      <left style="dotted">
        <color indexed="64"/>
      </left>
      <right/>
      <top/>
      <bottom style="dotted">
        <color indexed="64"/>
      </bottom>
      <diagonal/>
    </border>
    <border>
      <left/>
      <right/>
      <top/>
      <bottom style="dotted">
        <color indexed="64"/>
      </bottom>
      <diagonal/>
    </border>
    <border>
      <left style="dotted">
        <color indexed="64"/>
      </left>
      <right style="dotted">
        <color indexed="64"/>
      </right>
      <top style="dotted">
        <color indexed="64"/>
      </top>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bottom style="dotted">
        <color indexed="64"/>
      </bottom>
      <diagonal/>
    </border>
    <border>
      <left style="dotted">
        <color indexed="64"/>
      </left>
      <right style="dotted">
        <color indexed="64"/>
      </right>
      <top/>
      <bottom/>
      <diagonal/>
    </border>
    <border>
      <left/>
      <right style="dotted">
        <color indexed="64"/>
      </right>
      <top/>
      <bottom/>
      <diagonal/>
    </border>
    <border>
      <left/>
      <right style="dotted">
        <color indexed="64"/>
      </right>
      <top style="dotted">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theme="0"/>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style="thin">
        <color theme="0"/>
      </left>
      <right style="thin">
        <color theme="0"/>
      </right>
      <top/>
      <bottom style="thin">
        <color theme="0"/>
      </bottom>
      <diagonal/>
    </border>
    <border>
      <left/>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theme="0"/>
      </right>
      <top/>
      <bottom/>
      <diagonal/>
    </border>
    <border>
      <left/>
      <right style="thin">
        <color indexed="64"/>
      </right>
      <top/>
      <bottom style="thin">
        <color indexed="64"/>
      </bottom>
      <diagonal/>
    </border>
    <border>
      <left style="medium">
        <color indexed="64"/>
      </left>
      <right style="thin">
        <color theme="0"/>
      </right>
      <top/>
      <bottom style="thin">
        <color theme="0"/>
      </bottom>
      <diagonal/>
    </border>
    <border>
      <left style="thin">
        <color theme="0"/>
      </left>
      <right style="medium">
        <color indexed="64"/>
      </right>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thin">
        <color indexed="64"/>
      </bottom>
      <diagonal/>
    </border>
    <border>
      <left style="thin">
        <color theme="0"/>
      </left>
      <right style="medium">
        <color indexed="64"/>
      </right>
      <top style="thin">
        <color theme="0"/>
      </top>
      <bottom style="thin">
        <color indexed="64"/>
      </bottom>
      <diagonal/>
    </border>
    <border>
      <left style="medium">
        <color indexed="64"/>
      </left>
      <right style="thin">
        <color theme="0"/>
      </right>
      <top/>
      <bottom/>
      <diagonal/>
    </border>
    <border>
      <left style="thin">
        <color theme="0"/>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theme="0"/>
      </bottom>
      <diagonal/>
    </border>
    <border>
      <left/>
      <right style="medium">
        <color indexed="64"/>
      </right>
      <top/>
      <bottom style="thin">
        <color theme="0"/>
      </bottom>
      <diagonal/>
    </border>
    <border>
      <left style="medium">
        <color indexed="64"/>
      </left>
      <right/>
      <top style="thin">
        <color theme="0"/>
      </top>
      <bottom style="thin">
        <color theme="0"/>
      </bottom>
      <diagonal/>
    </border>
    <border>
      <left/>
      <right style="medium">
        <color indexed="64"/>
      </right>
      <top style="thin">
        <color theme="0"/>
      </top>
      <bottom style="thin">
        <color theme="0"/>
      </bottom>
      <diagonal/>
    </border>
    <border>
      <left style="medium">
        <color indexed="64"/>
      </left>
      <right/>
      <top style="thin">
        <color theme="0"/>
      </top>
      <bottom style="thin">
        <color indexed="64"/>
      </bottom>
      <diagonal/>
    </border>
    <border>
      <left/>
      <right style="medium">
        <color indexed="64"/>
      </right>
      <top style="thin">
        <color theme="0"/>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style="medium">
        <color auto="1"/>
      </bottom>
      <diagonal/>
    </border>
    <border>
      <left style="thick">
        <color auto="1"/>
      </left>
      <right style="thick">
        <color auto="1"/>
      </right>
      <top style="medium">
        <color auto="1"/>
      </top>
      <bottom style="medium">
        <color auto="1"/>
      </bottom>
      <diagonal/>
    </border>
    <border>
      <left style="thin">
        <color indexed="8"/>
      </left>
      <right style="thin">
        <color indexed="8"/>
      </right>
      <top style="thin">
        <color indexed="8"/>
      </top>
      <bottom style="thin">
        <color indexed="8"/>
      </bottom>
      <diagonal/>
    </border>
  </borders>
  <cellStyleXfs count="23">
    <xf numFmtId="0" fontId="0" fillId="0" borderId="0"/>
    <xf numFmtId="0" fontId="1" fillId="0" borderId="0"/>
    <xf numFmtId="0" fontId="1" fillId="0" borderId="0"/>
    <xf numFmtId="44" fontId="15" fillId="0" borderId="0" applyFont="0" applyFill="0" applyBorder="0" applyAlignment="0" applyProtection="0"/>
    <xf numFmtId="0" fontId="16" fillId="0" borderId="0"/>
    <xf numFmtId="166" fontId="21" fillId="0" borderId="0" applyFill="0"/>
    <xf numFmtId="9" fontId="1" fillId="0" borderId="0" applyFont="0" applyFill="0" applyBorder="0" applyAlignment="0" applyProtection="0"/>
    <xf numFmtId="0" fontId="1" fillId="0" borderId="0"/>
    <xf numFmtId="0" fontId="15" fillId="0" borderId="0"/>
    <xf numFmtId="9" fontId="15" fillId="0" borderId="0" applyFont="0" applyFill="0" applyBorder="0" applyAlignment="0" applyProtection="0"/>
    <xf numFmtId="170" fontId="1" fillId="0" borderId="0" applyFont="0" applyFill="0" applyBorder="0" applyAlignment="0" applyProtection="0"/>
    <xf numFmtId="0" fontId="49" fillId="0" borderId="0" applyNumberFormat="0" applyFill="0" applyBorder="0" applyAlignment="0" applyProtection="0"/>
    <xf numFmtId="0" fontId="50" fillId="0" borderId="0"/>
    <xf numFmtId="164" fontId="15" fillId="0" borderId="0" applyFont="0" applyFill="0" applyBorder="0" applyAlignment="0" applyProtection="0"/>
    <xf numFmtId="0" fontId="1"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171" fontId="1" fillId="0" borderId="0" applyFont="0" applyFill="0" applyBorder="0" applyAlignment="0" applyProtection="0"/>
    <xf numFmtId="171" fontId="15" fillId="0" borderId="0" applyFont="0" applyFill="0" applyBorder="0" applyAlignment="0" applyProtection="0"/>
    <xf numFmtId="0" fontId="1" fillId="0" borderId="0"/>
  </cellStyleXfs>
  <cellXfs count="957">
    <xf numFmtId="0" fontId="0" fillId="0" borderId="0" xfId="0"/>
    <xf numFmtId="0" fontId="2" fillId="0" borderId="1" xfId="0" applyFont="1" applyFill="1" applyBorder="1" applyAlignment="1">
      <alignment horizontal="left" vertical="center"/>
    </xf>
    <xf numFmtId="4" fontId="5" fillId="0" borderId="1" xfId="1" applyNumberFormat="1" applyFont="1" applyFill="1" applyBorder="1" applyAlignment="1">
      <alignment horizontal="center" vertical="center" wrapText="1"/>
    </xf>
    <xf numFmtId="0" fontId="6" fillId="0" borderId="0" xfId="1" applyFont="1" applyFill="1" applyBorder="1" applyAlignment="1">
      <alignment horizontal="center" vertical="center" wrapText="1"/>
    </xf>
    <xf numFmtId="2" fontId="5" fillId="0" borderId="1" xfId="1" applyNumberFormat="1" applyFont="1" applyFill="1" applyBorder="1" applyAlignment="1">
      <alignment horizontal="center" vertical="center" wrapText="1"/>
    </xf>
    <xf numFmtId="0" fontId="6" fillId="0" borderId="0" xfId="1" applyFont="1" applyAlignment="1">
      <alignment horizontal="center" vertical="center" wrapText="1"/>
    </xf>
    <xf numFmtId="4" fontId="6" fillId="0" borderId="1" xfId="1" applyNumberFormat="1" applyFont="1" applyFill="1" applyBorder="1" applyAlignment="1">
      <alignment horizontal="center" vertical="center" wrapText="1"/>
    </xf>
    <xf numFmtId="0" fontId="5" fillId="0" borderId="1" xfId="1" applyFont="1" applyBorder="1" applyAlignment="1">
      <alignment horizontal="center" vertical="center" wrapText="1"/>
    </xf>
    <xf numFmtId="4" fontId="6" fillId="0" borderId="0" xfId="1" applyNumberFormat="1" applyFont="1" applyAlignment="1">
      <alignment horizontal="center" vertical="center" wrapText="1"/>
    </xf>
    <xf numFmtId="2" fontId="6" fillId="0" borderId="0" xfId="1" applyNumberFormat="1" applyFont="1" applyAlignment="1">
      <alignment horizontal="center" vertical="center" wrapText="1"/>
    </xf>
    <xf numFmtId="0" fontId="7" fillId="0" borderId="0" xfId="1" applyFont="1" applyBorder="1" applyAlignment="1">
      <alignment horizontal="center" vertical="center" wrapText="1"/>
    </xf>
    <xf numFmtId="14" fontId="7" fillId="0" borderId="0" xfId="1" applyNumberFormat="1" applyFont="1" applyBorder="1" applyAlignment="1">
      <alignment horizontal="center" vertical="center" wrapText="1"/>
    </xf>
    <xf numFmtId="0" fontId="7" fillId="0" borderId="0" xfId="2" applyFont="1" applyFill="1" applyBorder="1" applyAlignment="1">
      <alignment horizontal="center" vertical="center" wrapText="1"/>
    </xf>
    <xf numFmtId="14" fontId="7" fillId="0" borderId="0" xfId="2" applyNumberFormat="1" applyFont="1" applyFill="1" applyBorder="1" applyAlignment="1">
      <alignment horizontal="center" vertical="center" wrapText="1"/>
    </xf>
    <xf numFmtId="2" fontId="7" fillId="0" borderId="0" xfId="2" applyNumberFormat="1" applyFont="1" applyFill="1" applyBorder="1" applyAlignment="1">
      <alignment horizontal="center" vertical="center" wrapText="1"/>
    </xf>
    <xf numFmtId="0" fontId="8" fillId="0" borderId="0" xfId="1" applyFont="1" applyFill="1" applyBorder="1" applyAlignment="1">
      <alignment horizontal="center" vertical="center" wrapText="1"/>
    </xf>
    <xf numFmtId="0" fontId="8" fillId="0" borderId="4" xfId="1" applyFont="1" applyFill="1" applyBorder="1" applyAlignment="1">
      <alignment horizontal="center" vertical="center" wrapText="1"/>
    </xf>
    <xf numFmtId="0" fontId="6" fillId="0" borderId="0" xfId="1" applyFont="1" applyFill="1" applyAlignment="1">
      <alignment horizontal="center" vertical="center" wrapText="1"/>
    </xf>
    <xf numFmtId="0" fontId="10" fillId="6" borderId="0" xfId="1" applyFont="1" applyFill="1" applyBorder="1" applyAlignment="1">
      <alignment horizontal="center" vertical="center" wrapText="1"/>
    </xf>
    <xf numFmtId="0" fontId="5" fillId="5" borderId="1" xfId="1" applyFont="1" applyFill="1" applyBorder="1" applyAlignment="1">
      <alignment horizontal="center" vertical="center" wrapText="1"/>
    </xf>
    <xf numFmtId="0" fontId="5" fillId="5" borderId="1" xfId="1" applyNumberFormat="1" applyFont="1" applyFill="1" applyBorder="1" applyAlignment="1">
      <alignment horizontal="left" vertical="center" wrapText="1"/>
    </xf>
    <xf numFmtId="0" fontId="6" fillId="6" borderId="0" xfId="1" applyFont="1" applyFill="1" applyBorder="1" applyAlignment="1">
      <alignment horizontal="center" vertical="center" wrapText="1"/>
    </xf>
    <xf numFmtId="0" fontId="10" fillId="0" borderId="1" xfId="1" applyFont="1" applyBorder="1" applyAlignment="1">
      <alignment horizontal="center" vertical="center" wrapText="1"/>
    </xf>
    <xf numFmtId="2" fontId="6" fillId="0" borderId="1" xfId="1" applyNumberFormat="1" applyFont="1" applyFill="1" applyBorder="1" applyAlignment="1">
      <alignment horizontal="left" vertical="center" wrapText="1"/>
    </xf>
    <xf numFmtId="2" fontId="6" fillId="0" borderId="1" xfId="1" applyNumberFormat="1" applyFont="1" applyBorder="1" applyAlignment="1">
      <alignment horizontal="center" vertical="center" wrapText="1"/>
    </xf>
    <xf numFmtId="4" fontId="6" fillId="0" borderId="1" xfId="1" applyNumberFormat="1" applyFont="1" applyBorder="1" applyAlignment="1">
      <alignment horizontal="center" vertical="center" wrapText="1"/>
    </xf>
    <xf numFmtId="2" fontId="6" fillId="5" borderId="1" xfId="1" applyNumberFormat="1" applyFont="1" applyFill="1" applyBorder="1" applyAlignment="1">
      <alignment horizontal="center" vertical="center" wrapText="1"/>
    </xf>
    <xf numFmtId="2" fontId="6" fillId="0" borderId="1" xfId="1" applyNumberFormat="1" applyFont="1" applyBorder="1" applyAlignment="1">
      <alignment horizontal="left" vertical="center" wrapText="1"/>
    </xf>
    <xf numFmtId="4" fontId="6" fillId="6" borderId="1" xfId="1" applyNumberFormat="1" applyFont="1" applyFill="1" applyBorder="1" applyAlignment="1">
      <alignment horizontal="center" vertical="center" wrapText="1"/>
    </xf>
    <xf numFmtId="0" fontId="10" fillId="6" borderId="1" xfId="1" applyFont="1" applyFill="1" applyBorder="1" applyAlignment="1">
      <alignment horizontal="center" vertical="center" wrapText="1"/>
    </xf>
    <xf numFmtId="4" fontId="13" fillId="6" borderId="1" xfId="1" applyNumberFormat="1" applyFont="1" applyFill="1" applyBorder="1" applyAlignment="1">
      <alignment horizontal="center" vertical="center" wrapText="1"/>
    </xf>
    <xf numFmtId="2" fontId="13" fillId="6" borderId="0" xfId="1" applyNumberFormat="1" applyFont="1" applyFill="1" applyBorder="1" applyAlignment="1">
      <alignment horizontal="center" vertical="center" wrapText="1"/>
    </xf>
    <xf numFmtId="2" fontId="6" fillId="6" borderId="1" xfId="1" applyNumberFormat="1" applyFont="1" applyFill="1" applyBorder="1" applyAlignment="1">
      <alignment horizontal="center" vertical="center" wrapText="1"/>
    </xf>
    <xf numFmtId="2" fontId="6" fillId="6" borderId="1" xfId="1" applyNumberFormat="1" applyFont="1" applyFill="1" applyBorder="1" applyAlignment="1">
      <alignment horizontal="left" vertical="center" wrapText="1"/>
    </xf>
    <xf numFmtId="2" fontId="13" fillId="6" borderId="5" xfId="1" applyNumberFormat="1" applyFont="1" applyFill="1" applyBorder="1" applyAlignment="1">
      <alignment horizontal="center" vertical="center" wrapText="1"/>
    </xf>
    <xf numFmtId="0" fontId="6" fillId="0" borderId="0" xfId="1" applyFont="1" applyAlignment="1">
      <alignment horizontal="left" vertical="center" wrapText="1"/>
    </xf>
    <xf numFmtId="4" fontId="6" fillId="5" borderId="1" xfId="1" applyNumberFormat="1" applyFont="1" applyFill="1" applyBorder="1" applyAlignment="1">
      <alignment horizontal="center" vertical="center" wrapText="1"/>
    </xf>
    <xf numFmtId="4" fontId="6" fillId="6" borderId="1" xfId="1" applyNumberFormat="1" applyFont="1" applyFill="1" applyBorder="1" applyAlignment="1">
      <alignment horizontal="left" vertical="center" wrapText="1"/>
    </xf>
    <xf numFmtId="0" fontId="14" fillId="0" borderId="0" xfId="1" applyFont="1" applyAlignment="1">
      <alignment horizontal="left" vertical="center"/>
    </xf>
    <xf numFmtId="0" fontId="14" fillId="0" borderId="0" xfId="1" applyFont="1" applyFill="1" applyAlignment="1">
      <alignment horizontal="left" vertical="center"/>
    </xf>
    <xf numFmtId="0" fontId="17" fillId="9" borderId="6" xfId="1" applyFont="1" applyFill="1" applyBorder="1" applyAlignment="1">
      <alignment horizontal="center" vertical="center"/>
    </xf>
    <xf numFmtId="0" fontId="17" fillId="9" borderId="6" xfId="1" applyFont="1" applyFill="1" applyBorder="1" applyAlignment="1">
      <alignment horizontal="center" vertical="center" wrapText="1"/>
    </xf>
    <xf numFmtId="2" fontId="17" fillId="9" borderId="6" xfId="1" applyNumberFormat="1" applyFont="1" applyFill="1" applyBorder="1" applyAlignment="1">
      <alignment horizontal="center" vertical="center" wrapText="1"/>
    </xf>
    <xf numFmtId="0" fontId="1" fillId="0" borderId="0" xfId="1" applyFont="1" applyFill="1" applyBorder="1"/>
    <xf numFmtId="0" fontId="1" fillId="0" borderId="0" xfId="1" applyFont="1"/>
    <xf numFmtId="0" fontId="3" fillId="9" borderId="6" xfId="1" applyFont="1" applyFill="1" applyBorder="1" applyAlignment="1">
      <alignment horizontal="center" vertical="center"/>
    </xf>
    <xf numFmtId="0" fontId="3" fillId="9" borderId="6" xfId="1" applyFont="1" applyFill="1" applyBorder="1" applyAlignment="1">
      <alignment horizontal="center" vertical="center" wrapText="1"/>
    </xf>
    <xf numFmtId="0" fontId="3" fillId="0" borderId="0" xfId="1" applyFont="1" applyFill="1" applyBorder="1" applyAlignment="1">
      <alignment horizontal="center" vertical="center" wrapText="1"/>
    </xf>
    <xf numFmtId="0" fontId="2" fillId="0" borderId="6" xfId="1" applyFont="1" applyFill="1" applyBorder="1" applyAlignment="1">
      <alignment horizontal="left" vertical="center"/>
    </xf>
    <xf numFmtId="2" fontId="18" fillId="0" borderId="6" xfId="1" applyNumberFormat="1" applyFont="1" applyFill="1" applyBorder="1" applyAlignment="1">
      <alignment horizontal="center" vertical="center"/>
    </xf>
    <xf numFmtId="2" fontId="19" fillId="0" borderId="6" xfId="1" applyNumberFormat="1" applyFont="1" applyFill="1" applyBorder="1" applyAlignment="1">
      <alignment horizontal="center" vertical="center"/>
    </xf>
    <xf numFmtId="0" fontId="2" fillId="0" borderId="0" xfId="1" applyFont="1" applyFill="1" applyBorder="1" applyAlignment="1">
      <alignment horizontal="center" vertical="center"/>
    </xf>
    <xf numFmtId="0" fontId="2" fillId="0" borderId="0" xfId="1" applyFont="1" applyFill="1" applyBorder="1" applyAlignment="1">
      <alignment horizontal="left" vertical="center"/>
    </xf>
    <xf numFmtId="2" fontId="18" fillId="0" borderId="0" xfId="1" applyNumberFormat="1" applyFont="1" applyFill="1" applyBorder="1" applyAlignment="1">
      <alignment horizontal="center" vertical="center"/>
    </xf>
    <xf numFmtId="2" fontId="19" fillId="0" borderId="0" xfId="1" applyNumberFormat="1" applyFont="1" applyFill="1" applyBorder="1" applyAlignment="1">
      <alignment horizontal="center" vertical="center"/>
    </xf>
    <xf numFmtId="0" fontId="2" fillId="10" borderId="0" xfId="1" applyFont="1" applyFill="1" applyBorder="1" applyAlignment="1">
      <alignment horizontal="left" vertical="center"/>
    </xf>
    <xf numFmtId="2" fontId="18" fillId="10" borderId="0" xfId="1" applyNumberFormat="1" applyFont="1" applyFill="1" applyBorder="1" applyAlignment="1">
      <alignment horizontal="center" vertical="center"/>
    </xf>
    <xf numFmtId="2" fontId="19" fillId="10" borderId="0" xfId="1" applyNumberFormat="1" applyFont="1" applyFill="1" applyBorder="1" applyAlignment="1">
      <alignment horizontal="center" vertical="center"/>
    </xf>
    <xf numFmtId="0" fontId="2" fillId="10" borderId="0" xfId="1" applyFont="1" applyFill="1" applyBorder="1" applyAlignment="1">
      <alignment horizontal="center" vertical="center"/>
    </xf>
    <xf numFmtId="0" fontId="1" fillId="10" borderId="0" xfId="1" applyFont="1" applyFill="1"/>
    <xf numFmtId="0" fontId="5" fillId="8" borderId="9" xfId="1" applyFont="1" applyFill="1" applyBorder="1" applyAlignment="1">
      <alignment horizontal="center" vertical="center" wrapText="1"/>
    </xf>
    <xf numFmtId="0" fontId="3" fillId="9" borderId="9" xfId="1" applyFont="1" applyFill="1" applyBorder="1" applyAlignment="1">
      <alignment horizontal="center" vertical="center" wrapText="1"/>
    </xf>
    <xf numFmtId="0" fontId="5" fillId="0" borderId="0" xfId="1" applyFont="1" applyAlignment="1">
      <alignment horizontal="center" vertical="center" textRotation="90" wrapText="1"/>
    </xf>
    <xf numFmtId="0" fontId="2" fillId="0" borderId="6" xfId="1" applyFont="1" applyFill="1" applyBorder="1" applyAlignment="1">
      <alignment horizontal="center" vertical="center"/>
    </xf>
    <xf numFmtId="2" fontId="20" fillId="0" borderId="6" xfId="1" applyNumberFormat="1" applyFont="1" applyFill="1" applyBorder="1" applyAlignment="1">
      <alignment horizontal="center" vertical="center"/>
    </xf>
    <xf numFmtId="0" fontId="6" fillId="0" borderId="6" xfId="1" applyFont="1" applyFill="1" applyBorder="1" applyAlignment="1">
      <alignment horizontal="left" vertical="center"/>
    </xf>
    <xf numFmtId="0" fontId="22" fillId="0" borderId="0" xfId="1" applyFont="1"/>
    <xf numFmtId="0" fontId="22" fillId="0" borderId="0" xfId="1" applyFont="1" applyFill="1" applyBorder="1"/>
    <xf numFmtId="0" fontId="23" fillId="9" borderId="6" xfId="1" applyFont="1" applyFill="1" applyBorder="1" applyAlignment="1">
      <alignment horizontal="center" vertical="center"/>
    </xf>
    <xf numFmtId="0" fontId="23" fillId="9" borderId="6" xfId="1" applyFont="1" applyFill="1" applyBorder="1" applyAlignment="1">
      <alignment horizontal="center" vertical="center" wrapText="1"/>
    </xf>
    <xf numFmtId="2" fontId="23" fillId="9" borderId="6" xfId="1" applyNumberFormat="1" applyFont="1" applyFill="1" applyBorder="1" applyAlignment="1">
      <alignment horizontal="center" vertical="center" wrapText="1"/>
    </xf>
    <xf numFmtId="0" fontId="24" fillId="9" borderId="6" xfId="1" applyFont="1" applyFill="1" applyBorder="1" applyAlignment="1">
      <alignment horizontal="center" vertical="center"/>
    </xf>
    <xf numFmtId="0" fontId="24" fillId="9" borderId="6" xfId="1" applyFont="1" applyFill="1" applyBorder="1" applyAlignment="1">
      <alignment horizontal="center" vertical="center" wrapText="1"/>
    </xf>
    <xf numFmtId="0" fontId="24" fillId="0" borderId="0" xfId="1" applyFont="1" applyFill="1" applyBorder="1" applyAlignment="1">
      <alignment horizontal="center" vertical="center" wrapText="1"/>
    </xf>
    <xf numFmtId="0" fontId="25" fillId="0" borderId="6" xfId="1" applyFont="1" applyFill="1" applyBorder="1" applyAlignment="1">
      <alignment horizontal="left" vertical="center"/>
    </xf>
    <xf numFmtId="2" fontId="26" fillId="0" borderId="6" xfId="1" applyNumberFormat="1" applyFont="1" applyFill="1" applyBorder="1" applyAlignment="1">
      <alignment horizontal="center" vertical="center"/>
    </xf>
    <xf numFmtId="2" fontId="27" fillId="0" borderId="6" xfId="1" applyNumberFormat="1" applyFont="1" applyFill="1" applyBorder="1" applyAlignment="1">
      <alignment horizontal="center" vertical="center"/>
    </xf>
    <xf numFmtId="0" fontId="25" fillId="0" borderId="0" xfId="1" applyFont="1" applyFill="1" applyBorder="1" applyAlignment="1">
      <alignment horizontal="center" vertical="center"/>
    </xf>
    <xf numFmtId="0" fontId="25" fillId="0" borderId="0" xfId="1" applyFont="1" applyFill="1" applyBorder="1" applyAlignment="1">
      <alignment horizontal="left" vertical="center"/>
    </xf>
    <xf numFmtId="2" fontId="26" fillId="0" borderId="0" xfId="1" applyNumberFormat="1" applyFont="1" applyFill="1" applyBorder="1" applyAlignment="1">
      <alignment horizontal="center" vertical="center"/>
    </xf>
    <xf numFmtId="2" fontId="27" fillId="0" borderId="0" xfId="1" applyNumberFormat="1" applyFont="1" applyFill="1" applyBorder="1" applyAlignment="1">
      <alignment horizontal="center" vertical="center"/>
    </xf>
    <xf numFmtId="0" fontId="22" fillId="10" borderId="0" xfId="1" applyFont="1" applyFill="1"/>
    <xf numFmtId="0" fontId="25" fillId="10" borderId="0" xfId="1" applyFont="1" applyFill="1" applyBorder="1" applyAlignment="1">
      <alignment horizontal="left" vertical="center"/>
    </xf>
    <xf numFmtId="2" fontId="26" fillId="10" borderId="0" xfId="1" applyNumberFormat="1" applyFont="1" applyFill="1" applyBorder="1" applyAlignment="1">
      <alignment horizontal="center" vertical="center"/>
    </xf>
    <xf numFmtId="2" fontId="27" fillId="10" borderId="0" xfId="1" applyNumberFormat="1" applyFont="1" applyFill="1" applyBorder="1" applyAlignment="1">
      <alignment horizontal="center" vertical="center"/>
    </xf>
    <xf numFmtId="0" fontId="25" fillId="10" borderId="0" xfId="1" applyFont="1" applyFill="1" applyBorder="1" applyAlignment="1">
      <alignment horizontal="center" vertical="center"/>
    </xf>
    <xf numFmtId="0" fontId="28" fillId="0" borderId="0" xfId="1" applyFont="1" applyAlignment="1">
      <alignment horizontal="center" vertical="center" textRotation="90" wrapText="1"/>
    </xf>
    <xf numFmtId="0" fontId="28" fillId="8" borderId="9" xfId="1" applyFont="1" applyFill="1" applyBorder="1" applyAlignment="1">
      <alignment horizontal="center" vertical="center" wrapText="1"/>
    </xf>
    <xf numFmtId="166" fontId="28" fillId="8" borderId="6" xfId="5" applyFont="1" applyFill="1" applyBorder="1" applyAlignment="1" applyProtection="1">
      <alignment horizontal="center" vertical="center" wrapText="1"/>
    </xf>
    <xf numFmtId="166" fontId="28" fillId="9" borderId="6" xfId="5" applyFont="1" applyFill="1" applyBorder="1" applyAlignment="1" applyProtection="1">
      <alignment horizontal="center" vertical="center" wrapText="1"/>
    </xf>
    <xf numFmtId="0" fontId="24" fillId="9" borderId="9" xfId="1" applyFont="1" applyFill="1" applyBorder="1" applyAlignment="1">
      <alignment horizontal="center" vertical="center" wrapText="1"/>
    </xf>
    <xf numFmtId="0" fontId="25" fillId="0" borderId="6" xfId="1" applyFont="1" applyFill="1" applyBorder="1" applyAlignment="1">
      <alignment horizontal="center" vertical="center"/>
    </xf>
    <xf numFmtId="4" fontId="25" fillId="0" borderId="6" xfId="1" applyNumberFormat="1" applyFont="1" applyFill="1" applyBorder="1" applyAlignment="1">
      <alignment horizontal="center" vertical="center"/>
    </xf>
    <xf numFmtId="2" fontId="29" fillId="0" borderId="6" xfId="1" applyNumberFormat="1" applyFont="1" applyFill="1" applyBorder="1" applyAlignment="1">
      <alignment horizontal="center" vertical="center"/>
    </xf>
    <xf numFmtId="0" fontId="22" fillId="0" borderId="6" xfId="1" applyFont="1" applyFill="1" applyBorder="1" applyAlignment="1">
      <alignment horizontal="left" vertical="center"/>
    </xf>
    <xf numFmtId="0" fontId="22" fillId="7" borderId="0" xfId="1" applyFont="1" applyFill="1"/>
    <xf numFmtId="0" fontId="1" fillId="0" borderId="0" xfId="1" applyFont="1" applyFill="1" applyBorder="1" applyAlignment="1"/>
    <xf numFmtId="165" fontId="5" fillId="0" borderId="0" xfId="1" applyNumberFormat="1" applyFont="1" applyFill="1" applyBorder="1" applyAlignment="1">
      <alignment horizontal="center" vertical="center" wrapText="1"/>
    </xf>
    <xf numFmtId="165" fontId="5" fillId="10" borderId="0" xfId="1" applyNumberFormat="1" applyFont="1" applyFill="1" applyBorder="1" applyAlignment="1">
      <alignment horizontal="center" vertical="center" wrapText="1"/>
    </xf>
    <xf numFmtId="0" fontId="1" fillId="10" borderId="0" xfId="1" applyFont="1" applyFill="1" applyBorder="1" applyAlignment="1"/>
    <xf numFmtId="0" fontId="19" fillId="0" borderId="0" xfId="1" applyFont="1" applyFill="1" applyBorder="1" applyAlignment="1">
      <alignment vertical="center"/>
    </xf>
    <xf numFmtId="0" fontId="3" fillId="0" borderId="0" xfId="1" applyFont="1" applyFill="1" applyBorder="1" applyAlignment="1">
      <alignment vertical="center"/>
    </xf>
    <xf numFmtId="0" fontId="3" fillId="0" borderId="8" xfId="1" applyFont="1" applyFill="1" applyBorder="1" applyAlignment="1">
      <alignment vertical="center" wrapText="1"/>
    </xf>
    <xf numFmtId="0" fontId="3" fillId="0" borderId="0" xfId="1" applyFont="1" applyFill="1" applyBorder="1" applyAlignment="1">
      <alignment vertical="center" wrapText="1"/>
    </xf>
    <xf numFmtId="0" fontId="5" fillId="0" borderId="0" xfId="1" applyFont="1" applyBorder="1" applyAlignment="1">
      <alignment horizontal="center" vertical="center" textRotation="90" wrapText="1"/>
    </xf>
    <xf numFmtId="0" fontId="5" fillId="0" borderId="6" xfId="1" applyFont="1" applyFill="1" applyBorder="1" applyAlignment="1">
      <alignment horizontal="center" vertical="center" wrapText="1"/>
    </xf>
    <xf numFmtId="9" fontId="5" fillId="0" borderId="6" xfId="6" applyFont="1" applyFill="1" applyBorder="1" applyAlignment="1">
      <alignment horizontal="center" vertical="center" wrapText="1"/>
    </xf>
    <xf numFmtId="0" fontId="6" fillId="0" borderId="6" xfId="1" applyFont="1" applyFill="1" applyBorder="1" applyAlignment="1">
      <alignment horizontal="center" vertical="center"/>
    </xf>
    <xf numFmtId="2" fontId="2" fillId="0" borderId="6" xfId="1" applyNumberFormat="1" applyFont="1" applyFill="1" applyBorder="1" applyAlignment="1">
      <alignment horizontal="center" vertical="center"/>
    </xf>
    <xf numFmtId="0" fontId="1" fillId="0" borderId="0" xfId="1" applyFont="1" applyBorder="1"/>
    <xf numFmtId="0" fontId="5" fillId="0" borderId="0" xfId="1" applyFont="1" applyFill="1" applyBorder="1" applyAlignment="1">
      <alignment horizontal="center" vertical="center" wrapText="1"/>
    </xf>
    <xf numFmtId="0" fontId="31" fillId="0" borderId="6" xfId="1" applyFont="1" applyFill="1" applyBorder="1" applyAlignment="1">
      <alignment horizontal="left" vertical="center"/>
    </xf>
    <xf numFmtId="0" fontId="2" fillId="7" borderId="6" xfId="1" applyFont="1" applyFill="1" applyBorder="1" applyAlignment="1">
      <alignment horizontal="left" vertical="center"/>
    </xf>
    <xf numFmtId="0" fontId="30" fillId="0" borderId="0" xfId="1" applyFont="1" applyFill="1" applyBorder="1" applyAlignment="1">
      <alignment horizontal="center" vertical="center"/>
    </xf>
    <xf numFmtId="2" fontId="32" fillId="0" borderId="6" xfId="1" applyNumberFormat="1" applyFont="1" applyFill="1" applyBorder="1" applyAlignment="1">
      <alignment horizontal="center" vertical="center"/>
    </xf>
    <xf numFmtId="9" fontId="30" fillId="0" borderId="6" xfId="6" applyFont="1" applyFill="1" applyBorder="1" applyAlignment="1">
      <alignment horizontal="center" vertical="center"/>
    </xf>
    <xf numFmtId="0" fontId="30" fillId="0" borderId="6" xfId="1" applyFont="1" applyFill="1" applyBorder="1" applyAlignment="1">
      <alignment horizontal="center" vertical="center"/>
    </xf>
    <xf numFmtId="2" fontId="30" fillId="0" borderId="6" xfId="1" applyNumberFormat="1" applyFont="1" applyFill="1" applyBorder="1" applyAlignment="1">
      <alignment horizontal="center" vertical="center"/>
    </xf>
    <xf numFmtId="0" fontId="33" fillId="0" borderId="0" xfId="1" applyFont="1" applyFill="1" applyBorder="1"/>
    <xf numFmtId="0" fontId="34" fillId="0" borderId="6" xfId="1" applyFont="1" applyFill="1" applyBorder="1" applyAlignment="1">
      <alignment horizontal="left" vertical="center"/>
    </xf>
    <xf numFmtId="165" fontId="32" fillId="0" borderId="6" xfId="1" applyNumberFormat="1" applyFont="1" applyFill="1" applyBorder="1" applyAlignment="1">
      <alignment horizontal="center" vertical="center"/>
    </xf>
    <xf numFmtId="2" fontId="14" fillId="0" borderId="6" xfId="1" applyNumberFormat="1" applyFont="1" applyFill="1" applyBorder="1" applyAlignment="1">
      <alignment horizontal="center" vertical="center"/>
    </xf>
    <xf numFmtId="0" fontId="35" fillId="0" borderId="0" xfId="1" applyFont="1" applyFill="1" applyBorder="1"/>
    <xf numFmtId="165" fontId="14" fillId="0" borderId="6" xfId="1" applyNumberFormat="1" applyFont="1" applyFill="1" applyBorder="1" applyAlignment="1">
      <alignment horizontal="center" vertical="center"/>
    </xf>
    <xf numFmtId="0" fontId="35" fillId="0" borderId="0" xfId="1" applyFont="1" applyFill="1" applyBorder="1" applyAlignment="1"/>
    <xf numFmtId="9" fontId="31" fillId="0" borderId="6" xfId="6" applyFont="1" applyFill="1" applyBorder="1" applyAlignment="1">
      <alignment horizontal="center" vertical="center"/>
    </xf>
    <xf numFmtId="0" fontId="31" fillId="0" borderId="6" xfId="1" applyFont="1" applyFill="1" applyBorder="1" applyAlignment="1">
      <alignment horizontal="center" vertical="center"/>
    </xf>
    <xf numFmtId="2" fontId="31" fillId="0" borderId="6" xfId="1" applyNumberFormat="1" applyFont="1" applyFill="1" applyBorder="1" applyAlignment="1">
      <alignment horizontal="center" vertical="center"/>
    </xf>
    <xf numFmtId="2" fontId="32" fillId="0" borderId="13" xfId="1" applyNumberFormat="1" applyFont="1" applyFill="1" applyBorder="1" applyAlignment="1">
      <alignment horizontal="center" vertical="center"/>
    </xf>
    <xf numFmtId="167" fontId="1" fillId="0" borderId="0" xfId="6" applyNumberFormat="1" applyFont="1"/>
    <xf numFmtId="2" fontId="32" fillId="0" borderId="14" xfId="1" applyNumberFormat="1" applyFont="1" applyFill="1" applyBorder="1" applyAlignment="1">
      <alignment horizontal="center" vertical="center"/>
    </xf>
    <xf numFmtId="0" fontId="1" fillId="0" borderId="0" xfId="1" applyFont="1" applyFill="1" applyBorder="1" applyAlignment="1">
      <alignment horizontal="center"/>
    </xf>
    <xf numFmtId="2" fontId="14" fillId="0" borderId="0" xfId="1" applyNumberFormat="1" applyFont="1" applyFill="1" applyBorder="1" applyAlignment="1">
      <alignment horizontal="center" vertical="center"/>
    </xf>
    <xf numFmtId="0" fontId="36" fillId="3" borderId="6" xfId="7" applyFont="1" applyFill="1" applyBorder="1" applyAlignment="1">
      <alignment horizontal="center" vertical="center"/>
    </xf>
    <xf numFmtId="2" fontId="36" fillId="3" borderId="6" xfId="7" applyNumberFormat="1" applyFont="1" applyFill="1" applyBorder="1" applyAlignment="1">
      <alignment horizontal="center" vertical="center"/>
    </xf>
    <xf numFmtId="0" fontId="1" fillId="0" borderId="0" xfId="7" applyFont="1" applyFill="1" applyBorder="1"/>
    <xf numFmtId="0" fontId="1" fillId="0" borderId="0" xfId="7" applyFont="1"/>
    <xf numFmtId="0" fontId="36" fillId="0" borderId="0" xfId="7" applyFont="1" applyFill="1" applyBorder="1" applyAlignment="1">
      <alignment horizontal="center" vertical="center"/>
    </xf>
    <xf numFmtId="0" fontId="36" fillId="0" borderId="0" xfId="7" applyFont="1" applyFill="1" applyBorder="1" applyAlignment="1">
      <alignment horizontal="center" vertical="center" wrapText="1"/>
    </xf>
    <xf numFmtId="0" fontId="1" fillId="0" borderId="0" xfId="7" applyFont="1" applyFill="1"/>
    <xf numFmtId="0" fontId="37" fillId="3" borderId="6" xfId="7" applyFont="1" applyFill="1" applyBorder="1" applyAlignment="1">
      <alignment horizontal="center" vertical="center"/>
    </xf>
    <xf numFmtId="0" fontId="37" fillId="3" borderId="6" xfId="7" applyFont="1" applyFill="1" applyBorder="1" applyAlignment="1">
      <alignment horizontal="center" vertical="center" wrapText="1"/>
    </xf>
    <xf numFmtId="0" fontId="37" fillId="0" borderId="0" xfId="7" applyFont="1" applyFill="1" applyBorder="1" applyAlignment="1">
      <alignment horizontal="center" vertical="center" wrapText="1"/>
    </xf>
    <xf numFmtId="0" fontId="1" fillId="0" borderId="0" xfId="7" applyFont="1" applyFill="1" applyBorder="1" applyAlignment="1"/>
    <xf numFmtId="0" fontId="6" fillId="0" borderId="6" xfId="7" applyFont="1" applyFill="1" applyBorder="1" applyAlignment="1">
      <alignment horizontal="left" vertical="center" wrapText="1"/>
    </xf>
    <xf numFmtId="2" fontId="38" fillId="0" borderId="6" xfId="7" applyNumberFormat="1" applyFont="1" applyFill="1" applyBorder="1" applyAlignment="1">
      <alignment horizontal="center" vertical="center"/>
    </xf>
    <xf numFmtId="2" fontId="39" fillId="0" borderId="6" xfId="7" applyNumberFormat="1" applyFont="1" applyFill="1" applyBorder="1" applyAlignment="1">
      <alignment horizontal="center" vertical="center"/>
    </xf>
    <xf numFmtId="0" fontId="13" fillId="0" borderId="0" xfId="7" applyFont="1" applyFill="1" applyBorder="1" applyAlignment="1">
      <alignment horizontal="center" vertical="center"/>
    </xf>
    <xf numFmtId="0" fontId="13" fillId="0" borderId="6" xfId="7" applyFont="1" applyFill="1" applyBorder="1" applyAlignment="1">
      <alignment horizontal="left" vertical="center" wrapText="1"/>
    </xf>
    <xf numFmtId="0" fontId="13" fillId="11" borderId="6" xfId="7" applyFont="1" applyFill="1" applyBorder="1" applyAlignment="1">
      <alignment horizontal="left" vertical="center" wrapText="1"/>
    </xf>
    <xf numFmtId="2" fontId="38" fillId="11" borderId="6" xfId="7" applyNumberFormat="1" applyFont="1" applyFill="1" applyBorder="1" applyAlignment="1">
      <alignment horizontal="center" vertical="center"/>
    </xf>
    <xf numFmtId="2" fontId="39" fillId="11" borderId="6" xfId="7" applyNumberFormat="1" applyFont="1" applyFill="1" applyBorder="1" applyAlignment="1">
      <alignment horizontal="center" vertical="center"/>
    </xf>
    <xf numFmtId="0" fontId="13" fillId="0" borderId="0" xfId="7" applyFont="1" applyFill="1" applyBorder="1" applyAlignment="1">
      <alignment horizontal="left" vertical="center"/>
    </xf>
    <xf numFmtId="2" fontId="38" fillId="0" borderId="0" xfId="7" applyNumberFormat="1" applyFont="1" applyFill="1" applyBorder="1" applyAlignment="1">
      <alignment horizontal="center" vertical="center"/>
    </xf>
    <xf numFmtId="2" fontId="39" fillId="0" borderId="0" xfId="7" applyNumberFormat="1" applyFont="1" applyFill="1" applyBorder="1" applyAlignment="1">
      <alignment horizontal="center" vertical="center"/>
    </xf>
    <xf numFmtId="0" fontId="37" fillId="3" borderId="13" xfId="7" applyFont="1" applyFill="1" applyBorder="1" applyAlignment="1">
      <alignment horizontal="center" vertical="center"/>
    </xf>
    <xf numFmtId="0" fontId="13" fillId="0" borderId="6" xfId="7" applyFont="1" applyFill="1" applyBorder="1" applyAlignment="1">
      <alignment horizontal="left" vertical="center"/>
    </xf>
    <xf numFmtId="165" fontId="5" fillId="0" borderId="0" xfId="7" applyNumberFormat="1" applyFont="1" applyFill="1" applyBorder="1" applyAlignment="1">
      <alignment horizontal="center" vertical="center" wrapText="1"/>
    </xf>
    <xf numFmtId="0" fontId="13" fillId="7" borderId="0" xfId="7" applyFont="1" applyFill="1" applyBorder="1" applyAlignment="1">
      <alignment horizontal="left" vertical="center"/>
    </xf>
    <xf numFmtId="2" fontId="38" fillId="7" borderId="0" xfId="7" applyNumberFormat="1" applyFont="1" applyFill="1" applyBorder="1" applyAlignment="1">
      <alignment horizontal="center" vertical="center"/>
    </xf>
    <xf numFmtId="2" fontId="39" fillId="7" borderId="0" xfId="7" applyNumberFormat="1" applyFont="1" applyFill="1" applyBorder="1" applyAlignment="1">
      <alignment horizontal="center" vertical="center"/>
    </xf>
    <xf numFmtId="0" fontId="13" fillId="7" borderId="0" xfId="7" applyFont="1" applyFill="1" applyBorder="1" applyAlignment="1">
      <alignment horizontal="center" vertical="center"/>
    </xf>
    <xf numFmtId="165" fontId="5" fillId="7" borderId="0" xfId="7" applyNumberFormat="1" applyFont="1" applyFill="1" applyBorder="1" applyAlignment="1">
      <alignment horizontal="center" vertical="center" wrapText="1"/>
    </xf>
    <xf numFmtId="0" fontId="1" fillId="7" borderId="0" xfId="7" applyFont="1" applyFill="1" applyBorder="1" applyAlignment="1"/>
    <xf numFmtId="0" fontId="1" fillId="7" borderId="0" xfId="7" applyFont="1" applyFill="1"/>
    <xf numFmtId="0" fontId="37" fillId="0" borderId="0" xfId="7" applyFont="1" applyFill="1" applyBorder="1" applyAlignment="1">
      <alignment vertical="center"/>
    </xf>
    <xf numFmtId="0" fontId="5" fillId="0" borderId="0" xfId="7" applyFont="1" applyFill="1" applyBorder="1" applyAlignment="1">
      <alignment horizontal="center" vertical="center" wrapText="1"/>
    </xf>
    <xf numFmtId="0" fontId="5" fillId="2" borderId="9" xfId="7" applyFont="1" applyFill="1" applyBorder="1" applyAlignment="1">
      <alignment horizontal="center" vertical="center" wrapText="1"/>
    </xf>
    <xf numFmtId="0" fontId="5" fillId="4" borderId="9" xfId="7" applyFont="1" applyFill="1" applyBorder="1" applyAlignment="1">
      <alignment horizontal="center" vertical="center" wrapText="1"/>
    </xf>
    <xf numFmtId="0" fontId="5" fillId="0" borderId="0" xfId="7" applyFont="1" applyAlignment="1">
      <alignment horizontal="center" vertical="center" textRotation="90" wrapText="1"/>
    </xf>
    <xf numFmtId="0" fontId="5" fillId="6" borderId="9" xfId="7" applyFont="1" applyFill="1" applyBorder="1" applyAlignment="1">
      <alignment horizontal="center" vertical="center" wrapText="1"/>
    </xf>
    <xf numFmtId="0" fontId="37" fillId="3" borderId="9" xfId="7" applyFont="1" applyFill="1" applyBorder="1" applyAlignment="1">
      <alignment horizontal="center" vertical="center" wrapText="1"/>
    </xf>
    <xf numFmtId="9" fontId="7" fillId="0" borderId="6" xfId="6" applyFont="1" applyFill="1" applyBorder="1" applyAlignment="1">
      <alignment horizontal="center" vertical="center"/>
    </xf>
    <xf numFmtId="0" fontId="7" fillId="0" borderId="6" xfId="7" applyFont="1" applyFill="1" applyBorder="1" applyAlignment="1">
      <alignment horizontal="center" vertical="center"/>
    </xf>
    <xf numFmtId="2" fontId="31" fillId="0" borderId="6" xfId="7" applyNumberFormat="1" applyFont="1" applyFill="1" applyBorder="1" applyAlignment="1">
      <alignment horizontal="center" vertical="center"/>
    </xf>
    <xf numFmtId="2" fontId="40" fillId="0" borderId="6" xfId="7" applyNumberFormat="1" applyFont="1" applyFill="1" applyBorder="1" applyAlignment="1">
      <alignment horizontal="center" vertical="center"/>
    </xf>
    <xf numFmtId="0" fontId="13" fillId="0" borderId="6" xfId="7" applyFont="1" applyFill="1" applyBorder="1" applyAlignment="1">
      <alignment horizontal="center" vertical="center"/>
    </xf>
    <xf numFmtId="165" fontId="13" fillId="0" borderId="6" xfId="7" applyNumberFormat="1" applyFont="1" applyFill="1" applyBorder="1" applyAlignment="1">
      <alignment horizontal="center" vertical="center"/>
    </xf>
    <xf numFmtId="165" fontId="31" fillId="0" borderId="6" xfId="7" applyNumberFormat="1" applyFont="1" applyFill="1" applyBorder="1" applyAlignment="1">
      <alignment horizontal="center" vertical="center"/>
    </xf>
    <xf numFmtId="2" fontId="40" fillId="0" borderId="0" xfId="7" applyNumberFormat="1" applyFont="1" applyFill="1" applyBorder="1" applyAlignment="1">
      <alignment horizontal="center" vertical="center"/>
    </xf>
    <xf numFmtId="0" fontId="1" fillId="0" borderId="0" xfId="7" applyFont="1" applyBorder="1"/>
    <xf numFmtId="0" fontId="6" fillId="0" borderId="0" xfId="7" applyFont="1" applyFill="1" applyBorder="1" applyAlignment="1">
      <alignment horizontal="left" vertical="center" wrapText="1"/>
    </xf>
    <xf numFmtId="9" fontId="7" fillId="0" borderId="0" xfId="7" applyNumberFormat="1" applyFont="1" applyFill="1" applyBorder="1" applyAlignment="1">
      <alignment horizontal="center" vertical="center"/>
    </xf>
    <xf numFmtId="0" fontId="7" fillId="0" borderId="0" xfId="7" applyFont="1" applyFill="1" applyBorder="1" applyAlignment="1">
      <alignment horizontal="center" vertical="center"/>
    </xf>
    <xf numFmtId="2" fontId="6" fillId="0" borderId="0" xfId="7" applyNumberFormat="1" applyFont="1" applyFill="1" applyBorder="1" applyAlignment="1">
      <alignment horizontal="center" vertical="center"/>
    </xf>
    <xf numFmtId="0" fontId="6" fillId="0" borderId="0" xfId="7" applyFont="1" applyFill="1" applyBorder="1" applyAlignment="1">
      <alignment horizontal="left" vertical="center"/>
    </xf>
    <xf numFmtId="2" fontId="41" fillId="0" borderId="0" xfId="7" applyNumberFormat="1" applyFont="1" applyFill="1" applyBorder="1" applyAlignment="1">
      <alignment horizontal="center" vertical="center"/>
    </xf>
    <xf numFmtId="9" fontId="39" fillId="0" borderId="0" xfId="6" applyFont="1" applyFill="1" applyBorder="1" applyAlignment="1">
      <alignment horizontal="center" vertical="center"/>
    </xf>
    <xf numFmtId="0" fontId="37" fillId="3" borderId="14" xfId="7" applyFont="1" applyFill="1" applyBorder="1" applyAlignment="1">
      <alignment horizontal="center" vertical="center"/>
    </xf>
    <xf numFmtId="0" fontId="37" fillId="3" borderId="13" xfId="7" applyFont="1" applyFill="1" applyBorder="1" applyAlignment="1">
      <alignment horizontal="center" vertical="center" wrapText="1"/>
    </xf>
    <xf numFmtId="0" fontId="6" fillId="12" borderId="1" xfId="7" applyFont="1" applyFill="1" applyBorder="1" applyAlignment="1">
      <alignment horizontal="left" vertical="center" wrapText="1"/>
    </xf>
    <xf numFmtId="2" fontId="38" fillId="12" borderId="12" xfId="7" applyNumberFormat="1" applyFont="1" applyFill="1" applyBorder="1" applyAlignment="1">
      <alignment horizontal="center" vertical="center"/>
    </xf>
    <xf numFmtId="2" fontId="39" fillId="12" borderId="6" xfId="7" applyNumberFormat="1" applyFont="1" applyFill="1" applyBorder="1" applyAlignment="1">
      <alignment horizontal="center" vertical="center"/>
    </xf>
    <xf numFmtId="0" fontId="1" fillId="12" borderId="0" xfId="7" applyFont="1" applyFill="1" applyBorder="1"/>
    <xf numFmtId="2" fontId="37" fillId="13" borderId="6" xfId="7" applyNumberFormat="1" applyFont="1" applyFill="1" applyBorder="1" applyAlignment="1">
      <alignment horizontal="center" vertical="center"/>
    </xf>
    <xf numFmtId="0" fontId="5" fillId="6" borderId="0" xfId="7" applyFont="1" applyFill="1" applyBorder="1" applyAlignment="1">
      <alignment horizontal="center" vertical="center" wrapText="1"/>
    </xf>
    <xf numFmtId="9" fontId="7" fillId="12" borderId="6" xfId="6" applyFont="1" applyFill="1" applyBorder="1" applyAlignment="1">
      <alignment horizontal="center" vertical="center"/>
    </xf>
    <xf numFmtId="0" fontId="7" fillId="12" borderId="6" xfId="7" applyFont="1" applyFill="1" applyBorder="1" applyAlignment="1">
      <alignment horizontal="center" vertical="center"/>
    </xf>
    <xf numFmtId="2" fontId="31" fillId="12" borderId="6" xfId="7" applyNumberFormat="1" applyFont="1" applyFill="1" applyBorder="1" applyAlignment="1">
      <alignment horizontal="center" vertical="center"/>
    </xf>
    <xf numFmtId="0" fontId="1" fillId="6" borderId="0" xfId="7" applyFont="1" applyFill="1"/>
    <xf numFmtId="0" fontId="13" fillId="12" borderId="6" xfId="7" applyFont="1" applyFill="1" applyBorder="1" applyAlignment="1">
      <alignment horizontal="center" vertical="center"/>
    </xf>
    <xf numFmtId="2" fontId="13" fillId="12" borderId="6" xfId="7" applyNumberFormat="1" applyFont="1" applyFill="1" applyBorder="1" applyAlignment="1">
      <alignment horizontal="center" vertical="center"/>
    </xf>
    <xf numFmtId="1" fontId="13" fillId="12" borderId="6" xfId="7" applyNumberFormat="1" applyFont="1" applyFill="1" applyBorder="1" applyAlignment="1">
      <alignment horizontal="center" vertical="center"/>
    </xf>
    <xf numFmtId="0" fontId="1" fillId="12" borderId="0" xfId="7" applyFont="1" applyFill="1"/>
    <xf numFmtId="0" fontId="6" fillId="0" borderId="1" xfId="7" applyFont="1" applyFill="1" applyBorder="1" applyAlignment="1">
      <alignment horizontal="left" vertical="center" wrapText="1"/>
    </xf>
    <xf numFmtId="2" fontId="38" fillId="0" borderId="12" xfId="7" applyNumberFormat="1" applyFont="1" applyFill="1" applyBorder="1" applyAlignment="1">
      <alignment horizontal="center" vertical="center"/>
    </xf>
    <xf numFmtId="2" fontId="39" fillId="6" borderId="0" xfId="7" applyNumberFormat="1" applyFont="1" applyFill="1" applyBorder="1" applyAlignment="1">
      <alignment horizontal="center" vertical="center"/>
    </xf>
    <xf numFmtId="2" fontId="13" fillId="0" borderId="6" xfId="7" applyNumberFormat="1" applyFont="1" applyFill="1" applyBorder="1" applyAlignment="1">
      <alignment horizontal="center" vertical="center"/>
    </xf>
    <xf numFmtId="1" fontId="13" fillId="0" borderId="6" xfId="7" applyNumberFormat="1" applyFont="1" applyFill="1" applyBorder="1" applyAlignment="1">
      <alignment horizontal="center" vertical="center"/>
    </xf>
    <xf numFmtId="0" fontId="6" fillId="0" borderId="1" xfId="1" applyFont="1" applyFill="1" applyBorder="1" applyAlignment="1">
      <alignment horizontal="left" vertical="center"/>
    </xf>
    <xf numFmtId="0" fontId="6" fillId="0" borderId="1" xfId="7" applyFont="1" applyFill="1" applyBorder="1" applyAlignment="1">
      <alignment horizontal="left" vertical="center"/>
    </xf>
    <xf numFmtId="0" fontId="42" fillId="0" borderId="0" xfId="7" applyFont="1" applyFill="1" applyBorder="1"/>
    <xf numFmtId="0" fontId="39" fillId="2" borderId="6" xfId="7" applyFont="1" applyFill="1" applyBorder="1" applyAlignment="1">
      <alignment horizontal="center" vertical="center" wrapText="1"/>
    </xf>
    <xf numFmtId="0" fontId="6" fillId="0" borderId="6" xfId="7" applyFont="1" applyFill="1" applyBorder="1" applyAlignment="1">
      <alignment horizontal="left" vertical="center"/>
    </xf>
    <xf numFmtId="0" fontId="6" fillId="0" borderId="13" xfId="7" applyFont="1" applyBorder="1" applyAlignment="1">
      <alignment horizontal="left" vertical="center"/>
    </xf>
    <xf numFmtId="2" fontId="38" fillId="0" borderId="13" xfId="7" applyNumberFormat="1" applyFont="1" applyFill="1" applyBorder="1" applyAlignment="1">
      <alignment horizontal="center" vertical="center"/>
    </xf>
    <xf numFmtId="2" fontId="39" fillId="0" borderId="13" xfId="7" applyNumberFormat="1" applyFont="1" applyFill="1" applyBorder="1" applyAlignment="1">
      <alignment horizontal="center" vertical="center"/>
    </xf>
    <xf numFmtId="9" fontId="7" fillId="0" borderId="13" xfId="6" applyFont="1" applyFill="1" applyBorder="1" applyAlignment="1">
      <alignment horizontal="center" vertical="center"/>
    </xf>
    <xf numFmtId="0" fontId="7" fillId="0" borderId="13" xfId="7" applyFont="1" applyFill="1" applyBorder="1" applyAlignment="1">
      <alignment horizontal="center" vertical="center"/>
    </xf>
    <xf numFmtId="2" fontId="31" fillId="0" borderId="13" xfId="7" applyNumberFormat="1" applyFont="1" applyFill="1" applyBorder="1" applyAlignment="1">
      <alignment horizontal="center" vertical="center"/>
    </xf>
    <xf numFmtId="2" fontId="13" fillId="0" borderId="0" xfId="7" applyNumberFormat="1" applyFont="1" applyFill="1" applyBorder="1" applyAlignment="1">
      <alignment horizontal="center" vertical="center"/>
    </xf>
    <xf numFmtId="2" fontId="31" fillId="0" borderId="0" xfId="7" applyNumberFormat="1" applyFont="1" applyFill="1" applyBorder="1" applyAlignment="1">
      <alignment horizontal="center" vertical="center"/>
    </xf>
    <xf numFmtId="0" fontId="6" fillId="0" borderId="6" xfId="7" applyFont="1" applyBorder="1" applyAlignment="1">
      <alignment horizontal="left" vertical="center"/>
    </xf>
    <xf numFmtId="0" fontId="15" fillId="0" borderId="0" xfId="8"/>
    <xf numFmtId="2" fontId="15" fillId="0" borderId="0" xfId="8" applyNumberFormat="1" applyAlignment="1">
      <alignment horizontal="center" vertical="center"/>
    </xf>
    <xf numFmtId="0" fontId="15" fillId="0" borderId="0" xfId="8" applyAlignment="1">
      <alignment horizontal="center" vertical="center"/>
    </xf>
    <xf numFmtId="165" fontId="6" fillId="0" borderId="6" xfId="2" applyNumberFormat="1" applyFont="1" applyFill="1" applyBorder="1" applyAlignment="1">
      <alignment horizontal="center" vertical="center"/>
    </xf>
    <xf numFmtId="2" fontId="6" fillId="0" borderId="6" xfId="2" applyNumberFormat="1" applyFont="1" applyFill="1" applyBorder="1" applyAlignment="1">
      <alignment horizontal="center" vertical="center" wrapText="1"/>
    </xf>
    <xf numFmtId="0" fontId="6" fillId="0" borderId="6" xfId="2" applyFont="1" applyFill="1" applyBorder="1" applyAlignment="1">
      <alignment horizontal="left" vertical="center"/>
    </xf>
    <xf numFmtId="0" fontId="6" fillId="0" borderId="6" xfId="2" applyFont="1" applyFill="1" applyBorder="1" applyAlignment="1">
      <alignment horizontal="center" vertical="center"/>
    </xf>
    <xf numFmtId="165" fontId="15" fillId="0" borderId="0" xfId="8" applyNumberFormat="1"/>
    <xf numFmtId="0" fontId="17" fillId="9" borderId="6" xfId="2" applyFont="1" applyFill="1" applyBorder="1" applyAlignment="1">
      <alignment horizontal="center" vertical="center" wrapText="1"/>
    </xf>
    <xf numFmtId="2" fontId="17" fillId="9" borderId="6" xfId="2" applyNumberFormat="1" applyFont="1" applyFill="1" applyBorder="1" applyAlignment="1">
      <alignment horizontal="center" vertical="center" wrapText="1"/>
    </xf>
    <xf numFmtId="0" fontId="43" fillId="7" borderId="0" xfId="8" applyFont="1" applyFill="1"/>
    <xf numFmtId="2" fontId="43" fillId="7" borderId="0" xfId="8" applyNumberFormat="1" applyFont="1" applyFill="1" applyAlignment="1">
      <alignment horizontal="center" vertical="center"/>
    </xf>
    <xf numFmtId="0" fontId="43" fillId="7" borderId="0" xfId="8" applyFont="1" applyFill="1" applyAlignment="1">
      <alignment horizontal="center" vertical="center"/>
    </xf>
    <xf numFmtId="168" fontId="19" fillId="0" borderId="11" xfId="1" applyNumberFormat="1" applyFont="1" applyFill="1" applyBorder="1" applyAlignment="1">
      <alignment horizontal="center" vertical="center"/>
    </xf>
    <xf numFmtId="168" fontId="44" fillId="0" borderId="10" xfId="1" applyNumberFormat="1" applyFont="1" applyFill="1" applyBorder="1" applyAlignment="1">
      <alignment horizontal="center" vertical="center"/>
    </xf>
    <xf numFmtId="0" fontId="17" fillId="9" borderId="6" xfId="2" applyFont="1" applyFill="1" applyBorder="1" applyAlignment="1">
      <alignment horizontal="center" vertical="center"/>
    </xf>
    <xf numFmtId="44" fontId="13" fillId="0" borderId="1" xfId="3" applyFont="1" applyBorder="1" applyAlignment="1">
      <alignment horizontal="center" vertical="center" wrapText="1"/>
    </xf>
    <xf numFmtId="44" fontId="6" fillId="5" borderId="1" xfId="3" applyFont="1" applyFill="1" applyBorder="1" applyAlignment="1">
      <alignment horizontal="center" vertical="center" wrapText="1"/>
    </xf>
    <xf numFmtId="44" fontId="13" fillId="6" borderId="1" xfId="3" applyFont="1" applyFill="1" applyBorder="1" applyAlignment="1">
      <alignment horizontal="center" vertical="center" wrapText="1"/>
    </xf>
    <xf numFmtId="44" fontId="13" fillId="6" borderId="3" xfId="3" applyFont="1" applyFill="1" applyBorder="1" applyAlignment="1">
      <alignment horizontal="center" vertical="center" wrapText="1"/>
    </xf>
    <xf numFmtId="44" fontId="19" fillId="0" borderId="6" xfId="3" applyFont="1" applyFill="1" applyBorder="1" applyAlignment="1">
      <alignment horizontal="center" vertical="center"/>
    </xf>
    <xf numFmtId="44" fontId="5" fillId="0" borderId="6" xfId="3" applyFont="1" applyFill="1" applyBorder="1" applyAlignment="1">
      <alignment horizontal="center" vertical="center" wrapText="1"/>
    </xf>
    <xf numFmtId="44" fontId="19" fillId="0" borderId="0" xfId="3" applyFont="1" applyFill="1" applyBorder="1" applyAlignment="1">
      <alignment horizontal="center" vertical="center"/>
    </xf>
    <xf numFmtId="44" fontId="25" fillId="0" borderId="6" xfId="3" applyFont="1" applyFill="1" applyBorder="1" applyAlignment="1">
      <alignment horizontal="center" vertical="center"/>
    </xf>
    <xf numFmtId="44" fontId="29" fillId="0" borderId="6" xfId="3" applyFont="1" applyFill="1" applyBorder="1" applyAlignment="1">
      <alignment horizontal="center" vertical="center"/>
    </xf>
    <xf numFmtId="44" fontId="27" fillId="0" borderId="6" xfId="3" applyFont="1" applyFill="1" applyBorder="1" applyAlignment="1">
      <alignment horizontal="center" vertical="center"/>
    </xf>
    <xf numFmtId="44" fontId="32" fillId="0" borderId="6" xfId="3" applyFont="1" applyFill="1" applyBorder="1" applyAlignment="1">
      <alignment horizontal="center" vertical="center"/>
    </xf>
    <xf numFmtId="4" fontId="46" fillId="0" borderId="4" xfId="1" applyNumberFormat="1" applyFont="1" applyFill="1" applyBorder="1" applyAlignment="1">
      <alignment horizontal="center" vertical="center" wrapText="1"/>
    </xf>
    <xf numFmtId="0" fontId="3" fillId="14" borderId="1" xfId="1" applyFont="1" applyFill="1" applyBorder="1" applyAlignment="1">
      <alignment horizontal="center" vertical="center" wrapText="1"/>
    </xf>
    <xf numFmtId="0" fontId="4" fillId="14" borderId="1" xfId="0" applyFont="1" applyFill="1" applyBorder="1"/>
    <xf numFmtId="4" fontId="6" fillId="14" borderId="1" xfId="1" applyNumberFormat="1" applyFont="1" applyFill="1" applyBorder="1" applyAlignment="1">
      <alignment horizontal="center" vertical="center" wrapText="1"/>
    </xf>
    <xf numFmtId="4" fontId="5" fillId="14" borderId="1" xfId="1" applyNumberFormat="1" applyFont="1" applyFill="1" applyBorder="1" applyAlignment="1">
      <alignment horizontal="center" vertical="center" wrapText="1"/>
    </xf>
    <xf numFmtId="0" fontId="6" fillId="14" borderId="0" xfId="1" applyFont="1" applyFill="1" applyBorder="1" applyAlignment="1">
      <alignment horizontal="center" vertical="center" wrapText="1"/>
    </xf>
    <xf numFmtId="2" fontId="5" fillId="14" borderId="1" xfId="1" applyNumberFormat="1" applyFont="1" applyFill="1" applyBorder="1" applyAlignment="1">
      <alignment horizontal="center" vertical="center" wrapText="1"/>
    </xf>
    <xf numFmtId="44" fontId="1" fillId="0" borderId="0" xfId="0" applyNumberFormat="1" applyFont="1" applyFill="1" applyBorder="1" applyAlignment="1">
      <alignment vertical="top"/>
    </xf>
    <xf numFmtId="0" fontId="6" fillId="0" borderId="0" xfId="1" applyFont="1" applyBorder="1" applyAlignment="1">
      <alignment horizontal="center" vertical="center" wrapText="1"/>
    </xf>
    <xf numFmtId="9" fontId="14" fillId="0" borderId="0" xfId="1" applyNumberFormat="1" applyFont="1" applyAlignment="1">
      <alignment horizontal="left" vertical="center"/>
    </xf>
    <xf numFmtId="0" fontId="0" fillId="0" borderId="0" xfId="0" applyAlignment="1">
      <alignment wrapText="1"/>
    </xf>
    <xf numFmtId="0" fontId="43" fillId="0" borderId="1" xfId="0" applyFont="1" applyBorder="1" applyAlignment="1">
      <alignment horizontal="center" vertical="center" wrapText="1"/>
    </xf>
    <xf numFmtId="17" fontId="43" fillId="0" borderId="1" xfId="0" applyNumberFormat="1" applyFont="1" applyBorder="1" applyAlignment="1">
      <alignment horizontal="center" vertical="center" wrapText="1"/>
    </xf>
    <xf numFmtId="0" fontId="0" fillId="0" borderId="0" xfId="0" applyAlignment="1">
      <alignment horizontal="center"/>
    </xf>
    <xf numFmtId="0" fontId="51" fillId="0" borderId="0" xfId="12" applyFont="1" applyAlignment="1">
      <alignment horizontal="center"/>
    </xf>
    <xf numFmtId="0" fontId="52" fillId="0" borderId="0" xfId="12" applyFont="1" applyAlignment="1"/>
    <xf numFmtId="0" fontId="10" fillId="0" borderId="2" xfId="1" applyFont="1" applyFill="1" applyBorder="1" applyAlignment="1">
      <alignment horizontal="center" vertical="center" wrapText="1"/>
    </xf>
    <xf numFmtId="0" fontId="11" fillId="0" borderId="2" xfId="1" applyFont="1" applyFill="1" applyBorder="1" applyAlignment="1">
      <alignment horizontal="center" vertical="center" wrapText="1"/>
    </xf>
    <xf numFmtId="4" fontId="11" fillId="0" borderId="1" xfId="1" applyNumberFormat="1" applyFont="1" applyFill="1" applyBorder="1" applyAlignment="1">
      <alignment horizontal="center" vertical="center" wrapText="1"/>
    </xf>
    <xf numFmtId="0" fontId="10" fillId="0" borderId="0" xfId="1" applyFont="1" applyFill="1" applyBorder="1" applyAlignment="1">
      <alignment horizontal="center" vertical="center" wrapText="1"/>
    </xf>
    <xf numFmtId="2" fontId="12" fillId="0" borderId="1" xfId="1" applyNumberFormat="1" applyFont="1" applyFill="1" applyBorder="1" applyAlignment="1">
      <alignment horizontal="center" vertical="center" wrapText="1"/>
    </xf>
    <xf numFmtId="14" fontId="5" fillId="0" borderId="1" xfId="1" applyNumberFormat="1" applyFont="1" applyBorder="1" applyAlignment="1">
      <alignment horizontal="left" vertical="center" wrapText="1"/>
    </xf>
    <xf numFmtId="0" fontId="6" fillId="0" borderId="1" xfId="1" applyFont="1" applyBorder="1" applyAlignment="1">
      <alignment horizontal="left" vertical="center" wrapText="1"/>
    </xf>
    <xf numFmtId="0" fontId="0" fillId="0" borderId="1" xfId="0" applyBorder="1" applyAlignment="1">
      <alignment horizontal="center"/>
    </xf>
    <xf numFmtId="1" fontId="0" fillId="0" borderId="1" xfId="0" applyNumberFormat="1" applyBorder="1" applyAlignment="1">
      <alignment horizontal="center"/>
    </xf>
    <xf numFmtId="0" fontId="10" fillId="0" borderId="2" xfId="1" applyFont="1" applyFill="1" applyBorder="1" applyAlignment="1">
      <alignment horizontal="center" vertical="center" wrapText="1"/>
    </xf>
    <xf numFmtId="1" fontId="25" fillId="0" borderId="6" xfId="1" applyNumberFormat="1" applyFont="1" applyFill="1" applyBorder="1" applyAlignment="1">
      <alignment horizontal="center" vertical="center"/>
    </xf>
    <xf numFmtId="0" fontId="22" fillId="0" borderId="0" xfId="1" applyFont="1" applyFill="1"/>
    <xf numFmtId="4" fontId="6" fillId="0" borderId="0" xfId="1" applyNumberFormat="1" applyFont="1" applyBorder="1" applyAlignment="1">
      <alignment horizontal="center" vertical="center" wrapText="1"/>
    </xf>
    <xf numFmtId="0" fontId="51" fillId="0" borderId="1" xfId="12" applyNumberFormat="1" applyFont="1" applyBorder="1" applyAlignment="1">
      <alignment horizontal="center" vertical="center" wrapText="1"/>
    </xf>
    <xf numFmtId="0" fontId="52" fillId="0" borderId="0" xfId="12" applyFont="1" applyAlignment="1">
      <alignment horizontal="center"/>
    </xf>
    <xf numFmtId="0" fontId="51" fillId="0" borderId="0" xfId="12" applyFont="1" applyAlignment="1"/>
    <xf numFmtId="3" fontId="1" fillId="0" borderId="0" xfId="0" applyNumberFormat="1" applyFont="1" applyFill="1" applyBorder="1" applyAlignment="1">
      <alignment vertical="top"/>
    </xf>
    <xf numFmtId="3" fontId="0" fillId="0" borderId="0" xfId="0" applyNumberFormat="1"/>
    <xf numFmtId="14" fontId="6" fillId="0" borderId="0" xfId="1" applyNumberFormat="1" applyFont="1" applyAlignment="1">
      <alignment horizontal="center" vertical="center" wrapText="1"/>
    </xf>
    <xf numFmtId="0" fontId="10" fillId="5" borderId="17" xfId="1" applyFont="1" applyFill="1" applyBorder="1" applyAlignment="1">
      <alignment horizontal="center" vertical="center" wrapText="1"/>
    </xf>
    <xf numFmtId="0" fontId="10" fillId="5" borderId="18" xfId="1" applyFont="1" applyFill="1" applyBorder="1" applyAlignment="1">
      <alignment horizontal="center" vertical="center" wrapText="1"/>
    </xf>
    <xf numFmtId="0" fontId="11" fillId="5" borderId="18" xfId="1" applyFont="1" applyFill="1" applyBorder="1" applyAlignment="1">
      <alignment horizontal="center" vertical="center" wrapText="1"/>
    </xf>
    <xf numFmtId="4" fontId="11" fillId="5" borderId="17" xfId="1" applyNumberFormat="1" applyFont="1" applyFill="1" applyBorder="1" applyAlignment="1">
      <alignment horizontal="center" vertical="center" wrapText="1"/>
    </xf>
    <xf numFmtId="2" fontId="12" fillId="5" borderId="17" xfId="1" applyNumberFormat="1" applyFont="1" applyFill="1" applyBorder="1" applyAlignment="1">
      <alignment horizontal="center" vertical="center" wrapText="1"/>
    </xf>
    <xf numFmtId="0" fontId="10" fillId="0" borderId="20" xfId="1" applyFont="1" applyFill="1" applyBorder="1" applyAlignment="1">
      <alignment horizontal="center" vertical="center" wrapText="1"/>
    </xf>
    <xf numFmtId="0" fontId="11" fillId="0" borderId="20" xfId="1" applyFont="1" applyFill="1" applyBorder="1" applyAlignment="1">
      <alignment horizontal="center" vertical="center" wrapText="1"/>
    </xf>
    <xf numFmtId="4" fontId="11" fillId="0" borderId="20" xfId="1" applyNumberFormat="1" applyFont="1" applyFill="1" applyBorder="1" applyAlignment="1">
      <alignment horizontal="center" vertical="center" wrapText="1"/>
    </xf>
    <xf numFmtId="0" fontId="10" fillId="0" borderId="21" xfId="1" applyFont="1" applyFill="1" applyBorder="1" applyAlignment="1">
      <alignment horizontal="center" vertical="center" wrapText="1"/>
    </xf>
    <xf numFmtId="2" fontId="12" fillId="0" borderId="20" xfId="1" applyNumberFormat="1" applyFont="1" applyFill="1" applyBorder="1" applyAlignment="1">
      <alignment horizontal="center" vertical="center" wrapText="1"/>
    </xf>
    <xf numFmtId="3" fontId="19" fillId="0" borderId="22" xfId="1" applyNumberFormat="1" applyFont="1" applyFill="1" applyBorder="1" applyAlignment="1">
      <alignment horizontal="center" vertical="center" wrapText="1"/>
    </xf>
    <xf numFmtId="0" fontId="10" fillId="0" borderId="26" xfId="1" applyFont="1" applyFill="1" applyBorder="1" applyAlignment="1">
      <alignment horizontal="center" vertical="center" wrapText="1"/>
    </xf>
    <xf numFmtId="0" fontId="11" fillId="0" borderId="26" xfId="1" applyFont="1" applyFill="1" applyBorder="1" applyAlignment="1">
      <alignment horizontal="center" vertical="center" wrapText="1"/>
    </xf>
    <xf numFmtId="4" fontId="11" fillId="0" borderId="27" xfId="1" applyNumberFormat="1" applyFont="1" applyFill="1" applyBorder="1" applyAlignment="1">
      <alignment horizontal="center" vertical="center" wrapText="1"/>
    </xf>
    <xf numFmtId="0" fontId="10" fillId="0" borderId="28" xfId="1" applyFont="1" applyFill="1" applyBorder="1" applyAlignment="1">
      <alignment horizontal="center" vertical="center" wrapText="1"/>
    </xf>
    <xf numFmtId="2" fontId="12" fillId="0" borderId="27" xfId="1" applyNumberFormat="1" applyFont="1" applyFill="1" applyBorder="1" applyAlignment="1">
      <alignment horizontal="center" vertical="center" wrapText="1"/>
    </xf>
    <xf numFmtId="0" fontId="5" fillId="0" borderId="2" xfId="1" applyFont="1" applyFill="1" applyBorder="1" applyAlignment="1">
      <alignment horizontal="center" vertical="center" wrapText="1"/>
    </xf>
    <xf numFmtId="4" fontId="6" fillId="0" borderId="2" xfId="1" applyNumberFormat="1" applyFont="1" applyFill="1" applyBorder="1" applyAlignment="1">
      <alignment horizontal="center" vertical="center" wrapText="1"/>
    </xf>
    <xf numFmtId="4" fontId="5" fillId="0" borderId="2" xfId="1" applyNumberFormat="1" applyFont="1" applyFill="1" applyBorder="1" applyAlignment="1">
      <alignment horizontal="center" vertical="center" wrapText="1"/>
    </xf>
    <xf numFmtId="2" fontId="5" fillId="0" borderId="2" xfId="1" applyNumberFormat="1" applyFont="1" applyFill="1" applyBorder="1" applyAlignment="1">
      <alignment horizontal="center" vertical="center" wrapText="1"/>
    </xf>
    <xf numFmtId="4" fontId="6" fillId="0" borderId="27" xfId="1" applyNumberFormat="1" applyFont="1" applyFill="1" applyBorder="1" applyAlignment="1">
      <alignment horizontal="center" vertical="center" wrapText="1"/>
    </xf>
    <xf numFmtId="4" fontId="5" fillId="0" borderId="27" xfId="1" applyNumberFormat="1" applyFont="1" applyFill="1" applyBorder="1" applyAlignment="1">
      <alignment horizontal="center" vertical="center" wrapText="1"/>
    </xf>
    <xf numFmtId="0" fontId="6" fillId="0" borderId="28" xfId="1" applyFont="1" applyFill="1" applyBorder="1" applyAlignment="1">
      <alignment horizontal="center" vertical="center" wrapText="1"/>
    </xf>
    <xf numFmtId="2" fontId="5" fillId="0" borderId="27" xfId="1" applyNumberFormat="1" applyFont="1" applyFill="1" applyBorder="1" applyAlignment="1">
      <alignment horizontal="center" vertical="center" wrapText="1"/>
    </xf>
    <xf numFmtId="3" fontId="1" fillId="0" borderId="1" xfId="0" applyNumberFormat="1" applyFont="1" applyFill="1" applyBorder="1" applyAlignment="1">
      <alignment horizontal="center" vertical="top"/>
    </xf>
    <xf numFmtId="3" fontId="0" fillId="0" borderId="1" xfId="0" applyNumberFormat="1" applyBorder="1" applyAlignment="1">
      <alignment horizontal="center"/>
    </xf>
    <xf numFmtId="3" fontId="19" fillId="0" borderId="24" xfId="1" applyNumberFormat="1" applyFont="1" applyFill="1" applyBorder="1" applyAlignment="1">
      <alignment horizontal="center" vertical="center" wrapText="1"/>
    </xf>
    <xf numFmtId="3" fontId="19" fillId="0" borderId="29" xfId="1" applyNumberFormat="1" applyFont="1" applyFill="1" applyBorder="1" applyAlignment="1">
      <alignment horizontal="center" vertical="center" wrapText="1"/>
    </xf>
    <xf numFmtId="3" fontId="5" fillId="0" borderId="29" xfId="1" applyNumberFormat="1" applyFont="1" applyFill="1" applyBorder="1" applyAlignment="1">
      <alignment horizontal="center" vertical="center" wrapText="1"/>
    </xf>
    <xf numFmtId="3" fontId="5" fillId="0" borderId="2" xfId="1" applyNumberFormat="1" applyFont="1" applyFill="1" applyBorder="1" applyAlignment="1">
      <alignment horizontal="center" vertical="center" wrapText="1"/>
    </xf>
    <xf numFmtId="9" fontId="10" fillId="0" borderId="2" xfId="1" applyNumberFormat="1" applyFont="1" applyFill="1" applyBorder="1" applyAlignment="1">
      <alignment horizontal="center" vertical="center" wrapText="1"/>
    </xf>
    <xf numFmtId="0" fontId="5" fillId="0" borderId="30" xfId="1" applyFont="1" applyFill="1" applyBorder="1" applyAlignment="1">
      <alignment horizontal="center" vertical="center" wrapText="1"/>
    </xf>
    <xf numFmtId="4" fontId="6" fillId="0" borderId="20" xfId="1" applyNumberFormat="1" applyFont="1" applyFill="1" applyBorder="1" applyAlignment="1">
      <alignment horizontal="center" vertical="center" wrapText="1"/>
    </xf>
    <xf numFmtId="4" fontId="5" fillId="0" borderId="20" xfId="1" applyNumberFormat="1" applyFont="1" applyFill="1" applyBorder="1" applyAlignment="1">
      <alignment horizontal="center" vertical="center" wrapText="1"/>
    </xf>
    <xf numFmtId="0" fontId="6" fillId="0" borderId="21" xfId="1" applyFont="1" applyFill="1" applyBorder="1" applyAlignment="1">
      <alignment horizontal="center" vertical="center" wrapText="1"/>
    </xf>
    <xf numFmtId="2" fontId="5" fillId="0" borderId="20" xfId="1" applyNumberFormat="1" applyFont="1" applyFill="1" applyBorder="1" applyAlignment="1">
      <alignment horizontal="center" vertical="center" wrapText="1"/>
    </xf>
    <xf numFmtId="3" fontId="5" fillId="0" borderId="22" xfId="1" applyNumberFormat="1" applyFont="1" applyFill="1" applyBorder="1" applyAlignment="1">
      <alignment horizontal="center" vertical="center" wrapText="1"/>
    </xf>
    <xf numFmtId="0" fontId="5" fillId="0" borderId="31" xfId="1" applyFont="1" applyFill="1" applyBorder="1" applyAlignment="1">
      <alignment horizontal="center" vertical="center" wrapText="1"/>
    </xf>
    <xf numFmtId="3" fontId="5" fillId="0" borderId="32" xfId="1" applyNumberFormat="1" applyFont="1" applyFill="1" applyBorder="1" applyAlignment="1">
      <alignment horizontal="center" vertical="center" wrapText="1"/>
    </xf>
    <xf numFmtId="0" fontId="5" fillId="0" borderId="25" xfId="1" applyFont="1" applyFill="1" applyBorder="1" applyAlignment="1">
      <alignment horizontal="center" vertical="center" wrapText="1"/>
    </xf>
    <xf numFmtId="9" fontId="10" fillId="0" borderId="26" xfId="1" applyNumberFormat="1" applyFont="1" applyFill="1" applyBorder="1" applyAlignment="1">
      <alignment horizontal="center" vertical="center" wrapText="1"/>
    </xf>
    <xf numFmtId="4" fontId="6" fillId="0" borderId="26" xfId="1" applyNumberFormat="1" applyFont="1" applyFill="1" applyBorder="1" applyAlignment="1">
      <alignment horizontal="center" vertical="center" wrapText="1"/>
    </xf>
    <xf numFmtId="4" fontId="5" fillId="0" borderId="26" xfId="1" applyNumberFormat="1" applyFont="1" applyFill="1" applyBorder="1" applyAlignment="1">
      <alignment horizontal="center" vertical="center" wrapText="1"/>
    </xf>
    <xf numFmtId="2" fontId="5" fillId="0" borderId="26" xfId="1" applyNumberFormat="1" applyFont="1" applyFill="1" applyBorder="1" applyAlignment="1">
      <alignment horizontal="center" vertical="center" wrapText="1"/>
    </xf>
    <xf numFmtId="3" fontId="5" fillId="0" borderId="33" xfId="1" applyNumberFormat="1" applyFont="1" applyFill="1" applyBorder="1" applyAlignment="1">
      <alignment horizontal="center" vertical="center" wrapText="1"/>
    </xf>
    <xf numFmtId="0" fontId="5" fillId="0" borderId="34" xfId="1" applyFont="1" applyFill="1" applyBorder="1" applyAlignment="1">
      <alignment horizontal="center" vertical="center" wrapText="1"/>
    </xf>
    <xf numFmtId="3" fontId="5" fillId="0" borderId="24" xfId="1" applyNumberFormat="1" applyFont="1" applyFill="1" applyBorder="1" applyAlignment="1">
      <alignment horizontal="center" vertical="center" wrapText="1"/>
    </xf>
    <xf numFmtId="0" fontId="5" fillId="0" borderId="35" xfId="1" applyFont="1" applyFill="1" applyBorder="1" applyAlignment="1">
      <alignment horizontal="center" vertical="center" wrapText="1"/>
    </xf>
    <xf numFmtId="3" fontId="5" fillId="0" borderId="1" xfId="3" applyNumberFormat="1" applyFont="1" applyBorder="1" applyAlignment="1">
      <alignment horizontal="center" vertical="center"/>
    </xf>
    <xf numFmtId="9" fontId="5" fillId="0" borderId="1" xfId="9" applyNumberFormat="1" applyFont="1" applyBorder="1" applyAlignment="1">
      <alignment horizontal="center" vertical="center"/>
    </xf>
    <xf numFmtId="9" fontId="5" fillId="0" borderId="3" xfId="1" applyNumberFormat="1" applyFont="1" applyBorder="1" applyAlignment="1">
      <alignment horizontal="center" vertical="center" wrapText="1"/>
    </xf>
    <xf numFmtId="3" fontId="5" fillId="0" borderId="3" xfId="1" applyNumberFormat="1" applyFont="1" applyBorder="1" applyAlignment="1">
      <alignment horizontal="center" vertical="center" wrapText="1"/>
    </xf>
    <xf numFmtId="0" fontId="6" fillId="0" borderId="5" xfId="1" applyFont="1" applyBorder="1" applyAlignment="1">
      <alignment horizontal="center" vertical="center" wrapText="1"/>
    </xf>
    <xf numFmtId="0" fontId="47" fillId="0" borderId="5" xfId="1" applyFont="1" applyFill="1" applyBorder="1" applyAlignment="1">
      <alignment horizontal="left" vertical="center" wrapText="1"/>
    </xf>
    <xf numFmtId="9" fontId="6" fillId="0" borderId="5" xfId="9" applyFont="1" applyBorder="1" applyAlignment="1">
      <alignment horizontal="center" vertical="center" wrapText="1"/>
    </xf>
    <xf numFmtId="0" fontId="6" fillId="0" borderId="5" xfId="1" applyFont="1" applyFill="1" applyBorder="1" applyAlignment="1">
      <alignment horizontal="center" vertical="center" wrapText="1"/>
    </xf>
    <xf numFmtId="167" fontId="6" fillId="0" borderId="5" xfId="9" applyNumberFormat="1" applyFont="1" applyBorder="1" applyAlignment="1">
      <alignment horizontal="center" vertical="center" wrapText="1"/>
    </xf>
    <xf numFmtId="0" fontId="6" fillId="0" borderId="36" xfId="1" applyFont="1" applyBorder="1" applyAlignment="1">
      <alignment horizontal="center" vertical="center" wrapText="1"/>
    </xf>
    <xf numFmtId="0" fontId="6" fillId="0" borderId="17" xfId="1" applyFont="1" applyBorder="1" applyAlignment="1">
      <alignment horizontal="center" vertical="center" wrapText="1"/>
    </xf>
    <xf numFmtId="0" fontId="6" fillId="0" borderId="18" xfId="1" applyFont="1" applyBorder="1" applyAlignment="1">
      <alignment horizontal="center" vertical="center" wrapText="1"/>
    </xf>
    <xf numFmtId="0" fontId="47" fillId="0" borderId="18" xfId="1" applyFont="1" applyFill="1" applyBorder="1" applyAlignment="1">
      <alignment horizontal="left" vertical="center" wrapText="1"/>
    </xf>
    <xf numFmtId="3" fontId="19" fillId="0" borderId="18" xfId="1" applyNumberFormat="1" applyFont="1" applyFill="1" applyBorder="1" applyAlignment="1">
      <alignment horizontal="center" vertical="center" wrapText="1"/>
    </xf>
    <xf numFmtId="0" fontId="6" fillId="0" borderId="18" xfId="1" applyFont="1" applyFill="1" applyBorder="1" applyAlignment="1">
      <alignment horizontal="center" vertical="center" wrapText="1"/>
    </xf>
    <xf numFmtId="0" fontId="6" fillId="0" borderId="2" xfId="1" applyFont="1" applyBorder="1" applyAlignment="1">
      <alignment horizontal="center" vertical="center" wrapText="1"/>
    </xf>
    <xf numFmtId="9" fontId="47" fillId="0" borderId="2" xfId="9" applyFont="1" applyFill="1" applyBorder="1" applyAlignment="1">
      <alignment horizontal="left" vertical="center" wrapText="1"/>
    </xf>
    <xf numFmtId="0" fontId="6" fillId="0" borderId="37" xfId="1" applyFont="1" applyBorder="1" applyAlignment="1">
      <alignment horizontal="center" vertical="center" wrapText="1"/>
    </xf>
    <xf numFmtId="9" fontId="47" fillId="0" borderId="36" xfId="9" applyFont="1" applyFill="1" applyBorder="1" applyAlignment="1">
      <alignment horizontal="left" vertical="center" wrapText="1"/>
    </xf>
    <xf numFmtId="3" fontId="5" fillId="14" borderId="17" xfId="1" applyNumberFormat="1" applyFont="1" applyFill="1" applyBorder="1" applyAlignment="1">
      <alignment horizontal="center" vertical="center" wrapText="1"/>
    </xf>
    <xf numFmtId="0" fontId="6" fillId="0" borderId="4" xfId="1" applyFont="1" applyFill="1" applyBorder="1" applyAlignment="1">
      <alignment horizontal="center" vertical="center" wrapText="1"/>
    </xf>
    <xf numFmtId="0" fontId="6" fillId="0" borderId="36" xfId="1" applyFont="1" applyFill="1" applyBorder="1" applyAlignment="1">
      <alignment horizontal="center" vertical="center" wrapText="1"/>
    </xf>
    <xf numFmtId="0" fontId="6" fillId="0" borderId="2" xfId="1" applyFont="1" applyFill="1" applyBorder="1" applyAlignment="1">
      <alignment horizontal="center" vertical="center" wrapText="1"/>
    </xf>
    <xf numFmtId="9" fontId="45" fillId="0" borderId="40" xfId="9" applyFont="1" applyBorder="1" applyAlignment="1">
      <alignment horizontal="left" vertical="center"/>
    </xf>
    <xf numFmtId="0" fontId="6" fillId="0" borderId="40" xfId="1" applyFont="1" applyFill="1" applyBorder="1" applyAlignment="1">
      <alignment horizontal="center" vertical="center" wrapText="1"/>
    </xf>
    <xf numFmtId="0" fontId="6" fillId="0" borderId="37" xfId="1" applyFont="1" applyFill="1" applyBorder="1" applyAlignment="1">
      <alignment horizontal="center" vertical="center" wrapText="1"/>
    </xf>
    <xf numFmtId="0" fontId="6" fillId="0" borderId="17" xfId="1" applyFont="1" applyFill="1" applyBorder="1" applyAlignment="1">
      <alignment horizontal="center" vertical="center" wrapText="1"/>
    </xf>
    <xf numFmtId="169" fontId="45" fillId="0" borderId="0" xfId="3" applyNumberFormat="1" applyFont="1" applyBorder="1" applyAlignment="1">
      <alignment horizontal="left" vertical="center"/>
    </xf>
    <xf numFmtId="169" fontId="45" fillId="0" borderId="4" xfId="3" applyNumberFormat="1" applyFont="1" applyBorder="1" applyAlignment="1">
      <alignment horizontal="left" vertical="center"/>
    </xf>
    <xf numFmtId="0" fontId="6" fillId="0" borderId="40" xfId="1" applyFont="1" applyBorder="1" applyAlignment="1">
      <alignment horizontal="center" vertical="center" wrapText="1"/>
    </xf>
    <xf numFmtId="0" fontId="6" fillId="0" borderId="4" xfId="1" applyFont="1" applyBorder="1" applyAlignment="1">
      <alignment horizontal="center" vertical="center" wrapText="1"/>
    </xf>
    <xf numFmtId="9" fontId="45" fillId="0" borderId="37" xfId="9" applyFont="1" applyBorder="1" applyAlignment="1">
      <alignment horizontal="left" vertical="center"/>
    </xf>
    <xf numFmtId="0" fontId="14" fillId="0" borderId="5" xfId="1" applyFont="1" applyBorder="1" applyAlignment="1">
      <alignment horizontal="left" vertical="center"/>
    </xf>
    <xf numFmtId="0" fontId="14" fillId="0" borderId="36" xfId="1" applyFont="1" applyBorder="1" applyAlignment="1">
      <alignment horizontal="left" vertical="center"/>
    </xf>
    <xf numFmtId="9" fontId="0" fillId="0" borderId="1" xfId="9" applyFont="1" applyBorder="1" applyAlignment="1">
      <alignment horizontal="center" vertical="center" wrapText="1"/>
    </xf>
    <xf numFmtId="0" fontId="0" fillId="0" borderId="1" xfId="0" applyBorder="1" applyAlignment="1">
      <alignment horizontal="center" vertical="center" wrapText="1"/>
    </xf>
    <xf numFmtId="0" fontId="56" fillId="0" borderId="1" xfId="0" applyFont="1" applyBorder="1" applyAlignment="1">
      <alignment horizontal="center" vertical="center" wrapText="1"/>
    </xf>
    <xf numFmtId="0" fontId="51" fillId="0" borderId="0" xfId="1" applyFont="1" applyAlignment="1">
      <alignment horizontal="center"/>
    </xf>
    <xf numFmtId="0" fontId="52" fillId="0" borderId="0" xfId="1" applyFont="1" applyAlignment="1"/>
    <xf numFmtId="0" fontId="1" fillId="0" borderId="0" xfId="1"/>
    <xf numFmtId="0" fontId="1" fillId="0" borderId="0" xfId="1" applyAlignment="1">
      <alignment vertical="center"/>
    </xf>
    <xf numFmtId="0" fontId="1" fillId="0" borderId="46" xfId="1" applyFont="1" applyBorder="1" applyAlignment="1">
      <alignment horizontal="center" vertical="center" wrapText="1"/>
    </xf>
    <xf numFmtId="0" fontId="51" fillId="0" borderId="47" xfId="1" applyNumberFormat="1" applyFont="1" applyBorder="1" applyAlignment="1">
      <alignment vertical="center" wrapText="1"/>
    </xf>
    <xf numFmtId="0" fontId="1" fillId="0" borderId="46" xfId="1" applyFont="1" applyFill="1" applyBorder="1" applyAlignment="1">
      <alignment horizontal="center" vertical="center" wrapText="1"/>
    </xf>
    <xf numFmtId="0" fontId="1" fillId="0" borderId="59" xfId="1" applyFont="1" applyBorder="1" applyAlignment="1">
      <alignment horizontal="center" vertical="center" wrapText="1"/>
    </xf>
    <xf numFmtId="0" fontId="51" fillId="0" borderId="60" xfId="1" applyNumberFormat="1" applyFont="1" applyBorder="1" applyAlignment="1">
      <alignment vertical="center" wrapText="1"/>
    </xf>
    <xf numFmtId="0" fontId="51" fillId="10" borderId="62" xfId="1" applyFont="1" applyFill="1" applyBorder="1" applyAlignment="1">
      <alignment horizontal="center" vertical="center" wrapText="1"/>
    </xf>
    <xf numFmtId="0" fontId="1" fillId="0" borderId="56" xfId="1" applyBorder="1" applyAlignment="1">
      <alignment horizontal="center" vertical="center"/>
    </xf>
    <xf numFmtId="0" fontId="51" fillId="0" borderId="50" xfId="1" applyFont="1" applyBorder="1" applyAlignment="1">
      <alignment horizontal="left" vertical="center" wrapText="1"/>
    </xf>
    <xf numFmtId="0" fontId="58" fillId="0" borderId="0" xfId="0" applyFont="1" applyAlignment="1">
      <alignment wrapText="1"/>
    </xf>
    <xf numFmtId="0" fontId="58" fillId="0" borderId="1" xfId="0" applyFont="1" applyBorder="1" applyAlignment="1">
      <alignment horizontal="center" vertical="center" wrapText="1"/>
    </xf>
    <xf numFmtId="167" fontId="58" fillId="0" borderId="0" xfId="0" applyNumberFormat="1" applyFont="1" applyAlignment="1">
      <alignment wrapText="1"/>
    </xf>
    <xf numFmtId="4" fontId="59" fillId="0" borderId="0" xfId="0" applyNumberFormat="1" applyFont="1" applyAlignment="1">
      <alignment wrapText="1"/>
    </xf>
    <xf numFmtId="0" fontId="58" fillId="0" borderId="0" xfId="0" applyFont="1" applyAlignment="1">
      <alignment horizontal="center" wrapText="1"/>
    </xf>
    <xf numFmtId="0" fontId="60" fillId="0" borderId="0" xfId="1" applyFont="1"/>
    <xf numFmtId="0" fontId="60" fillId="0" borderId="0" xfId="1" applyFont="1" applyAlignment="1">
      <alignment vertical="center"/>
    </xf>
    <xf numFmtId="2" fontId="60" fillId="0" borderId="54" xfId="1" applyNumberFormat="1" applyFont="1" applyBorder="1" applyAlignment="1">
      <alignment horizontal="center" vertical="center" wrapText="1"/>
    </xf>
    <xf numFmtId="2" fontId="60" fillId="0" borderId="55" xfId="1" applyNumberFormat="1" applyFont="1" applyBorder="1" applyAlignment="1">
      <alignment horizontal="center" vertical="center" wrapText="1"/>
    </xf>
    <xf numFmtId="2" fontId="60" fillId="0" borderId="57" xfId="1" applyNumberFormat="1" applyFont="1" applyBorder="1" applyAlignment="1">
      <alignment horizontal="center" vertical="center" wrapText="1"/>
    </xf>
    <xf numFmtId="0" fontId="61" fillId="0" borderId="0" xfId="1" applyFont="1" applyAlignment="1">
      <alignment horizontal="center"/>
    </xf>
    <xf numFmtId="0" fontId="60" fillId="0" borderId="0" xfId="1" applyFont="1" applyAlignment="1"/>
    <xf numFmtId="0" fontId="60" fillId="0" borderId="55" xfId="1" applyFont="1" applyBorder="1" applyAlignment="1">
      <alignment horizontal="center" vertical="center"/>
    </xf>
    <xf numFmtId="0" fontId="60" fillId="0" borderId="0" xfId="1" applyFont="1" applyBorder="1" applyAlignment="1">
      <alignment vertical="center"/>
    </xf>
    <xf numFmtId="0" fontId="60" fillId="0" borderId="0" xfId="1" applyFont="1" applyFill="1" applyBorder="1" applyAlignment="1">
      <alignment vertical="center"/>
    </xf>
    <xf numFmtId="0" fontId="43" fillId="0" borderId="0" xfId="0" applyFont="1" applyBorder="1" applyAlignment="1">
      <alignment horizontal="center" vertical="center" wrapText="1"/>
    </xf>
    <xf numFmtId="0" fontId="56" fillId="0" borderId="0" xfId="0" applyFont="1" applyBorder="1" applyAlignment="1">
      <alignment horizontal="center" vertical="center" wrapText="1"/>
    </xf>
    <xf numFmtId="17" fontId="43" fillId="0" borderId="0" xfId="0" applyNumberFormat="1" applyFont="1" applyBorder="1" applyAlignment="1">
      <alignment horizontal="center" vertical="center" wrapText="1"/>
    </xf>
    <xf numFmtId="9" fontId="0" fillId="0" borderId="0" xfId="9" applyFont="1" applyBorder="1" applyAlignment="1">
      <alignment horizontal="center" vertical="center" wrapText="1"/>
    </xf>
    <xf numFmtId="9" fontId="0" fillId="0" borderId="0" xfId="0" applyNumberFormat="1" applyBorder="1" applyAlignment="1">
      <alignment horizontal="center" vertical="center" wrapText="1"/>
    </xf>
    <xf numFmtId="0" fontId="65" fillId="0" borderId="0" xfId="0" applyFont="1" applyAlignment="1">
      <alignment horizontal="left" vertical="center"/>
    </xf>
    <xf numFmtId="0" fontId="66" fillId="0" borderId="0" xfId="0" applyFont="1" applyAlignment="1">
      <alignment horizontal="left" vertical="center"/>
    </xf>
    <xf numFmtId="0" fontId="68" fillId="0" borderId="0" xfId="0" applyFont="1" applyAlignment="1">
      <alignment horizontal="left" vertical="center"/>
    </xf>
    <xf numFmtId="17" fontId="56" fillId="0" borderId="0" xfId="0" applyNumberFormat="1" applyFont="1" applyBorder="1" applyAlignment="1">
      <alignment horizontal="center" vertical="center" wrapText="1"/>
    </xf>
    <xf numFmtId="9" fontId="62" fillId="0" borderId="0" xfId="9" applyFont="1" applyBorder="1" applyAlignment="1">
      <alignment horizontal="center" vertical="center" wrapText="1"/>
    </xf>
    <xf numFmtId="0" fontId="28" fillId="8" borderId="9" xfId="1" applyFont="1" applyFill="1" applyBorder="1" applyAlignment="1">
      <alignment horizontal="center" vertical="center" wrapText="1"/>
    </xf>
    <xf numFmtId="1" fontId="25" fillId="0" borderId="6" xfId="3" applyNumberFormat="1" applyFont="1" applyFill="1" applyBorder="1" applyAlignment="1">
      <alignment horizontal="center" vertical="center"/>
    </xf>
    <xf numFmtId="0" fontId="70" fillId="20" borderId="39" xfId="0" applyFont="1" applyFill="1" applyBorder="1" applyAlignment="1">
      <alignment horizontal="center" vertical="center" wrapText="1"/>
    </xf>
    <xf numFmtId="0" fontId="71" fillId="0" borderId="39" xfId="0" applyFont="1" applyBorder="1" applyAlignment="1">
      <alignment horizontal="center" vertical="center" wrapText="1"/>
    </xf>
    <xf numFmtId="1" fontId="0" fillId="0" borderId="2" xfId="0" applyNumberFormat="1" applyBorder="1" applyAlignment="1">
      <alignment horizontal="center"/>
    </xf>
    <xf numFmtId="0" fontId="0" fillId="0" borderId="1" xfId="0" applyBorder="1"/>
    <xf numFmtId="0" fontId="0" fillId="0" borderId="1" xfId="0" applyFill="1" applyBorder="1" applyAlignment="1">
      <alignment horizontal="center"/>
    </xf>
    <xf numFmtId="1" fontId="0" fillId="0" borderId="1" xfId="0" applyNumberFormat="1" applyFill="1" applyBorder="1" applyAlignment="1">
      <alignment horizontal="center"/>
    </xf>
    <xf numFmtId="0" fontId="63" fillId="18" borderId="1" xfId="0" applyFont="1" applyFill="1" applyBorder="1" applyAlignment="1">
      <alignment horizontal="center"/>
    </xf>
    <xf numFmtId="0" fontId="24" fillId="9" borderId="16" xfId="1" applyFont="1" applyFill="1" applyBorder="1" applyAlignment="1">
      <alignment horizontal="center" vertical="center"/>
    </xf>
    <xf numFmtId="166" fontId="28" fillId="9" borderId="13" xfId="5" applyFont="1" applyFill="1" applyBorder="1" applyAlignment="1" applyProtection="1">
      <alignment horizontal="center" vertical="center" wrapText="1"/>
    </xf>
    <xf numFmtId="9" fontId="25" fillId="0" borderId="6" xfId="9" applyFont="1" applyFill="1" applyBorder="1" applyAlignment="1">
      <alignment horizontal="center" vertical="center"/>
    </xf>
    <xf numFmtId="0" fontId="1" fillId="0" borderId="0" xfId="0" applyFont="1" applyFill="1" applyBorder="1" applyAlignment="1">
      <alignment vertical="top"/>
    </xf>
    <xf numFmtId="44" fontId="6" fillId="0" borderId="0" xfId="1" applyNumberFormat="1" applyFont="1" applyBorder="1" applyAlignment="1">
      <alignment horizontal="center" vertical="center" wrapText="1"/>
    </xf>
    <xf numFmtId="0" fontId="52" fillId="0" borderId="0" xfId="12" applyFont="1"/>
    <xf numFmtId="0" fontId="51" fillId="0" borderId="1" xfId="12" applyFont="1" applyBorder="1" applyAlignment="1">
      <alignment horizontal="center"/>
    </xf>
    <xf numFmtId="0" fontId="52" fillId="0" borderId="0" xfId="12" applyFont="1" applyAlignment="1">
      <alignment vertical="center"/>
    </xf>
    <xf numFmtId="3" fontId="52" fillId="0" borderId="1" xfId="12" applyNumberFormat="1" applyFont="1" applyBorder="1" applyAlignment="1">
      <alignment horizontal="center" vertical="center" wrapText="1"/>
    </xf>
    <xf numFmtId="0" fontId="52" fillId="0" borderId="0" xfId="12" applyFont="1" applyAlignment="1">
      <alignment horizontal="center" vertical="center"/>
    </xf>
    <xf numFmtId="164" fontId="52" fillId="0" borderId="0" xfId="13" applyFont="1"/>
    <xf numFmtId="0" fontId="52" fillId="0" borderId="44" xfId="12" applyFont="1" applyBorder="1" applyAlignment="1">
      <alignment horizontal="center"/>
    </xf>
    <xf numFmtId="0" fontId="52" fillId="0" borderId="0" xfId="12" applyFont="1" applyBorder="1" applyAlignment="1"/>
    <xf numFmtId="0" fontId="52" fillId="0" borderId="67" xfId="12" applyFont="1" applyBorder="1" applyAlignment="1"/>
    <xf numFmtId="0" fontId="52" fillId="0" borderId="0" xfId="12" applyFont="1" applyBorder="1"/>
    <xf numFmtId="0" fontId="52" fillId="0" borderId="67" xfId="12" applyFont="1" applyBorder="1"/>
    <xf numFmtId="2" fontId="51" fillId="0" borderId="34" xfId="12" applyNumberFormat="1" applyFont="1" applyBorder="1" applyAlignment="1">
      <alignment horizontal="center" vertical="center"/>
    </xf>
    <xf numFmtId="3" fontId="52" fillId="0" borderId="24" xfId="12" applyNumberFormat="1" applyFont="1" applyBorder="1" applyAlignment="1">
      <alignment horizontal="center" vertical="center" wrapText="1"/>
    </xf>
    <xf numFmtId="0" fontId="51" fillId="0" borderId="34" xfId="12" applyNumberFormat="1" applyFont="1" applyBorder="1" applyAlignment="1">
      <alignment vertical="center" wrapText="1"/>
    </xf>
    <xf numFmtId="0" fontId="51" fillId="0" borderId="0" xfId="12" applyFont="1" applyBorder="1" applyAlignment="1">
      <alignment horizontal="center"/>
    </xf>
    <xf numFmtId="0" fontId="51" fillId="0" borderId="0" xfId="12" applyFont="1" applyBorder="1" applyAlignment="1">
      <alignment horizontal="center" vertical="center"/>
    </xf>
    <xf numFmtId="0" fontId="51" fillId="2" borderId="34" xfId="12" applyNumberFormat="1" applyFont="1" applyFill="1" applyBorder="1" applyAlignment="1">
      <alignment vertical="center" wrapText="1"/>
    </xf>
    <xf numFmtId="0" fontId="51" fillId="2" borderId="1" xfId="12" applyNumberFormat="1" applyFont="1" applyFill="1" applyBorder="1" applyAlignment="1">
      <alignment horizontal="center" vertical="center" wrapText="1"/>
    </xf>
    <xf numFmtId="3" fontId="52" fillId="2" borderId="1" xfId="12" applyNumberFormat="1" applyFont="1" applyFill="1" applyBorder="1" applyAlignment="1">
      <alignment horizontal="center" vertical="center" wrapText="1"/>
    </xf>
    <xf numFmtId="3" fontId="52" fillId="2" borderId="24" xfId="12" applyNumberFormat="1" applyFont="1" applyFill="1" applyBorder="1" applyAlignment="1">
      <alignment horizontal="center" vertical="center" wrapText="1"/>
    </xf>
    <xf numFmtId="2" fontId="51" fillId="2" borderId="34" xfId="12" applyNumberFormat="1" applyFont="1" applyFill="1" applyBorder="1" applyAlignment="1">
      <alignment horizontal="center" vertical="center"/>
    </xf>
    <xf numFmtId="0" fontId="51" fillId="2" borderId="35" xfId="12" applyFont="1" applyFill="1" applyBorder="1" applyAlignment="1">
      <alignment horizontal="left" vertical="center" wrapText="1"/>
    </xf>
    <xf numFmtId="0" fontId="51" fillId="2" borderId="27" xfId="12" applyFont="1" applyFill="1" applyBorder="1" applyAlignment="1">
      <alignment horizontal="center" vertical="center" wrapText="1"/>
    </xf>
    <xf numFmtId="3" fontId="52" fillId="2" borderId="27" xfId="12" applyNumberFormat="1" applyFont="1" applyFill="1" applyBorder="1" applyAlignment="1">
      <alignment horizontal="center" vertical="center" wrapText="1"/>
    </xf>
    <xf numFmtId="0" fontId="52" fillId="2" borderId="27" xfId="12" applyFont="1" applyFill="1" applyBorder="1" applyAlignment="1">
      <alignment horizontal="center" vertical="center"/>
    </xf>
    <xf numFmtId="0" fontId="52" fillId="2" borderId="29" xfId="12" applyFont="1" applyFill="1" applyBorder="1" applyAlignment="1">
      <alignment horizontal="center" vertical="center"/>
    </xf>
    <xf numFmtId="2" fontId="51" fillId="2" borderId="35" xfId="12" applyNumberFormat="1" applyFont="1" applyFill="1" applyBorder="1" applyAlignment="1">
      <alignment horizontal="center" vertical="center"/>
    </xf>
    <xf numFmtId="3" fontId="52" fillId="2" borderId="29" xfId="12" applyNumberFormat="1" applyFont="1" applyFill="1" applyBorder="1" applyAlignment="1">
      <alignment horizontal="center" vertical="center" wrapText="1"/>
    </xf>
    <xf numFmtId="3" fontId="72" fillId="0" borderId="1" xfId="12" applyNumberFormat="1" applyFont="1" applyBorder="1" applyAlignment="1">
      <alignment horizontal="center"/>
    </xf>
    <xf numFmtId="3" fontId="73" fillId="0" borderId="1" xfId="12" applyNumberFormat="1" applyFont="1" applyBorder="1" applyAlignment="1">
      <alignment horizontal="center"/>
    </xf>
    <xf numFmtId="3" fontId="51" fillId="0" borderId="1" xfId="12" applyNumberFormat="1" applyFont="1" applyBorder="1" applyAlignment="1">
      <alignment horizontal="center"/>
    </xf>
    <xf numFmtId="9" fontId="51" fillId="0" borderId="1" xfId="9" applyFont="1" applyBorder="1" applyAlignment="1">
      <alignment horizontal="center"/>
    </xf>
    <xf numFmtId="0" fontId="51" fillId="0" borderId="31" xfId="12" applyNumberFormat="1" applyFont="1" applyBorder="1" applyAlignment="1">
      <alignment vertical="center" wrapText="1"/>
    </xf>
    <xf numFmtId="0" fontId="51" fillId="0" borderId="2" xfId="12" applyNumberFormat="1" applyFont="1" applyBorder="1" applyAlignment="1">
      <alignment horizontal="center" vertical="center" wrapText="1"/>
    </xf>
    <xf numFmtId="3" fontId="52" fillId="0" borderId="2" xfId="12" applyNumberFormat="1" applyFont="1" applyBorder="1" applyAlignment="1">
      <alignment horizontal="center" vertical="center" wrapText="1"/>
    </xf>
    <xf numFmtId="3" fontId="52" fillId="0" borderId="32" xfId="12" applyNumberFormat="1" applyFont="1" applyBorder="1" applyAlignment="1">
      <alignment horizontal="center" vertical="center" wrapText="1"/>
    </xf>
    <xf numFmtId="2" fontId="51" fillId="0" borderId="31" xfId="12" applyNumberFormat="1" applyFont="1" applyBorder="1" applyAlignment="1">
      <alignment horizontal="center" vertical="center"/>
    </xf>
    <xf numFmtId="3" fontId="51" fillId="0" borderId="2" xfId="12" applyNumberFormat="1" applyFont="1" applyBorder="1" applyAlignment="1">
      <alignment horizontal="center" vertical="center" wrapText="1"/>
    </xf>
    <xf numFmtId="0" fontId="51" fillId="10" borderId="27" xfId="12" applyFont="1" applyFill="1" applyBorder="1" applyAlignment="1">
      <alignment horizontal="center" vertical="center" wrapText="1"/>
    </xf>
    <xf numFmtId="0" fontId="51" fillId="10" borderId="29" xfId="12" applyFont="1" applyFill="1" applyBorder="1" applyAlignment="1">
      <alignment horizontal="center" vertical="center" wrapText="1"/>
    </xf>
    <xf numFmtId="0" fontId="52" fillId="0" borderId="47" xfId="12" applyFont="1" applyBorder="1" applyAlignment="1">
      <alignment horizontal="center" vertical="center" wrapText="1"/>
    </xf>
    <xf numFmtId="0" fontId="52" fillId="0" borderId="47" xfId="12" applyFont="1" applyFill="1" applyBorder="1" applyAlignment="1">
      <alignment horizontal="center" vertical="center" wrapText="1"/>
    </xf>
    <xf numFmtId="0" fontId="52" fillId="0" borderId="50" xfId="12" applyFont="1" applyBorder="1" applyAlignment="1">
      <alignment horizontal="center" vertical="center"/>
    </xf>
    <xf numFmtId="4" fontId="1" fillId="0" borderId="0" xfId="14" applyNumberFormat="1" applyFont="1" applyFill="1" applyBorder="1" applyAlignment="1">
      <alignment horizontal="center" vertical="center" wrapText="1"/>
    </xf>
    <xf numFmtId="0" fontId="0" fillId="0" borderId="0" xfId="0" applyBorder="1"/>
    <xf numFmtId="4" fontId="57" fillId="0" borderId="0" xfId="0" applyNumberFormat="1" applyFont="1" applyFill="1" applyBorder="1" applyAlignment="1">
      <alignment horizontal="center" vertical="center" wrapText="1"/>
    </xf>
    <xf numFmtId="0" fontId="58" fillId="0" borderId="44" xfId="0" applyFont="1" applyBorder="1" applyAlignment="1">
      <alignment horizontal="center" vertical="center" wrapText="1"/>
    </xf>
    <xf numFmtId="0" fontId="58" fillId="0" borderId="51" xfId="0" applyFont="1" applyBorder="1" applyAlignment="1">
      <alignment horizontal="center" vertical="center" wrapText="1"/>
    </xf>
    <xf numFmtId="3" fontId="58" fillId="0" borderId="45" xfId="0" applyNumberFormat="1" applyFont="1" applyBorder="1" applyAlignment="1">
      <alignment horizontal="center" vertical="center" wrapText="1"/>
    </xf>
    <xf numFmtId="3" fontId="58" fillId="0" borderId="44" xfId="0" applyNumberFormat="1" applyFont="1" applyBorder="1" applyAlignment="1">
      <alignment horizontal="center" vertical="center" wrapText="1"/>
    </xf>
    <xf numFmtId="0" fontId="58" fillId="0" borderId="61" xfId="0" applyFont="1" applyBorder="1" applyAlignment="1">
      <alignment horizontal="center" vertical="center" wrapText="1"/>
    </xf>
    <xf numFmtId="3" fontId="58" fillId="0" borderId="61" xfId="0" applyNumberFormat="1" applyFont="1" applyBorder="1" applyAlignment="1">
      <alignment horizontal="center" vertical="center" wrapText="1"/>
    </xf>
    <xf numFmtId="3" fontId="58" fillId="0" borderId="58" xfId="0" applyNumberFormat="1" applyFont="1" applyBorder="1" applyAlignment="1">
      <alignment horizontal="center" vertical="center" wrapText="1"/>
    </xf>
    <xf numFmtId="3" fontId="58" fillId="0" borderId="51" xfId="0" applyNumberFormat="1" applyFont="1" applyBorder="1" applyAlignment="1">
      <alignment horizontal="center" vertical="center" wrapText="1"/>
    </xf>
    <xf numFmtId="3" fontId="58" fillId="0" borderId="73" xfId="0" applyNumberFormat="1" applyFont="1" applyBorder="1" applyAlignment="1">
      <alignment horizontal="center" vertical="center" wrapText="1"/>
    </xf>
    <xf numFmtId="0" fontId="74" fillId="17" borderId="44" xfId="0" applyFont="1" applyFill="1" applyBorder="1" applyAlignment="1">
      <alignment horizontal="center" vertical="center" wrapText="1"/>
    </xf>
    <xf numFmtId="0" fontId="74" fillId="17" borderId="45" xfId="0" applyFont="1" applyFill="1" applyBorder="1" applyAlignment="1">
      <alignment horizontal="center" vertical="center" wrapText="1"/>
    </xf>
    <xf numFmtId="2" fontId="58" fillId="0" borderId="0" xfId="0" applyNumberFormat="1" applyFont="1" applyAlignment="1">
      <alignment wrapText="1"/>
    </xf>
    <xf numFmtId="172" fontId="76" fillId="0" borderId="62" xfId="0" applyNumberFormat="1" applyFont="1" applyBorder="1" applyAlignment="1">
      <alignment horizontal="center" vertical="center" wrapText="1"/>
    </xf>
    <xf numFmtId="0" fontId="77" fillId="0" borderId="41" xfId="0" applyFont="1" applyBorder="1" applyAlignment="1">
      <alignment horizontal="center" vertical="center" wrapText="1"/>
    </xf>
    <xf numFmtId="3" fontId="77" fillId="0" borderId="41" xfId="0" applyNumberFormat="1" applyFont="1" applyBorder="1" applyAlignment="1">
      <alignment horizontal="center" vertical="center" wrapText="1"/>
    </xf>
    <xf numFmtId="3" fontId="77" fillId="0" borderId="42" xfId="0" applyNumberFormat="1" applyFont="1" applyBorder="1" applyAlignment="1">
      <alignment horizontal="center" vertical="center" wrapText="1"/>
    </xf>
    <xf numFmtId="0" fontId="75" fillId="0" borderId="51" xfId="0" applyFont="1" applyBorder="1" applyAlignment="1">
      <alignment horizontal="center" vertical="center" wrapText="1"/>
    </xf>
    <xf numFmtId="9" fontId="75" fillId="0" borderId="51" xfId="9" applyFont="1" applyBorder="1" applyAlignment="1">
      <alignment horizontal="center" vertical="center" wrapText="1"/>
    </xf>
    <xf numFmtId="9" fontId="75" fillId="0" borderId="73" xfId="9" applyFont="1" applyBorder="1" applyAlignment="1">
      <alignment horizontal="center" vertical="center" wrapText="1"/>
    </xf>
    <xf numFmtId="4" fontId="48" fillId="17" borderId="1" xfId="0" applyNumberFormat="1" applyFont="1" applyFill="1" applyBorder="1" applyAlignment="1">
      <alignment horizontal="center" vertical="center" wrapText="1"/>
    </xf>
    <xf numFmtId="0" fontId="0" fillId="0" borderId="0" xfId="0" applyFont="1" applyAlignment="1">
      <alignment wrapText="1"/>
    </xf>
    <xf numFmtId="0" fontId="78" fillId="0" borderId="0" xfId="0" applyFont="1"/>
    <xf numFmtId="0" fontId="78" fillId="0" borderId="0" xfId="0" applyFont="1" applyAlignment="1">
      <alignment horizontal="center" vertical="center"/>
    </xf>
    <xf numFmtId="0" fontId="79" fillId="17" borderId="0" xfId="22" applyFont="1" applyFill="1" applyAlignment="1">
      <alignment horizontal="center" vertical="center" wrapText="1"/>
    </xf>
    <xf numFmtId="0" fontId="80" fillId="0" borderId="75" xfId="22" applyFont="1" applyBorder="1" applyAlignment="1">
      <alignment horizontal="center" vertical="center" wrapText="1"/>
    </xf>
    <xf numFmtId="0" fontId="78" fillId="0" borderId="75" xfId="0" applyFont="1" applyBorder="1" applyAlignment="1">
      <alignment horizontal="center"/>
    </xf>
    <xf numFmtId="0" fontId="78" fillId="0" borderId="75" xfId="0" applyFont="1" applyBorder="1" applyAlignment="1">
      <alignment horizontal="center" vertical="center" wrapText="1"/>
    </xf>
    <xf numFmtId="0" fontId="80" fillId="0" borderId="76" xfId="22" applyFont="1" applyBorder="1" applyAlignment="1">
      <alignment horizontal="center" vertical="center" wrapText="1"/>
    </xf>
    <xf numFmtId="0" fontId="78" fillId="0" borderId="76" xfId="0" applyFont="1" applyBorder="1" applyAlignment="1">
      <alignment horizontal="center"/>
    </xf>
    <xf numFmtId="0" fontId="78" fillId="0" borderId="76" xfId="0" applyFont="1" applyBorder="1" applyAlignment="1">
      <alignment horizontal="center" vertical="center" wrapText="1"/>
    </xf>
    <xf numFmtId="0" fontId="78" fillId="0" borderId="76" xfId="0" applyFont="1" applyBorder="1" applyAlignment="1">
      <alignment horizontal="center" vertical="center"/>
    </xf>
    <xf numFmtId="0" fontId="0" fillId="0" borderId="76" xfId="0" applyBorder="1"/>
    <xf numFmtId="0" fontId="78" fillId="0" borderId="75" xfId="0" applyFont="1" applyBorder="1" applyAlignment="1">
      <alignment horizontal="center" vertical="center"/>
    </xf>
    <xf numFmtId="0" fontId="0" fillId="0" borderId="75" xfId="0" applyBorder="1"/>
    <xf numFmtId="0" fontId="80" fillId="0" borderId="0" xfId="22" applyFont="1" applyAlignment="1">
      <alignment horizontal="center" vertical="center" wrapText="1"/>
    </xf>
    <xf numFmtId="0" fontId="80" fillId="0" borderId="0" xfId="22" applyFont="1" applyAlignment="1">
      <alignment vertical="center" wrapText="1"/>
    </xf>
    <xf numFmtId="0" fontId="80" fillId="0" borderId="75" xfId="22" applyFont="1" applyBorder="1" applyAlignment="1">
      <alignment vertical="center" wrapText="1"/>
    </xf>
    <xf numFmtId="0" fontId="80" fillId="0" borderId="77" xfId="22" applyFont="1" applyBorder="1" applyAlignment="1">
      <alignment horizontal="center" vertical="center" wrapText="1"/>
    </xf>
    <xf numFmtId="0" fontId="78" fillId="0" borderId="0" xfId="0" applyFont="1" applyAlignment="1">
      <alignment horizontal="center"/>
    </xf>
    <xf numFmtId="0" fontId="81" fillId="0" borderId="0" xfId="0" applyFont="1"/>
    <xf numFmtId="0" fontId="80" fillId="0" borderId="1" xfId="22" applyFont="1" applyBorder="1" applyAlignment="1">
      <alignment horizontal="center" vertical="center" wrapText="1"/>
    </xf>
    <xf numFmtId="0" fontId="78" fillId="0" borderId="1" xfId="0" applyFont="1" applyBorder="1" applyAlignment="1">
      <alignment horizontal="center" vertical="center"/>
    </xf>
    <xf numFmtId="3" fontId="78" fillId="0" borderId="1" xfId="0" applyNumberFormat="1" applyFont="1" applyBorder="1" applyAlignment="1">
      <alignment horizontal="center" vertical="center"/>
    </xf>
    <xf numFmtId="0" fontId="78" fillId="0" borderId="1" xfId="0" applyFont="1" applyBorder="1" applyAlignment="1">
      <alignment horizontal="center"/>
    </xf>
    <xf numFmtId="0" fontId="78" fillId="0" borderId="1" xfId="0" applyFont="1" applyBorder="1"/>
    <xf numFmtId="9" fontId="78" fillId="0" borderId="0" xfId="9" applyFont="1"/>
    <xf numFmtId="0" fontId="78" fillId="7" borderId="1" xfId="0" applyFont="1" applyFill="1" applyBorder="1" applyAlignment="1">
      <alignment horizontal="center" vertical="center"/>
    </xf>
    <xf numFmtId="0" fontId="78" fillId="7" borderId="76" xfId="0" applyFont="1" applyFill="1" applyBorder="1" applyAlignment="1">
      <alignment horizontal="center" vertical="center"/>
    </xf>
    <xf numFmtId="0" fontId="0" fillId="0" borderId="0" xfId="0" applyAlignment="1">
      <alignment horizontal="center" vertical="center" wrapText="1"/>
    </xf>
    <xf numFmtId="9" fontId="0" fillId="0" borderId="0" xfId="9" applyFont="1" applyAlignment="1">
      <alignment horizontal="center" vertical="center" wrapText="1"/>
    </xf>
    <xf numFmtId="0" fontId="58" fillId="0" borderId="0" xfId="0" applyFont="1" applyAlignment="1">
      <alignment horizontal="center" vertical="center" wrapText="1"/>
    </xf>
    <xf numFmtId="167" fontId="58" fillId="0" borderId="0" xfId="9" applyNumberFormat="1" applyFont="1" applyAlignment="1">
      <alignment horizontal="center" wrapText="1"/>
    </xf>
    <xf numFmtId="0" fontId="0" fillId="0" borderId="36" xfId="0" applyBorder="1" applyAlignment="1">
      <alignment horizontal="center" vertical="center" wrapText="1"/>
    </xf>
    <xf numFmtId="0" fontId="0" fillId="0" borderId="3" xfId="0" applyBorder="1" applyAlignment="1">
      <alignment horizontal="center" vertical="center" wrapText="1"/>
    </xf>
    <xf numFmtId="0" fontId="0" fillId="0" borderId="48" xfId="0" applyBorder="1" applyAlignment="1">
      <alignment horizontal="center" vertical="center" wrapText="1"/>
    </xf>
    <xf numFmtId="0" fontId="0" fillId="0" borderId="39" xfId="0" applyBorder="1" applyAlignment="1">
      <alignment horizontal="center" vertical="center" wrapText="1"/>
    </xf>
    <xf numFmtId="10" fontId="58" fillId="0" borderId="1" xfId="9" applyNumberFormat="1" applyFont="1" applyFill="1" applyBorder="1" applyAlignment="1">
      <alignment horizontal="center" vertical="center" wrapText="1"/>
    </xf>
    <xf numFmtId="4" fontId="48" fillId="17" borderId="17" xfId="0" applyNumberFormat="1" applyFont="1" applyFill="1" applyBorder="1" applyAlignment="1">
      <alignment horizontal="center" vertical="center" wrapText="1"/>
    </xf>
    <xf numFmtId="4" fontId="48" fillId="0" borderId="0" xfId="0" applyNumberFormat="1" applyFont="1" applyFill="1" applyBorder="1" applyAlignment="1">
      <alignment horizontal="center" vertical="center" wrapText="1"/>
    </xf>
    <xf numFmtId="0" fontId="0" fillId="0" borderId="5" xfId="0" applyFill="1" applyBorder="1" applyAlignment="1">
      <alignment horizontal="center" vertical="center" wrapText="1"/>
    </xf>
    <xf numFmtId="0" fontId="0" fillId="0" borderId="18" xfId="0" applyFill="1" applyBorder="1" applyAlignment="1">
      <alignment horizontal="center" vertical="center" wrapText="1"/>
    </xf>
    <xf numFmtId="0" fontId="0" fillId="0" borderId="0" xfId="0" applyFill="1" applyBorder="1" applyAlignment="1">
      <alignment horizontal="center" vertical="center" wrapText="1"/>
    </xf>
    <xf numFmtId="9" fontId="0" fillId="0" borderId="0" xfId="9" applyFont="1" applyFill="1" applyBorder="1" applyAlignment="1">
      <alignment horizontal="center" vertical="center" wrapText="1"/>
    </xf>
    <xf numFmtId="9" fontId="0" fillId="0" borderId="0" xfId="0" applyNumberFormat="1" applyFill="1" applyBorder="1" applyAlignment="1">
      <alignment horizontal="center" vertical="center" wrapText="1"/>
    </xf>
    <xf numFmtId="167" fontId="0" fillId="0" borderId="0" xfId="9" applyNumberFormat="1" applyFont="1" applyFill="1" applyBorder="1" applyAlignment="1">
      <alignment horizontal="center" vertical="center" wrapText="1"/>
    </xf>
    <xf numFmtId="0" fontId="0" fillId="22" borderId="5" xfId="0" applyFill="1" applyBorder="1" applyAlignment="1">
      <alignment horizontal="center" vertical="center" wrapText="1"/>
    </xf>
    <xf numFmtId="0" fontId="0" fillId="22" borderId="18" xfId="0" applyFill="1" applyBorder="1" applyAlignment="1">
      <alignment horizontal="center" vertical="center" wrapText="1"/>
    </xf>
    <xf numFmtId="0" fontId="0" fillId="22" borderId="0" xfId="0" applyFill="1" applyBorder="1" applyAlignment="1">
      <alignment horizontal="center" vertical="center" wrapText="1"/>
    </xf>
    <xf numFmtId="10" fontId="0" fillId="22" borderId="0" xfId="9" applyNumberFormat="1" applyFont="1" applyFill="1" applyBorder="1" applyAlignment="1">
      <alignment horizontal="center" vertical="center" wrapText="1"/>
    </xf>
    <xf numFmtId="0" fontId="0" fillId="22" borderId="36" xfId="0" applyFill="1" applyBorder="1" applyAlignment="1">
      <alignment horizontal="center" vertical="center" wrapText="1"/>
    </xf>
    <xf numFmtId="0" fontId="0" fillId="22" borderId="2" xfId="0" applyFill="1" applyBorder="1" applyAlignment="1">
      <alignment horizontal="center" vertical="center" wrapText="1"/>
    </xf>
    <xf numFmtId="0" fontId="0" fillId="22" borderId="4" xfId="0" applyFill="1" applyBorder="1" applyAlignment="1">
      <alignment horizontal="center" vertical="center" wrapText="1"/>
    </xf>
    <xf numFmtId="167" fontId="0" fillId="22" borderId="4" xfId="9" applyNumberFormat="1" applyFont="1" applyFill="1" applyBorder="1" applyAlignment="1">
      <alignment horizontal="center" vertical="center" wrapText="1"/>
    </xf>
    <xf numFmtId="9" fontId="52" fillId="0" borderId="0" xfId="12" applyNumberFormat="1" applyFont="1" applyAlignment="1">
      <alignment vertical="center"/>
    </xf>
    <xf numFmtId="3" fontId="0" fillId="0" borderId="4" xfId="0" applyNumberFormat="1" applyBorder="1" applyAlignment="1">
      <alignment horizontal="center" vertical="center" wrapText="1"/>
    </xf>
    <xf numFmtId="3" fontId="0" fillId="0" borderId="82" xfId="0" applyNumberFormat="1" applyBorder="1" applyAlignment="1">
      <alignment horizontal="center" vertical="center" wrapText="1"/>
    </xf>
    <xf numFmtId="3" fontId="0" fillId="0" borderId="0" xfId="0" applyNumberFormat="1" applyAlignment="1">
      <alignment horizontal="center"/>
    </xf>
    <xf numFmtId="3" fontId="62" fillId="0" borderId="1" xfId="0" applyNumberFormat="1" applyFont="1" applyBorder="1" applyAlignment="1">
      <alignment horizontal="center"/>
    </xf>
    <xf numFmtId="10" fontId="58" fillId="0" borderId="0" xfId="9" applyNumberFormat="1" applyFont="1" applyAlignment="1">
      <alignment horizontal="center" wrapText="1"/>
    </xf>
    <xf numFmtId="0" fontId="62" fillId="22" borderId="5" xfId="0" applyFont="1" applyFill="1" applyBorder="1" applyAlignment="1">
      <alignment horizontal="center" vertical="center" wrapText="1"/>
    </xf>
    <xf numFmtId="0" fontId="62" fillId="22" borderId="18" xfId="0" applyFont="1" applyFill="1" applyBorder="1" applyAlignment="1">
      <alignment horizontal="center" vertical="center" wrapText="1"/>
    </xf>
    <xf numFmtId="0" fontId="62" fillId="22" borderId="0" xfId="0" applyFont="1" applyFill="1" applyBorder="1" applyAlignment="1">
      <alignment horizontal="center" vertical="center" wrapText="1"/>
    </xf>
    <xf numFmtId="9" fontId="62" fillId="22" borderId="0" xfId="9" applyFont="1" applyFill="1" applyBorder="1" applyAlignment="1">
      <alignment horizontal="center" vertical="center" wrapText="1"/>
    </xf>
    <xf numFmtId="0" fontId="0" fillId="7" borderId="0" xfId="0" applyFill="1" applyAlignment="1">
      <alignment horizontal="center" vertical="center" wrapText="1"/>
    </xf>
    <xf numFmtId="0" fontId="83" fillId="0" borderId="0" xfId="0" applyFont="1" applyAlignment="1">
      <alignment wrapText="1"/>
    </xf>
    <xf numFmtId="2" fontId="83" fillId="0" borderId="0" xfId="0" applyNumberFormat="1" applyFont="1" applyAlignment="1">
      <alignment wrapText="1"/>
    </xf>
    <xf numFmtId="0" fontId="61" fillId="0" borderId="0" xfId="1" applyFont="1" applyFill="1" applyBorder="1" applyAlignment="1">
      <alignment horizontal="center"/>
    </xf>
    <xf numFmtId="0" fontId="57" fillId="16" borderId="1" xfId="0" applyFont="1" applyFill="1" applyBorder="1" applyAlignment="1">
      <alignment horizontal="center" vertical="center" wrapText="1"/>
    </xf>
    <xf numFmtId="167" fontId="57" fillId="16" borderId="1" xfId="0" applyNumberFormat="1" applyFont="1" applyFill="1" applyBorder="1" applyAlignment="1">
      <alignment horizontal="center" vertical="center" wrapText="1"/>
    </xf>
    <xf numFmtId="0" fontId="57" fillId="21" borderId="1" xfId="0" applyFont="1" applyFill="1" applyBorder="1" applyAlignment="1">
      <alignment horizontal="center" vertical="center" wrapText="1"/>
    </xf>
    <xf numFmtId="4" fontId="57" fillId="21" borderId="1" xfId="0" applyNumberFormat="1" applyFont="1" applyFill="1" applyBorder="1" applyAlignment="1">
      <alignment horizontal="center" vertical="center" wrapText="1"/>
    </xf>
    <xf numFmtId="0" fontId="57" fillId="15" borderId="1" xfId="0" applyFont="1" applyFill="1" applyBorder="1" applyAlignment="1">
      <alignment horizontal="center" vertical="center" wrapText="1"/>
    </xf>
    <xf numFmtId="4" fontId="57" fillId="15" borderId="1" xfId="0" applyNumberFormat="1" applyFont="1" applyFill="1" applyBorder="1" applyAlignment="1">
      <alignment horizontal="center" vertical="center" wrapText="1"/>
    </xf>
    <xf numFmtId="4" fontId="57" fillId="16" borderId="1" xfId="0" applyNumberFormat="1" applyFont="1" applyFill="1" applyBorder="1" applyAlignment="1">
      <alignment horizontal="center" vertical="center" wrapText="1"/>
    </xf>
    <xf numFmtId="4" fontId="57" fillId="17" borderId="1" xfId="0" applyNumberFormat="1" applyFont="1" applyFill="1" applyBorder="1" applyAlignment="1">
      <alignment horizontal="center" vertical="center" wrapText="1"/>
    </xf>
    <xf numFmtId="0" fontId="1" fillId="0" borderId="1" xfId="14" applyFont="1" applyFill="1" applyBorder="1" applyAlignment="1">
      <alignment horizontal="center" vertical="center" wrapText="1"/>
    </xf>
    <xf numFmtId="167" fontId="1" fillId="0" borderId="1" xfId="14" applyNumberFormat="1" applyFont="1" applyFill="1" applyBorder="1" applyAlignment="1">
      <alignment horizontal="center" vertical="center" wrapText="1"/>
    </xf>
    <xf numFmtId="3" fontId="1" fillId="0" borderId="1" xfId="14" applyNumberFormat="1" applyFont="1" applyFill="1" applyBorder="1" applyAlignment="1">
      <alignment horizontal="center" vertical="center" wrapText="1"/>
    </xf>
    <xf numFmtId="4" fontId="1" fillId="0" borderId="1" xfId="14" applyNumberFormat="1" applyFont="1" applyFill="1" applyBorder="1" applyAlignment="1">
      <alignment horizontal="center" vertical="center" wrapText="1"/>
    </xf>
    <xf numFmtId="3" fontId="1" fillId="0" borderId="1" xfId="14" applyNumberFormat="1" applyFont="1" applyFill="1" applyBorder="1" applyAlignment="1">
      <alignment horizontal="center" vertical="center"/>
    </xf>
    <xf numFmtId="172" fontId="84" fillId="0" borderId="1" xfId="0" applyNumberFormat="1" applyFont="1" applyBorder="1" applyAlignment="1">
      <alignment horizontal="center" vertical="center" wrapText="1"/>
    </xf>
    <xf numFmtId="0" fontId="83" fillId="17" borderId="1" xfId="0" applyFont="1" applyFill="1" applyBorder="1" applyAlignment="1">
      <alignment horizontal="center" vertical="center" wrapText="1"/>
    </xf>
    <xf numFmtId="0" fontId="83" fillId="0" borderId="1" xfId="0" applyFont="1" applyBorder="1" applyAlignment="1">
      <alignment horizontal="center" vertical="center" wrapText="1"/>
    </xf>
    <xf numFmtId="3" fontId="83" fillId="0" borderId="1" xfId="0" applyNumberFormat="1" applyFont="1" applyBorder="1" applyAlignment="1">
      <alignment horizontal="center" vertical="center" wrapText="1"/>
    </xf>
    <xf numFmtId="0" fontId="84" fillId="0" borderId="1" xfId="0" applyFont="1" applyBorder="1" applyAlignment="1">
      <alignment horizontal="center" vertical="center" wrapText="1"/>
    </xf>
    <xf numFmtId="9" fontId="84" fillId="0" borderId="1" xfId="9" applyFont="1" applyBorder="1" applyAlignment="1">
      <alignment horizontal="center" vertical="center" wrapText="1"/>
    </xf>
    <xf numFmtId="0" fontId="52" fillId="0" borderId="0" xfId="12" applyFont="1" applyBorder="1" applyAlignment="1">
      <alignment horizontal="center"/>
    </xf>
    <xf numFmtId="0" fontId="52" fillId="0" borderId="30" xfId="12" applyFont="1" applyBorder="1" applyAlignment="1">
      <alignment vertical="center"/>
    </xf>
    <xf numFmtId="0" fontId="52" fillId="0" borderId="35" xfId="12" applyFont="1" applyBorder="1" applyAlignment="1">
      <alignment vertical="center"/>
    </xf>
    <xf numFmtId="3" fontId="0" fillId="19" borderId="4" xfId="0" applyNumberFormat="1" applyFill="1" applyBorder="1" applyAlignment="1">
      <alignment horizontal="center" vertical="center" wrapText="1"/>
    </xf>
    <xf numFmtId="0" fontId="62" fillId="0" borderId="36" xfId="0" applyFont="1" applyBorder="1" applyAlignment="1">
      <alignment horizontal="center" vertical="center" wrapText="1"/>
    </xf>
    <xf numFmtId="3" fontId="62" fillId="0" borderId="4" xfId="0" applyNumberFormat="1" applyFont="1" applyBorder="1" applyAlignment="1">
      <alignment horizontal="center" vertical="center" wrapText="1"/>
    </xf>
    <xf numFmtId="3" fontId="62" fillId="19" borderId="4" xfId="0" applyNumberFormat="1" applyFont="1" applyFill="1" applyBorder="1" applyAlignment="1">
      <alignment horizontal="center" vertical="center" wrapText="1"/>
    </xf>
    <xf numFmtId="3" fontId="62" fillId="0" borderId="82" xfId="0" applyNumberFormat="1" applyFont="1" applyBorder="1" applyAlignment="1">
      <alignment horizontal="center" vertical="center" wrapText="1"/>
    </xf>
    <xf numFmtId="0" fontId="62" fillId="0" borderId="3" xfId="0" applyFont="1" applyBorder="1" applyAlignment="1">
      <alignment horizontal="center" vertical="center"/>
    </xf>
    <xf numFmtId="3" fontId="62" fillId="0" borderId="48" xfId="0" applyNumberFormat="1" applyFont="1" applyBorder="1" applyAlignment="1">
      <alignment horizontal="center" vertical="center"/>
    </xf>
    <xf numFmtId="3" fontId="62" fillId="19" borderId="48" xfId="0" applyNumberFormat="1" applyFont="1" applyFill="1" applyBorder="1" applyAlignment="1">
      <alignment horizontal="center" vertical="center"/>
    </xf>
    <xf numFmtId="0" fontId="52" fillId="0" borderId="4" xfId="1" applyFont="1" applyBorder="1" applyAlignment="1">
      <alignment horizontal="center" vertical="center" wrapText="1"/>
    </xf>
    <xf numFmtId="0" fontId="52" fillId="0" borderId="60" xfId="1" applyFont="1" applyBorder="1" applyAlignment="1">
      <alignment horizontal="center" vertical="center" wrapText="1"/>
    </xf>
    <xf numFmtId="3" fontId="52" fillId="0" borderId="4" xfId="1" applyNumberFormat="1" applyFont="1" applyBorder="1" applyAlignment="1">
      <alignment horizontal="center" vertical="center" wrapText="1"/>
    </xf>
    <xf numFmtId="3" fontId="52" fillId="0" borderId="60" xfId="1" applyNumberFormat="1" applyFont="1" applyBorder="1" applyAlignment="1">
      <alignment horizontal="center" vertical="center" wrapText="1"/>
    </xf>
    <xf numFmtId="0" fontId="52" fillId="0" borderId="48" xfId="1" applyFont="1" applyBorder="1" applyAlignment="1">
      <alignment horizontal="center" vertical="center" wrapText="1"/>
    </xf>
    <xf numFmtId="0" fontId="52" fillId="0" borderId="47" xfId="1" applyFont="1" applyBorder="1" applyAlignment="1">
      <alignment horizontal="center" vertical="center" wrapText="1"/>
    </xf>
    <xf numFmtId="3" fontId="52" fillId="0" borderId="48" xfId="1" applyNumberFormat="1" applyFont="1" applyBorder="1" applyAlignment="1">
      <alignment horizontal="center" vertical="center" wrapText="1"/>
    </xf>
    <xf numFmtId="3" fontId="52" fillId="0" borderId="47" xfId="1" applyNumberFormat="1" applyFont="1" applyBorder="1" applyAlignment="1">
      <alignment horizontal="center" vertical="center" wrapText="1"/>
    </xf>
    <xf numFmtId="0" fontId="52" fillId="0" borderId="63" xfId="1" applyFont="1" applyBorder="1" applyAlignment="1">
      <alignment horizontal="center" vertical="center" wrapText="1"/>
    </xf>
    <xf numFmtId="0" fontId="52" fillId="0" borderId="50" xfId="1" applyFont="1" applyBorder="1" applyAlignment="1">
      <alignment horizontal="center" vertical="center"/>
    </xf>
    <xf numFmtId="3" fontId="52" fillId="0" borderId="63" xfId="1" applyNumberFormat="1" applyFont="1" applyBorder="1" applyAlignment="1">
      <alignment horizontal="center" vertical="center" wrapText="1"/>
    </xf>
    <xf numFmtId="3" fontId="52" fillId="0" borderId="50" xfId="1" applyNumberFormat="1" applyFont="1" applyBorder="1" applyAlignment="1">
      <alignment horizontal="center" vertical="center"/>
    </xf>
    <xf numFmtId="164" fontId="1" fillId="0" borderId="0" xfId="13" applyFont="1" applyAlignment="1">
      <alignment vertical="center"/>
    </xf>
    <xf numFmtId="0" fontId="85" fillId="15" borderId="1" xfId="0" applyFont="1" applyFill="1" applyBorder="1" applyAlignment="1">
      <alignment horizontal="center" vertical="center" wrapText="1"/>
    </xf>
    <xf numFmtId="0" fontId="59" fillId="0" borderId="1" xfId="0" applyFont="1" applyBorder="1" applyAlignment="1">
      <alignment horizontal="center" vertical="center" wrapText="1"/>
    </xf>
    <xf numFmtId="0" fontId="87" fillId="0" borderId="1" xfId="0" applyFont="1" applyBorder="1" applyAlignment="1">
      <alignment horizontal="center" vertical="center" wrapText="1"/>
    </xf>
    <xf numFmtId="17" fontId="59" fillId="0" borderId="1" xfId="0" applyNumberFormat="1" applyFont="1" applyBorder="1" applyAlignment="1">
      <alignment horizontal="center" vertical="center" wrapText="1"/>
    </xf>
    <xf numFmtId="9" fontId="58" fillId="0" borderId="1" xfId="9" applyFont="1" applyBorder="1" applyAlignment="1">
      <alignment horizontal="center" vertical="center" wrapText="1"/>
    </xf>
    <xf numFmtId="9" fontId="58" fillId="0" borderId="1" xfId="9" applyNumberFormat="1" applyFont="1" applyBorder="1" applyAlignment="1">
      <alignment horizontal="center" vertical="center" wrapText="1"/>
    </xf>
    <xf numFmtId="0" fontId="88" fillId="0" borderId="1" xfId="11" applyFont="1" applyBorder="1" applyAlignment="1">
      <alignment horizontal="center" vertical="center" wrapText="1"/>
    </xf>
    <xf numFmtId="9" fontId="58" fillId="0" borderId="1" xfId="0" applyNumberFormat="1" applyFont="1" applyBorder="1" applyAlignment="1">
      <alignment horizontal="center" vertical="center" wrapText="1"/>
    </xf>
    <xf numFmtId="0" fontId="62" fillId="0" borderId="101" xfId="0" applyFont="1" applyBorder="1" applyAlignment="1">
      <alignment vertical="center"/>
    </xf>
    <xf numFmtId="4" fontId="89" fillId="23" borderId="101" xfId="20" applyNumberFormat="1" applyFont="1" applyFill="1" applyBorder="1" applyAlignment="1">
      <alignment horizontal="center" vertical="center" wrapText="1"/>
    </xf>
    <xf numFmtId="0" fontId="62" fillId="0" borderId="102" xfId="0" applyFont="1" applyBorder="1" applyAlignment="1">
      <alignment vertical="center"/>
    </xf>
    <xf numFmtId="4" fontId="62" fillId="24" borderId="102" xfId="0" applyNumberFormat="1" applyFont="1" applyFill="1" applyBorder="1" applyAlignment="1">
      <alignment horizontal="center" vertical="center"/>
    </xf>
    <xf numFmtId="0" fontId="62" fillId="0" borderId="103" xfId="0" applyFont="1" applyBorder="1" applyAlignment="1">
      <alignment vertical="center"/>
    </xf>
    <xf numFmtId="4" fontId="62" fillId="24" borderId="103" xfId="0" applyNumberFormat="1" applyFont="1" applyFill="1" applyBorder="1" applyAlignment="1">
      <alignment horizontal="center" vertical="center"/>
    </xf>
    <xf numFmtId="0" fontId="56" fillId="0" borderId="103" xfId="0" applyFont="1" applyBorder="1" applyAlignment="1">
      <alignment vertical="center"/>
    </xf>
    <xf numFmtId="4" fontId="56" fillId="24" borderId="103" xfId="0" applyNumberFormat="1" applyFont="1" applyFill="1" applyBorder="1" applyAlignment="1">
      <alignment horizontal="center" vertical="center"/>
    </xf>
    <xf numFmtId="0" fontId="90" fillId="0" borderId="103" xfId="0" applyFont="1" applyBorder="1" applyAlignment="1">
      <alignment vertical="center"/>
    </xf>
    <xf numFmtId="4" fontId="90" fillId="24" borderId="103" xfId="0" applyNumberFormat="1" applyFont="1" applyFill="1" applyBorder="1" applyAlignment="1">
      <alignment horizontal="center" vertical="center"/>
    </xf>
    <xf numFmtId="0" fontId="91" fillId="0" borderId="103" xfId="0" applyFont="1" applyBorder="1" applyAlignment="1">
      <alignment vertical="center"/>
    </xf>
    <xf numFmtId="4" fontId="91" fillId="24" borderId="103" xfId="0" applyNumberFormat="1" applyFont="1" applyFill="1" applyBorder="1" applyAlignment="1">
      <alignment horizontal="center" vertical="center"/>
    </xf>
    <xf numFmtId="0" fontId="62" fillId="0" borderId="0" xfId="0" applyFont="1" applyAlignment="1">
      <alignment vertical="center"/>
    </xf>
    <xf numFmtId="4" fontId="62" fillId="0" borderId="0" xfId="0" applyNumberFormat="1" applyFont="1" applyAlignment="1">
      <alignment horizontal="center" vertical="center"/>
    </xf>
    <xf numFmtId="2" fontId="52" fillId="0" borderId="22" xfId="12" applyNumberFormat="1" applyFont="1" applyBorder="1" applyAlignment="1">
      <alignment vertical="center"/>
    </xf>
    <xf numFmtId="0" fontId="48" fillId="15" borderId="1" xfId="0" applyFont="1" applyFill="1" applyBorder="1" applyAlignment="1">
      <alignment horizontal="center" vertical="center" wrapText="1"/>
    </xf>
    <xf numFmtId="0" fontId="85" fillId="15" borderId="1" xfId="0" applyFont="1" applyFill="1" applyBorder="1" applyAlignment="1">
      <alignment horizontal="center" vertical="center" wrapText="1"/>
    </xf>
    <xf numFmtId="3" fontId="94" fillId="0" borderId="83" xfId="16" applyNumberFormat="1" applyFont="1" applyFill="1" applyBorder="1" applyAlignment="1">
      <alignment horizontal="center" vertical="center"/>
    </xf>
    <xf numFmtId="3" fontId="94" fillId="0" borderId="78" xfId="16" applyNumberFormat="1" applyFont="1" applyFill="1" applyBorder="1" applyAlignment="1">
      <alignment horizontal="center" vertical="center"/>
    </xf>
    <xf numFmtId="3" fontId="93" fillId="0" borderId="84" xfId="16" applyNumberFormat="1" applyFont="1" applyFill="1" applyBorder="1" applyAlignment="1">
      <alignment horizontal="center" vertical="center"/>
    </xf>
    <xf numFmtId="3" fontId="95" fillId="0" borderId="85" xfId="16" applyNumberFormat="1" applyFont="1" applyFill="1" applyBorder="1" applyAlignment="1">
      <alignment horizontal="center" vertical="center"/>
    </xf>
    <xf numFmtId="3" fontId="95" fillId="0" borderId="65" xfId="16" applyNumberFormat="1" applyFont="1" applyFill="1" applyBorder="1" applyAlignment="1">
      <alignment horizontal="center" vertical="center"/>
    </xf>
    <xf numFmtId="3" fontId="96" fillId="0" borderId="86" xfId="16" applyNumberFormat="1" applyFont="1" applyFill="1" applyBorder="1" applyAlignment="1">
      <alignment horizontal="center" vertical="center"/>
    </xf>
    <xf numFmtId="4" fontId="95" fillId="7" borderId="87" xfId="16" applyNumberFormat="1" applyFont="1" applyFill="1" applyBorder="1" applyAlignment="1">
      <alignment horizontal="center"/>
    </xf>
    <xf numFmtId="4" fontId="95" fillId="7" borderId="80" xfId="16" applyNumberFormat="1" applyFont="1" applyFill="1" applyBorder="1" applyAlignment="1">
      <alignment horizontal="center"/>
    </xf>
    <xf numFmtId="4" fontId="96" fillId="7" borderId="88" xfId="16" applyNumberFormat="1" applyFont="1" applyFill="1" applyBorder="1" applyAlignment="1">
      <alignment horizontal="center"/>
    </xf>
    <xf numFmtId="0" fontId="94" fillId="0" borderId="89" xfId="16" applyFont="1" applyFill="1" applyBorder="1" applyAlignment="1">
      <alignment vertical="center"/>
    </xf>
    <xf numFmtId="0" fontId="94" fillId="0" borderId="81" xfId="16" applyFont="1" applyFill="1" applyBorder="1" applyAlignment="1">
      <alignment vertical="center"/>
    </xf>
    <xf numFmtId="167" fontId="97" fillId="0" borderId="90" xfId="16" applyNumberFormat="1" applyFont="1" applyFill="1" applyBorder="1" applyAlignment="1">
      <alignment horizontal="center" vertical="center"/>
    </xf>
    <xf numFmtId="3" fontId="95" fillId="0" borderId="89" xfId="16" applyNumberFormat="1" applyFont="1" applyFill="1" applyBorder="1" applyAlignment="1">
      <alignment horizontal="center" vertical="center"/>
    </xf>
    <xf numFmtId="3" fontId="95" fillId="0" borderId="81" xfId="16" applyNumberFormat="1" applyFont="1" applyFill="1" applyBorder="1" applyAlignment="1">
      <alignment horizontal="center" vertical="center"/>
    </xf>
    <xf numFmtId="3" fontId="95" fillId="0" borderId="90" xfId="16" applyNumberFormat="1" applyFont="1" applyFill="1" applyBorder="1" applyAlignment="1">
      <alignment horizontal="center" vertical="center"/>
    </xf>
    <xf numFmtId="167" fontId="93" fillId="0" borderId="92" xfId="17" applyNumberFormat="1" applyFont="1" applyFill="1" applyBorder="1" applyAlignment="1">
      <alignment horizontal="center" vertical="center"/>
    </xf>
    <xf numFmtId="3" fontId="94" fillId="0" borderId="91" xfId="16" applyNumberFormat="1" applyFont="1" applyFill="1" applyBorder="1" applyAlignment="1">
      <alignment horizontal="center" vertical="center"/>
    </xf>
    <xf numFmtId="3" fontId="94" fillId="0" borderId="40" xfId="16" applyNumberFormat="1" applyFont="1" applyFill="1" applyBorder="1" applyAlignment="1">
      <alignment horizontal="center" vertical="center"/>
    </xf>
    <xf numFmtId="3" fontId="94" fillId="0" borderId="92" xfId="16" applyNumberFormat="1" applyFont="1" applyFill="1" applyBorder="1" applyAlignment="1">
      <alignment horizontal="center" vertical="center"/>
    </xf>
    <xf numFmtId="167" fontId="93" fillId="0" borderId="52" xfId="17" applyNumberFormat="1" applyFont="1" applyFill="1" applyBorder="1" applyAlignment="1">
      <alignment horizontal="center" vertical="center"/>
    </xf>
    <xf numFmtId="9" fontId="94" fillId="22" borderId="51" xfId="6" applyFont="1" applyFill="1" applyBorder="1" applyAlignment="1">
      <alignment horizontal="center" vertical="center"/>
    </xf>
    <xf numFmtId="9" fontId="94" fillId="22" borderId="28" xfId="6" applyFont="1" applyFill="1" applyBorder="1" applyAlignment="1">
      <alignment horizontal="center" vertical="center"/>
    </xf>
    <xf numFmtId="167" fontId="93" fillId="22" borderId="52" xfId="6" applyNumberFormat="1" applyFont="1" applyFill="1" applyBorder="1" applyAlignment="1">
      <alignment horizontal="center" vertical="center"/>
    </xf>
    <xf numFmtId="0" fontId="98" fillId="0" borderId="0" xfId="16" applyFont="1" applyFill="1" applyBorder="1" applyAlignment="1">
      <alignment vertical="center"/>
    </xf>
    <xf numFmtId="167" fontId="92" fillId="0" borderId="0" xfId="16" applyNumberFormat="1" applyFont="1" applyFill="1" applyBorder="1" applyAlignment="1">
      <alignment horizontal="center" vertical="center"/>
    </xf>
    <xf numFmtId="3" fontId="98" fillId="0" borderId="0" xfId="16" applyNumberFormat="1" applyFont="1" applyFill="1" applyBorder="1" applyAlignment="1">
      <alignment horizontal="center" vertical="center"/>
    </xf>
    <xf numFmtId="3" fontId="99" fillId="0" borderId="0" xfId="16" applyNumberFormat="1" applyFont="1" applyFill="1" applyBorder="1" applyAlignment="1">
      <alignment horizontal="center" vertical="center"/>
    </xf>
    <xf numFmtId="9" fontId="99" fillId="0" borderId="0" xfId="6" applyFont="1" applyFill="1" applyBorder="1" applyAlignment="1">
      <alignment horizontal="center" vertical="center"/>
    </xf>
    <xf numFmtId="0" fontId="94" fillId="0" borderId="0" xfId="15" applyFont="1"/>
    <xf numFmtId="0" fontId="94" fillId="0" borderId="0" xfId="15" applyFont="1" applyAlignment="1">
      <alignment horizontal="center"/>
    </xf>
    <xf numFmtId="0" fontId="94" fillId="0" borderId="0" xfId="15" applyFont="1" applyBorder="1"/>
    <xf numFmtId="0" fontId="94" fillId="0" borderId="0" xfId="15" applyFont="1" applyFill="1" applyBorder="1" applyAlignment="1">
      <alignment vertical="center"/>
    </xf>
    <xf numFmtId="0" fontId="98" fillId="0" borderId="0" xfId="15" applyFont="1" applyFill="1" applyBorder="1" applyAlignment="1"/>
    <xf numFmtId="2" fontId="99" fillId="0" borderId="0" xfId="15" applyNumberFormat="1" applyFont="1" applyFill="1" applyBorder="1" applyAlignment="1">
      <alignment horizontal="center"/>
    </xf>
    <xf numFmtId="9" fontId="94" fillId="0" borderId="0" xfId="9" applyFont="1" applyBorder="1"/>
    <xf numFmtId="10" fontId="94" fillId="0" borderId="0" xfId="15" applyNumberFormat="1" applyFont="1" applyBorder="1"/>
    <xf numFmtId="9" fontId="94" fillId="0" borderId="1" xfId="15" applyNumberFormat="1" applyFont="1" applyBorder="1" applyAlignment="1">
      <alignment horizontal="center"/>
    </xf>
    <xf numFmtId="9" fontId="94" fillId="0" borderId="0" xfId="15" applyNumberFormat="1" applyFont="1"/>
    <xf numFmtId="0" fontId="94" fillId="0" borderId="1" xfId="15" applyFont="1" applyBorder="1" applyAlignment="1">
      <alignment horizontal="center"/>
    </xf>
    <xf numFmtId="0" fontId="100" fillId="17" borderId="1" xfId="0" applyFont="1" applyFill="1" applyBorder="1" applyAlignment="1">
      <alignment horizontal="center" vertical="center"/>
    </xf>
    <xf numFmtId="17" fontId="100" fillId="17" borderId="1" xfId="0" applyNumberFormat="1" applyFont="1" applyFill="1" applyBorder="1" applyAlignment="1">
      <alignment horizontal="center" vertical="center"/>
    </xf>
    <xf numFmtId="0" fontId="0" fillId="0" borderId="0" xfId="0" applyAlignment="1">
      <alignment horizontal="center" vertical="center"/>
    </xf>
    <xf numFmtId="17" fontId="100" fillId="17" borderId="1" xfId="0" applyNumberFormat="1" applyFont="1" applyFill="1" applyBorder="1" applyAlignment="1">
      <alignment horizontal="center" vertical="center" wrapText="1"/>
    </xf>
    <xf numFmtId="1" fontId="101" fillId="0" borderId="1" xfId="0" applyNumberFormat="1" applyFont="1" applyBorder="1" applyAlignment="1">
      <alignment horizontal="center" vertical="center"/>
    </xf>
    <xf numFmtId="0" fontId="0" fillId="7" borderId="1" xfId="0" applyFill="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3" fontId="62" fillId="0" borderId="0" xfId="0" applyNumberFormat="1" applyFont="1" applyBorder="1" applyAlignment="1">
      <alignment horizontal="center"/>
    </xf>
    <xf numFmtId="0" fontId="50" fillId="0" borderId="0" xfId="12"/>
    <xf numFmtId="0" fontId="51" fillId="10" borderId="42" xfId="12" applyFont="1" applyFill="1" applyBorder="1" applyAlignment="1">
      <alignment horizontal="center" wrapText="1"/>
    </xf>
    <xf numFmtId="0" fontId="51" fillId="10" borderId="43" xfId="12" applyFont="1" applyFill="1" applyBorder="1" applyAlignment="1">
      <alignment horizontal="center" wrapText="1"/>
    </xf>
    <xf numFmtId="0" fontId="51" fillId="10" borderId="58" xfId="12" applyFont="1" applyFill="1" applyBorder="1" applyAlignment="1">
      <alignment horizontal="center" wrapText="1"/>
    </xf>
    <xf numFmtId="0" fontId="1" fillId="0" borderId="53" xfId="12" applyFont="1" applyBorder="1" applyAlignment="1">
      <alignment horizontal="center" vertical="center" wrapText="1"/>
    </xf>
    <xf numFmtId="0" fontId="52" fillId="6" borderId="49" xfId="12" applyFont="1" applyFill="1" applyBorder="1" applyAlignment="1">
      <alignment vertical="center"/>
    </xf>
    <xf numFmtId="0" fontId="60" fillId="25" borderId="54" xfId="1" applyFont="1" applyFill="1" applyBorder="1" applyAlignment="1">
      <alignment horizontal="center" vertical="center"/>
    </xf>
    <xf numFmtId="0" fontId="50" fillId="0" borderId="0" xfId="12" applyAlignment="1">
      <alignment vertical="center"/>
    </xf>
    <xf numFmtId="0" fontId="1" fillId="0" borderId="46" xfId="12" applyFont="1" applyBorder="1" applyAlignment="1">
      <alignment horizontal="center" vertical="center" wrapText="1"/>
    </xf>
    <xf numFmtId="0" fontId="52" fillId="6" borderId="47" xfId="12" applyFont="1" applyFill="1" applyBorder="1" applyAlignment="1">
      <alignment vertical="center"/>
    </xf>
    <xf numFmtId="0" fontId="60" fillId="25" borderId="55" xfId="1" applyFont="1" applyFill="1" applyBorder="1" applyAlignment="1">
      <alignment horizontal="center" vertical="center"/>
    </xf>
    <xf numFmtId="0" fontId="52" fillId="0" borderId="47" xfId="12" applyFont="1" applyBorder="1" applyAlignment="1">
      <alignment vertical="center"/>
    </xf>
    <xf numFmtId="0" fontId="61" fillId="0" borderId="55" xfId="1" applyFont="1" applyBorder="1" applyAlignment="1">
      <alignment horizontal="center" vertical="center"/>
    </xf>
    <xf numFmtId="2" fontId="61" fillId="0" borderId="55" xfId="1" applyNumberFormat="1" applyFont="1" applyBorder="1" applyAlignment="1">
      <alignment horizontal="center" vertical="center" wrapText="1"/>
    </xf>
    <xf numFmtId="0" fontId="1" fillId="0" borderId="56" xfId="12" applyFont="1" applyBorder="1" applyAlignment="1">
      <alignment horizontal="center" vertical="center" wrapText="1"/>
    </xf>
    <xf numFmtId="0" fontId="52" fillId="6" borderId="50" xfId="12" applyFont="1" applyFill="1" applyBorder="1" applyAlignment="1">
      <alignment vertical="center"/>
    </xf>
    <xf numFmtId="0" fontId="60" fillId="25" borderId="57" xfId="1" applyFont="1" applyFill="1" applyBorder="1" applyAlignment="1">
      <alignment horizontal="center" vertical="center"/>
    </xf>
    <xf numFmtId="0" fontId="55" fillId="0" borderId="0" xfId="12" applyFont="1"/>
    <xf numFmtId="2" fontId="97" fillId="0" borderId="0" xfId="15" applyNumberFormat="1" applyFont="1" applyFill="1" applyBorder="1" applyAlignment="1">
      <alignment horizontal="center"/>
    </xf>
    <xf numFmtId="0" fontId="92" fillId="0" borderId="0" xfId="0" applyFont="1" applyFill="1" applyBorder="1"/>
    <xf numFmtId="0" fontId="94" fillId="0" borderId="0" xfId="15" applyFont="1" applyFill="1" applyBorder="1" applyAlignment="1">
      <alignment horizontal="center" vertical="center"/>
    </xf>
    <xf numFmtId="167" fontId="94" fillId="0" borderId="0" xfId="15" applyNumberFormat="1" applyFont="1" applyFill="1" applyBorder="1" applyAlignment="1">
      <alignment horizontal="center" vertical="center"/>
    </xf>
    <xf numFmtId="4" fontId="57" fillId="17" borderId="0" xfId="0" applyNumberFormat="1" applyFont="1" applyFill="1" applyBorder="1" applyAlignment="1">
      <alignment horizontal="center" vertical="center" wrapText="1"/>
    </xf>
    <xf numFmtId="9" fontId="1" fillId="0" borderId="1" xfId="9" applyFont="1" applyFill="1" applyBorder="1" applyAlignment="1">
      <alignment horizontal="center" vertical="center" wrapText="1"/>
    </xf>
    <xf numFmtId="0" fontId="51" fillId="0" borderId="0" xfId="12" applyFont="1" applyAlignment="1">
      <alignment horizontal="center"/>
    </xf>
    <xf numFmtId="0" fontId="48" fillId="15" borderId="1" xfId="0" applyFont="1" applyFill="1" applyBorder="1" applyAlignment="1">
      <alignment horizontal="center" vertical="center" wrapText="1"/>
    </xf>
    <xf numFmtId="4" fontId="58" fillId="0" borderId="1" xfId="0" applyNumberFormat="1" applyFont="1" applyBorder="1" applyAlignment="1">
      <alignment horizontal="center" vertical="center" wrapText="1"/>
    </xf>
    <xf numFmtId="2" fontId="0" fillId="0" borderId="1" xfId="0" applyNumberFormat="1" applyBorder="1" applyAlignment="1">
      <alignment horizontal="center" vertical="center" wrapText="1"/>
    </xf>
    <xf numFmtId="4" fontId="58" fillId="0" borderId="0" xfId="0" applyNumberFormat="1" applyFont="1" applyBorder="1" applyAlignment="1">
      <alignment horizontal="center" vertical="center" wrapText="1"/>
    </xf>
    <xf numFmtId="0" fontId="58" fillId="0" borderId="0" xfId="0" applyFont="1" applyBorder="1" applyAlignment="1">
      <alignment horizontal="center" vertical="center" wrapText="1"/>
    </xf>
    <xf numFmtId="0" fontId="85" fillId="0" borderId="0" xfId="0" applyFont="1" applyFill="1" applyBorder="1" applyAlignment="1">
      <alignment horizontal="center" vertical="center" wrapText="1"/>
    </xf>
    <xf numFmtId="0" fontId="51" fillId="0" borderId="1" xfId="12" applyNumberFormat="1" applyFont="1" applyBorder="1" applyAlignment="1">
      <alignment horizontal="left" vertical="center" wrapText="1"/>
    </xf>
    <xf numFmtId="0" fontId="52" fillId="0" borderId="1" xfId="12" applyFont="1" applyBorder="1" applyAlignment="1">
      <alignment horizontal="center" vertical="center"/>
    </xf>
    <xf numFmtId="0" fontId="51" fillId="2" borderId="1" xfId="12" applyNumberFormat="1" applyFont="1" applyFill="1" applyBorder="1" applyAlignment="1">
      <alignment horizontal="left" vertical="center" wrapText="1"/>
    </xf>
    <xf numFmtId="0" fontId="51" fillId="2" borderId="1" xfId="12" applyFont="1" applyFill="1" applyBorder="1" applyAlignment="1">
      <alignment horizontal="left" vertical="center" wrapText="1"/>
    </xf>
    <xf numFmtId="167" fontId="0" fillId="0" borderId="1" xfId="6" applyNumberFormat="1" applyFont="1" applyBorder="1" applyAlignment="1">
      <alignment horizontal="center" vertical="center" wrapText="1"/>
    </xf>
    <xf numFmtId="0" fontId="51" fillId="10" borderId="1" xfId="12" applyFont="1" applyFill="1" applyBorder="1" applyAlignment="1">
      <alignment horizontal="center" vertical="center" wrapText="1"/>
    </xf>
    <xf numFmtId="3" fontId="52" fillId="0" borderId="1" xfId="1" applyNumberFormat="1" applyFont="1" applyBorder="1" applyAlignment="1">
      <alignment horizontal="center" vertical="center" wrapText="1"/>
    </xf>
    <xf numFmtId="3" fontId="52" fillId="0" borderId="1" xfId="1" applyNumberFormat="1" applyFont="1" applyBorder="1" applyAlignment="1">
      <alignment horizontal="center" vertical="center"/>
    </xf>
    <xf numFmtId="9" fontId="0" fillId="0" borderId="1" xfId="6" applyFont="1" applyBorder="1" applyAlignment="1">
      <alignment horizontal="center" vertical="center" wrapText="1"/>
    </xf>
    <xf numFmtId="9" fontId="62" fillId="0" borderId="1" xfId="6" applyFont="1" applyBorder="1" applyAlignment="1">
      <alignment horizontal="center" vertical="center" wrapText="1"/>
    </xf>
    <xf numFmtId="3" fontId="55" fillId="0" borderId="1" xfId="14" applyNumberFormat="1" applyFont="1" applyFill="1" applyBorder="1" applyAlignment="1">
      <alignment horizontal="center" vertical="center" wrapText="1"/>
    </xf>
    <xf numFmtId="4" fontId="55" fillId="0" borderId="1" xfId="14" applyNumberFormat="1" applyFont="1" applyFill="1" applyBorder="1" applyAlignment="1">
      <alignment horizontal="center" vertical="center" wrapText="1"/>
    </xf>
    <xf numFmtId="9" fontId="52" fillId="0" borderId="1" xfId="9" applyFont="1" applyBorder="1" applyAlignment="1">
      <alignment horizontal="center"/>
    </xf>
    <xf numFmtId="0" fontId="94" fillId="0" borderId="46" xfId="15" applyFont="1" applyBorder="1" applyAlignment="1">
      <alignment horizontal="center"/>
    </xf>
    <xf numFmtId="0" fontId="94" fillId="19" borderId="55" xfId="15" applyFont="1" applyFill="1" applyBorder="1" applyAlignment="1">
      <alignment horizontal="center"/>
    </xf>
    <xf numFmtId="0" fontId="94" fillId="0" borderId="56" xfId="15" applyFont="1" applyBorder="1" applyAlignment="1">
      <alignment horizontal="center"/>
    </xf>
    <xf numFmtId="0" fontId="94" fillId="19" borderId="57" xfId="15" applyFont="1" applyFill="1" applyBorder="1" applyAlignment="1">
      <alignment horizontal="center"/>
    </xf>
    <xf numFmtId="0" fontId="93" fillId="0" borderId="0" xfId="15" applyFont="1" applyAlignment="1">
      <alignment horizontal="center"/>
    </xf>
    <xf numFmtId="3" fontId="99" fillId="0" borderId="1" xfId="13" applyNumberFormat="1" applyFont="1" applyBorder="1" applyAlignment="1">
      <alignment horizontal="center" vertical="center"/>
    </xf>
    <xf numFmtId="3" fontId="99" fillId="0" borderId="1" xfId="16" applyNumberFormat="1" applyFont="1" applyFill="1" applyBorder="1" applyAlignment="1">
      <alignment horizontal="center" vertical="center"/>
    </xf>
    <xf numFmtId="3" fontId="99" fillId="0" borderId="1" xfId="15" applyNumberFormat="1" applyFont="1" applyBorder="1" applyAlignment="1">
      <alignment horizontal="center" vertical="center"/>
    </xf>
    <xf numFmtId="3" fontId="97" fillId="0" borderId="1" xfId="16" applyNumberFormat="1" applyFont="1" applyFill="1" applyBorder="1" applyAlignment="1">
      <alignment horizontal="center" vertical="center"/>
    </xf>
    <xf numFmtId="0" fontId="51" fillId="10" borderId="42" xfId="12" applyFont="1" applyFill="1" applyBorder="1" applyAlignment="1">
      <alignment horizontal="center" vertical="center" wrapText="1"/>
    </xf>
    <xf numFmtId="0" fontId="51" fillId="10" borderId="43" xfId="12" applyFont="1" applyFill="1" applyBorder="1" applyAlignment="1">
      <alignment horizontal="center" vertical="center" wrapText="1"/>
    </xf>
    <xf numFmtId="0" fontId="1" fillId="0" borderId="1" xfId="12" applyFont="1" applyBorder="1" applyAlignment="1">
      <alignment horizontal="center" vertical="center" wrapText="1"/>
    </xf>
    <xf numFmtId="0" fontId="52" fillId="0" borderId="1" xfId="12" applyFont="1" applyBorder="1" applyAlignment="1">
      <alignment vertical="center"/>
    </xf>
    <xf numFmtId="3" fontId="52" fillId="0" borderId="1" xfId="12" applyNumberFormat="1" applyFont="1" applyBorder="1" applyAlignment="1">
      <alignment horizontal="center" vertical="center"/>
    </xf>
    <xf numFmtId="0" fontId="50" fillId="0" borderId="5" xfId="12" applyBorder="1" applyAlignment="1">
      <alignment horizontal="center" vertical="center"/>
    </xf>
    <xf numFmtId="3" fontId="50" fillId="0" borderId="5" xfId="12" applyNumberFormat="1" applyBorder="1" applyAlignment="1">
      <alignment horizontal="center" vertical="center"/>
    </xf>
    <xf numFmtId="0" fontId="52" fillId="0" borderId="1" xfId="12" applyFont="1" applyBorder="1" applyAlignment="1">
      <alignment horizontal="left" vertical="center"/>
    </xf>
    <xf numFmtId="0" fontId="1" fillId="6" borderId="1" xfId="12" applyFont="1" applyFill="1" applyBorder="1" applyAlignment="1">
      <alignment horizontal="center" vertical="center" wrapText="1"/>
    </xf>
    <xf numFmtId="3" fontId="52" fillId="6" borderId="3" xfId="12" applyNumberFormat="1" applyFont="1" applyFill="1" applyBorder="1" applyAlignment="1">
      <alignment horizontal="center" vertical="center" wrapText="1"/>
    </xf>
    <xf numFmtId="3" fontId="52" fillId="0" borderId="3" xfId="12" applyNumberFormat="1" applyFont="1" applyBorder="1" applyAlignment="1">
      <alignment horizontal="center" vertical="center" wrapText="1"/>
    </xf>
    <xf numFmtId="0" fontId="1" fillId="6" borderId="5" xfId="12" applyFont="1" applyFill="1" applyBorder="1" applyAlignment="1">
      <alignment horizontal="center" vertical="center" wrapText="1"/>
    </xf>
    <xf numFmtId="0" fontId="50" fillId="6" borderId="5" xfId="12" applyFill="1" applyBorder="1" applyAlignment="1">
      <alignment horizontal="center" vertical="center" wrapText="1"/>
    </xf>
    <xf numFmtId="3" fontId="52" fillId="0" borderId="5" xfId="12" applyNumberFormat="1" applyFont="1" applyBorder="1" applyAlignment="1">
      <alignment horizontal="center" vertical="center" wrapText="1"/>
    </xf>
    <xf numFmtId="0" fontId="1" fillId="6" borderId="5" xfId="12" applyFont="1" applyFill="1" applyBorder="1" applyAlignment="1">
      <alignment horizontal="center" vertical="center"/>
    </xf>
    <xf numFmtId="0" fontId="50" fillId="6" borderId="0" xfId="12" applyFill="1" applyAlignment="1">
      <alignment horizontal="center" vertical="center" wrapText="1"/>
    </xf>
    <xf numFmtId="0" fontId="52" fillId="6" borderId="1" xfId="12" applyFont="1" applyFill="1" applyBorder="1" applyAlignment="1">
      <alignment horizontal="left" vertical="center"/>
    </xf>
    <xf numFmtId="3" fontId="50" fillId="6" borderId="0" xfId="12" applyNumberFormat="1" applyFill="1" applyAlignment="1">
      <alignment horizontal="center" vertical="center" wrapText="1"/>
    </xf>
    <xf numFmtId="9" fontId="1" fillId="0" borderId="0" xfId="9" applyFont="1" applyFill="1" applyBorder="1" applyAlignment="1">
      <alignment horizontal="center" vertical="center" wrapText="1"/>
    </xf>
    <xf numFmtId="167" fontId="1" fillId="7" borderId="1" xfId="14" applyNumberFormat="1" applyFont="1" applyFill="1" applyBorder="1" applyAlignment="1">
      <alignment horizontal="center" vertical="center" wrapText="1"/>
    </xf>
    <xf numFmtId="0" fontId="1" fillId="7" borderId="1" xfId="14" applyFont="1" applyFill="1" applyBorder="1" applyAlignment="1">
      <alignment horizontal="center" vertical="center" wrapText="1"/>
    </xf>
    <xf numFmtId="0" fontId="97" fillId="0" borderId="0" xfId="16" applyFont="1" applyFill="1" applyBorder="1" applyAlignment="1">
      <alignment horizontal="center" vertical="center"/>
    </xf>
    <xf numFmtId="173" fontId="99" fillId="0" borderId="0" xfId="9" applyNumberFormat="1" applyFont="1" applyBorder="1" applyAlignment="1">
      <alignment horizontal="center" vertical="center"/>
    </xf>
    <xf numFmtId="164" fontId="0" fillId="0" borderId="0" xfId="13" applyFont="1" applyAlignment="1">
      <alignment wrapText="1"/>
    </xf>
    <xf numFmtId="3" fontId="94" fillId="0" borderId="1" xfId="15" applyNumberFormat="1" applyFont="1" applyBorder="1"/>
    <xf numFmtId="9" fontId="97" fillId="14" borderId="1" xfId="6" applyFont="1" applyFill="1" applyBorder="1" applyAlignment="1">
      <alignment horizontal="center" vertical="center"/>
    </xf>
    <xf numFmtId="0" fontId="93" fillId="14" borderId="1" xfId="15" applyFont="1" applyFill="1" applyBorder="1" applyAlignment="1">
      <alignment horizontal="center"/>
    </xf>
    <xf numFmtId="3" fontId="94" fillId="0" borderId="1" xfId="15" applyNumberFormat="1" applyFont="1" applyBorder="1" applyAlignment="1">
      <alignment horizontal="center"/>
    </xf>
    <xf numFmtId="167" fontId="94" fillId="0" borderId="1" xfId="9" applyNumberFormat="1" applyFont="1" applyBorder="1" applyAlignment="1">
      <alignment horizontal="center"/>
    </xf>
    <xf numFmtId="9" fontId="94" fillId="0" borderId="1" xfId="9" applyFont="1" applyBorder="1" applyAlignment="1">
      <alignment horizontal="center"/>
    </xf>
    <xf numFmtId="0" fontId="93" fillId="0" borderId="0" xfId="16" applyFont="1" applyFill="1" applyBorder="1" applyAlignment="1">
      <alignment horizontal="left" vertical="center"/>
    </xf>
    <xf numFmtId="167" fontId="93" fillId="0" borderId="0" xfId="17" applyNumberFormat="1" applyFont="1" applyFill="1" applyBorder="1" applyAlignment="1">
      <alignment horizontal="center" vertical="center"/>
    </xf>
    <xf numFmtId="9" fontId="94" fillId="0" borderId="0" xfId="6" applyFont="1" applyFill="1" applyBorder="1" applyAlignment="1">
      <alignment horizontal="center" vertical="center"/>
    </xf>
    <xf numFmtId="167" fontId="93" fillId="0" borderId="0" xfId="6" applyNumberFormat="1" applyFont="1" applyFill="1" applyBorder="1" applyAlignment="1">
      <alignment horizontal="center" vertical="center"/>
    </xf>
    <xf numFmtId="0" fontId="94" fillId="19" borderId="1" xfId="15" applyFont="1" applyFill="1" applyBorder="1"/>
    <xf numFmtId="3" fontId="52" fillId="0" borderId="1" xfId="12" applyNumberFormat="1" applyFont="1" applyBorder="1"/>
    <xf numFmtId="3" fontId="94" fillId="26" borderId="1" xfId="15" applyNumberFormat="1" applyFont="1" applyFill="1" applyBorder="1"/>
    <xf numFmtId="167" fontId="94" fillId="26" borderId="1" xfId="9" applyNumberFormat="1" applyFont="1" applyFill="1" applyBorder="1" applyAlignment="1">
      <alignment horizontal="center"/>
    </xf>
    <xf numFmtId="9" fontId="94" fillId="26" borderId="1" xfId="9" applyFont="1" applyFill="1" applyBorder="1" applyAlignment="1">
      <alignment horizontal="center"/>
    </xf>
    <xf numFmtId="3" fontId="94" fillId="26" borderId="1" xfId="15" applyNumberFormat="1" applyFont="1" applyFill="1" applyBorder="1" applyAlignment="1">
      <alignment horizontal="center"/>
    </xf>
    <xf numFmtId="3" fontId="1" fillId="0" borderId="0" xfId="1" applyNumberFormat="1" applyAlignment="1">
      <alignment vertical="center"/>
    </xf>
    <xf numFmtId="174" fontId="1" fillId="0" borderId="0" xfId="1" applyNumberFormat="1" applyAlignment="1">
      <alignment vertical="center"/>
    </xf>
    <xf numFmtId="0" fontId="104" fillId="10" borderId="1" xfId="1" applyFont="1" applyFill="1" applyBorder="1" applyAlignment="1">
      <alignment horizontal="center" vertical="center" wrapText="1"/>
    </xf>
    <xf numFmtId="0" fontId="105" fillId="0" borderId="1" xfId="1" applyFont="1" applyBorder="1" applyAlignment="1">
      <alignment horizontal="center" vertical="center" wrapText="1"/>
    </xf>
    <xf numFmtId="0" fontId="105" fillId="6" borderId="1" xfId="1" applyFont="1" applyFill="1" applyBorder="1" applyAlignment="1">
      <alignment vertical="center"/>
    </xf>
    <xf numFmtId="0" fontId="105" fillId="6" borderId="1" xfId="1" applyFont="1" applyFill="1" applyBorder="1" applyAlignment="1">
      <alignment horizontal="center" vertical="center"/>
    </xf>
    <xf numFmtId="2" fontId="105" fillId="0" borderId="1" xfId="1" applyNumberFormat="1" applyFont="1" applyBorder="1" applyAlignment="1">
      <alignment horizontal="center" vertical="center" wrapText="1"/>
    </xf>
    <xf numFmtId="0" fontId="105" fillId="0" borderId="1" xfId="1" applyFont="1" applyBorder="1" applyAlignment="1">
      <alignment vertical="center"/>
    </xf>
    <xf numFmtId="0" fontId="105" fillId="0" borderId="1" xfId="1" applyFont="1" applyBorder="1" applyAlignment="1">
      <alignment horizontal="center" vertical="center"/>
    </xf>
    <xf numFmtId="49" fontId="0" fillId="0" borderId="0" xfId="0" applyNumberFormat="1" applyAlignment="1">
      <alignment horizontal="left" vertical="top" wrapText="1"/>
    </xf>
    <xf numFmtId="0" fontId="34" fillId="27" borderId="104" xfId="0" applyFont="1" applyFill="1" applyBorder="1" applyAlignment="1" applyProtection="1">
      <alignment horizontal="left" vertical="top" wrapText="1"/>
      <protection locked="0"/>
    </xf>
    <xf numFmtId="3" fontId="93" fillId="14" borderId="1" xfId="16" applyNumberFormat="1" applyFont="1" applyFill="1" applyBorder="1" applyAlignment="1">
      <alignment horizontal="center" vertical="center"/>
    </xf>
    <xf numFmtId="0" fontId="93" fillId="14" borderId="3" xfId="15" applyFont="1" applyFill="1" applyBorder="1" applyAlignment="1">
      <alignment horizontal="center"/>
    </xf>
    <xf numFmtId="0" fontId="93" fillId="14" borderId="39" xfId="15" applyFont="1" applyFill="1" applyBorder="1" applyAlignment="1">
      <alignment horizontal="center"/>
    </xf>
    <xf numFmtId="0" fontId="94" fillId="19" borderId="1" xfId="15" applyFont="1" applyFill="1" applyBorder="1" applyAlignment="1">
      <alignment horizontal="center"/>
    </xf>
    <xf numFmtId="9" fontId="99" fillId="0" borderId="3" xfId="6" applyFont="1" applyFill="1" applyBorder="1" applyAlignment="1">
      <alignment horizontal="center" vertical="center"/>
    </xf>
    <xf numFmtId="9" fontId="99" fillId="0" borderId="39" xfId="6" applyFont="1" applyFill="1" applyBorder="1" applyAlignment="1">
      <alignment horizontal="center" vertical="center"/>
    </xf>
    <xf numFmtId="0" fontId="92" fillId="17" borderId="53" xfId="15" applyFont="1" applyFill="1" applyBorder="1" applyAlignment="1">
      <alignment horizontal="center"/>
    </xf>
    <xf numFmtId="0" fontId="92" fillId="17" borderId="54" xfId="15" applyFont="1" applyFill="1" applyBorder="1" applyAlignment="1">
      <alignment horizontal="center"/>
    </xf>
    <xf numFmtId="0" fontId="97" fillId="0" borderId="3" xfId="16" applyFont="1" applyFill="1" applyBorder="1" applyAlignment="1">
      <alignment horizontal="center" vertical="center"/>
    </xf>
    <xf numFmtId="0" fontId="97" fillId="0" borderId="48" xfId="16" applyFont="1" applyFill="1" applyBorder="1" applyAlignment="1">
      <alignment horizontal="center" vertical="center"/>
    </xf>
    <xf numFmtId="0" fontId="97" fillId="0" borderId="39" xfId="16" applyFont="1" applyFill="1" applyBorder="1" applyAlignment="1">
      <alignment horizontal="center" vertical="center"/>
    </xf>
    <xf numFmtId="0" fontId="92" fillId="0" borderId="0" xfId="15" applyFont="1" applyFill="1" applyBorder="1" applyAlignment="1">
      <alignment horizontal="center" vertical="center" wrapText="1"/>
    </xf>
    <xf numFmtId="0" fontId="93" fillId="0" borderId="97" xfId="16" applyFont="1" applyFill="1" applyBorder="1" applyAlignment="1">
      <alignment horizontal="center" vertical="center"/>
    </xf>
    <xf numFmtId="0" fontId="93" fillId="0" borderId="79" xfId="16" applyFont="1" applyFill="1" applyBorder="1" applyAlignment="1">
      <alignment horizontal="center" vertical="center"/>
    </xf>
    <xf numFmtId="0" fontId="93" fillId="0" borderId="98" xfId="16" applyFont="1" applyFill="1" applyBorder="1" applyAlignment="1">
      <alignment horizontal="center" vertical="center"/>
    </xf>
    <xf numFmtId="0" fontId="93" fillId="0" borderId="91" xfId="16" applyFont="1" applyFill="1" applyBorder="1" applyAlignment="1">
      <alignment horizontal="left" vertical="center"/>
    </xf>
    <xf numFmtId="0" fontId="93" fillId="0" borderId="40" xfId="16" applyFont="1" applyFill="1" applyBorder="1" applyAlignment="1">
      <alignment horizontal="left" vertical="center"/>
    </xf>
    <xf numFmtId="0" fontId="93" fillId="0" borderId="51" xfId="16" applyFont="1" applyFill="1" applyBorder="1" applyAlignment="1">
      <alignment horizontal="left" vertical="center"/>
    </xf>
    <xf numFmtId="0" fontId="93" fillId="0" borderId="28" xfId="16" applyFont="1" applyFill="1" applyBorder="1" applyAlignment="1">
      <alignment horizontal="left" vertical="center"/>
    </xf>
    <xf numFmtId="0" fontId="98" fillId="17" borderId="3" xfId="15" applyFont="1" applyFill="1" applyBorder="1" applyAlignment="1">
      <alignment horizontal="center"/>
    </xf>
    <xf numFmtId="0" fontId="98" fillId="17" borderId="48" xfId="15" applyFont="1" applyFill="1" applyBorder="1" applyAlignment="1">
      <alignment horizontal="center"/>
    </xf>
    <xf numFmtId="0" fontId="98" fillId="17" borderId="39" xfId="15" applyFont="1" applyFill="1" applyBorder="1" applyAlignment="1">
      <alignment horizontal="center"/>
    </xf>
    <xf numFmtId="0" fontId="94" fillId="0" borderId="0" xfId="15" applyFont="1" applyFill="1" applyBorder="1" applyAlignment="1">
      <alignment horizontal="center" vertical="center"/>
    </xf>
    <xf numFmtId="0" fontId="92" fillId="15" borderId="44" xfId="16" applyFont="1" applyFill="1" applyBorder="1" applyAlignment="1">
      <alignment horizontal="center" vertical="center" wrapText="1"/>
    </xf>
    <xf numFmtId="0" fontId="92" fillId="15" borderId="51" xfId="16" applyFont="1" applyFill="1" applyBorder="1" applyAlignment="1">
      <alignment horizontal="center" vertical="center" wrapText="1"/>
    </xf>
    <xf numFmtId="0" fontId="93" fillId="0" borderId="93" xfId="16" applyFont="1" applyFill="1" applyBorder="1" applyAlignment="1">
      <alignment horizontal="center" vertical="center"/>
    </xf>
    <xf numFmtId="0" fontId="93" fillId="0" borderId="66" xfId="16" applyFont="1" applyFill="1" applyBorder="1" applyAlignment="1">
      <alignment horizontal="center" vertical="center"/>
    </xf>
    <xf numFmtId="0" fontId="93" fillId="0" borderId="94" xfId="16" applyFont="1" applyFill="1" applyBorder="1" applyAlignment="1">
      <alignment horizontal="center" vertical="center"/>
    </xf>
    <xf numFmtId="0" fontId="93" fillId="0" borderId="95" xfId="16" applyFont="1" applyFill="1" applyBorder="1" applyAlignment="1">
      <alignment horizontal="center" vertical="center"/>
    </xf>
    <xf numFmtId="0" fontId="93" fillId="0" borderId="64" xfId="16" applyFont="1" applyFill="1" applyBorder="1" applyAlignment="1">
      <alignment horizontal="center" vertical="center"/>
    </xf>
    <xf numFmtId="0" fontId="93" fillId="0" borderId="96" xfId="16" applyFont="1" applyFill="1" applyBorder="1" applyAlignment="1">
      <alignment horizontal="center" vertical="center"/>
    </xf>
    <xf numFmtId="0" fontId="92" fillId="15" borderId="0" xfId="16" applyFont="1" applyFill="1" applyBorder="1" applyAlignment="1">
      <alignment horizontal="center" vertical="center" wrapText="1"/>
    </xf>
    <xf numFmtId="0" fontId="92" fillId="15" borderId="28" xfId="16" applyFont="1" applyFill="1" applyBorder="1" applyAlignment="1">
      <alignment horizontal="center" vertical="center" wrapText="1"/>
    </xf>
    <xf numFmtId="0" fontId="92" fillId="17" borderId="41" xfId="15" applyFont="1" applyFill="1" applyBorder="1" applyAlignment="1">
      <alignment horizontal="center" vertical="center"/>
    </xf>
    <xf numFmtId="0" fontId="92" fillId="17" borderId="21" xfId="15" applyFont="1" applyFill="1" applyBorder="1" applyAlignment="1">
      <alignment horizontal="center" vertical="center"/>
    </xf>
    <xf numFmtId="0" fontId="92" fillId="17" borderId="51" xfId="15" applyFont="1" applyFill="1" applyBorder="1" applyAlignment="1">
      <alignment horizontal="center" vertical="center"/>
    </xf>
    <xf numFmtId="0" fontId="92" fillId="17" borderId="28" xfId="15" applyFont="1" applyFill="1" applyBorder="1" applyAlignment="1">
      <alignment horizontal="center" vertical="center"/>
    </xf>
    <xf numFmtId="0" fontId="94" fillId="2" borderId="22" xfId="15" applyFont="1" applyFill="1" applyBorder="1" applyAlignment="1">
      <alignment horizontal="center" vertical="center"/>
    </xf>
    <xf numFmtId="0" fontId="94" fillId="2" borderId="29" xfId="15" applyFont="1" applyFill="1" applyBorder="1" applyAlignment="1">
      <alignment horizontal="center" vertical="center"/>
    </xf>
    <xf numFmtId="0" fontId="92" fillId="15" borderId="41" xfId="16" applyFont="1" applyFill="1" applyBorder="1" applyAlignment="1">
      <alignment horizontal="center" vertical="center" wrapText="1"/>
    </xf>
    <xf numFmtId="0" fontId="92" fillId="15" borderId="21" xfId="16" applyFont="1" applyFill="1" applyBorder="1" applyAlignment="1">
      <alignment horizontal="center" vertical="center" wrapText="1"/>
    </xf>
    <xf numFmtId="0" fontId="92" fillId="15" borderId="43" xfId="16" applyFont="1" applyFill="1" applyBorder="1" applyAlignment="1">
      <alignment horizontal="center" vertical="center" wrapText="1"/>
    </xf>
    <xf numFmtId="0" fontId="92" fillId="15" borderId="67" xfId="16" applyFont="1" applyFill="1" applyBorder="1" applyAlignment="1">
      <alignment horizontal="center" vertical="center" wrapText="1"/>
    </xf>
    <xf numFmtId="0" fontId="92" fillId="15" borderId="52" xfId="16" applyFont="1" applyFill="1" applyBorder="1" applyAlignment="1">
      <alignment horizontal="center" vertical="center" wrapText="1"/>
    </xf>
    <xf numFmtId="0" fontId="92" fillId="15" borderId="41" xfId="15" applyFont="1" applyFill="1" applyBorder="1" applyAlignment="1">
      <alignment horizontal="center"/>
    </xf>
    <xf numFmtId="0" fontId="92" fillId="15" borderId="21" xfId="15" applyFont="1" applyFill="1" applyBorder="1" applyAlignment="1">
      <alignment horizontal="center"/>
    </xf>
    <xf numFmtId="0" fontId="92" fillId="15" borderId="43" xfId="15" applyFont="1" applyFill="1" applyBorder="1" applyAlignment="1">
      <alignment horizontal="center"/>
    </xf>
    <xf numFmtId="0" fontId="92" fillId="17" borderId="30" xfId="15" applyFont="1" applyFill="1" applyBorder="1" applyAlignment="1">
      <alignment horizontal="center" vertical="center" wrapText="1"/>
    </xf>
    <xf numFmtId="0" fontId="92" fillId="17" borderId="35" xfId="15" applyFont="1" applyFill="1" applyBorder="1" applyAlignment="1">
      <alignment horizontal="center" vertical="center" wrapText="1"/>
    </xf>
    <xf numFmtId="9" fontId="94" fillId="2" borderId="22" xfId="9" applyFont="1" applyFill="1" applyBorder="1" applyAlignment="1">
      <alignment horizontal="center" vertical="center"/>
    </xf>
    <xf numFmtId="9" fontId="94" fillId="2" borderId="29" xfId="9" applyFont="1" applyFill="1" applyBorder="1" applyAlignment="1">
      <alignment horizontal="center" vertical="center"/>
    </xf>
    <xf numFmtId="0" fontId="92" fillId="17" borderId="30" xfId="15" applyFont="1" applyFill="1" applyBorder="1" applyAlignment="1">
      <alignment horizontal="center" vertical="center"/>
    </xf>
    <xf numFmtId="0" fontId="92" fillId="17" borderId="35" xfId="15" applyFont="1" applyFill="1" applyBorder="1" applyAlignment="1">
      <alignment horizontal="center" vertical="center"/>
    </xf>
    <xf numFmtId="0" fontId="99" fillId="19" borderId="99" xfId="15" applyFont="1" applyFill="1" applyBorder="1" applyAlignment="1">
      <alignment horizontal="center" vertical="center"/>
    </xf>
    <xf numFmtId="0" fontId="99" fillId="19" borderId="43" xfId="15" applyFont="1" applyFill="1" applyBorder="1" applyAlignment="1">
      <alignment horizontal="center" vertical="center"/>
    </xf>
    <xf numFmtId="0" fontId="99" fillId="19" borderId="100" xfId="15" applyFont="1" applyFill="1" applyBorder="1" applyAlignment="1">
      <alignment horizontal="center" vertical="center"/>
    </xf>
    <xf numFmtId="0" fontId="99" fillId="19" borderId="52" xfId="15" applyFont="1" applyFill="1" applyBorder="1" applyAlignment="1">
      <alignment horizontal="center" vertical="center"/>
    </xf>
    <xf numFmtId="9" fontId="97" fillId="14" borderId="3" xfId="6" applyFont="1" applyFill="1" applyBorder="1" applyAlignment="1">
      <alignment horizontal="center" vertical="center"/>
    </xf>
    <xf numFmtId="9" fontId="97" fillId="14" borderId="39" xfId="6" applyFont="1" applyFill="1" applyBorder="1" applyAlignment="1">
      <alignment horizontal="center" vertical="center"/>
    </xf>
    <xf numFmtId="9" fontId="99" fillId="26" borderId="3" xfId="6" applyFont="1" applyFill="1" applyBorder="1" applyAlignment="1">
      <alignment horizontal="center" vertical="center"/>
    </xf>
    <xf numFmtId="9" fontId="99" fillId="26" borderId="39" xfId="6" applyFont="1" applyFill="1" applyBorder="1" applyAlignment="1">
      <alignment horizontal="center" vertical="center"/>
    </xf>
    <xf numFmtId="0" fontId="51" fillId="0" borderId="0" xfId="12" applyFont="1" applyAlignment="1">
      <alignment horizontal="center"/>
    </xf>
    <xf numFmtId="0" fontId="55" fillId="0" borderId="0" xfId="12" applyFont="1" applyAlignment="1">
      <alignment horizontal="left" vertical="center" wrapText="1"/>
    </xf>
    <xf numFmtId="0" fontId="61" fillId="0" borderId="0" xfId="1" applyFont="1" applyAlignment="1">
      <alignment horizontal="center"/>
    </xf>
    <xf numFmtId="0" fontId="51" fillId="0" borderId="0" xfId="1" applyFont="1" applyAlignment="1">
      <alignment horizontal="center"/>
    </xf>
    <xf numFmtId="0" fontId="55" fillId="0" borderId="41" xfId="1" applyFont="1" applyBorder="1" applyAlignment="1">
      <alignment horizontal="center" vertical="center"/>
    </xf>
    <xf numFmtId="0" fontId="55" fillId="0" borderId="21" xfId="1" applyFont="1" applyBorder="1" applyAlignment="1">
      <alignment horizontal="center" vertical="center"/>
    </xf>
    <xf numFmtId="0" fontId="55" fillId="0" borderId="43" xfId="1" applyFont="1" applyBorder="1" applyAlignment="1">
      <alignment horizontal="center" vertical="center"/>
    </xf>
    <xf numFmtId="0" fontId="55" fillId="0" borderId="51" xfId="1" applyFont="1" applyBorder="1" applyAlignment="1">
      <alignment horizontal="center" vertical="center"/>
    </xf>
    <xf numFmtId="0" fontId="55" fillId="0" borderId="28" xfId="1" applyFont="1" applyBorder="1" applyAlignment="1">
      <alignment horizontal="center" vertical="center"/>
    </xf>
    <xf numFmtId="0" fontId="55" fillId="0" borderId="52" xfId="1" applyFont="1" applyBorder="1" applyAlignment="1">
      <alignment horizontal="center" vertical="center"/>
    </xf>
    <xf numFmtId="0" fontId="51" fillId="10" borderId="42" xfId="1" applyFont="1" applyFill="1" applyBorder="1" applyAlignment="1">
      <alignment horizontal="center" vertical="center" wrapText="1"/>
    </xf>
    <xf numFmtId="0" fontId="51" fillId="10" borderId="45" xfId="1" applyFont="1" applyFill="1" applyBorder="1" applyAlignment="1">
      <alignment horizontal="center" vertical="center" wrapText="1"/>
    </xf>
    <xf numFmtId="0" fontId="51" fillId="10" borderId="73" xfId="1" applyFont="1" applyFill="1" applyBorder="1" applyAlignment="1">
      <alignment horizontal="center" vertical="center" wrapText="1"/>
    </xf>
    <xf numFmtId="0" fontId="64" fillId="17" borderId="0" xfId="0" applyFont="1" applyFill="1" applyAlignment="1">
      <alignment horizontal="center"/>
    </xf>
    <xf numFmtId="0" fontId="48" fillId="15" borderId="1" xfId="0" applyFont="1" applyFill="1" applyBorder="1" applyAlignment="1">
      <alignment horizontal="center" vertical="center" wrapText="1"/>
    </xf>
    <xf numFmtId="0" fontId="48" fillId="15" borderId="17" xfId="0" applyFont="1" applyFill="1" applyBorder="1" applyAlignment="1">
      <alignment horizontal="center" vertical="center"/>
    </xf>
    <xf numFmtId="0" fontId="48" fillId="15" borderId="2" xfId="0" applyFont="1" applyFill="1" applyBorder="1" applyAlignment="1">
      <alignment horizontal="center" vertical="center"/>
    </xf>
    <xf numFmtId="0" fontId="85" fillId="15" borderId="1" xfId="0" applyFont="1" applyFill="1" applyBorder="1" applyAlignment="1">
      <alignment horizontal="center" vertical="center"/>
    </xf>
    <xf numFmtId="0" fontId="85" fillId="15" borderId="1" xfId="0" applyFont="1" applyFill="1" applyBorder="1" applyAlignment="1">
      <alignment horizontal="center" vertical="center" wrapText="1"/>
    </xf>
    <xf numFmtId="0" fontId="51" fillId="10" borderId="20" xfId="12" applyFont="1" applyFill="1" applyBorder="1" applyAlignment="1">
      <alignment horizontal="center" vertical="center" wrapText="1"/>
    </xf>
    <xf numFmtId="0" fontId="51" fillId="10" borderId="27" xfId="12" applyFont="1" applyFill="1" applyBorder="1" applyAlignment="1">
      <alignment horizontal="center" vertical="center" wrapText="1"/>
    </xf>
    <xf numFmtId="0" fontId="51" fillId="10" borderId="30" xfId="12" applyFont="1" applyFill="1" applyBorder="1" applyAlignment="1">
      <alignment horizontal="center" vertical="center" wrapText="1"/>
    </xf>
    <xf numFmtId="0" fontId="51" fillId="10" borderId="35" xfId="12" applyFont="1" applyFill="1" applyBorder="1" applyAlignment="1">
      <alignment horizontal="center" vertical="center" wrapText="1"/>
    </xf>
    <xf numFmtId="0" fontId="51" fillId="10" borderId="49" xfId="12" applyFont="1" applyFill="1" applyBorder="1" applyAlignment="1">
      <alignment horizontal="center" vertical="center" wrapText="1"/>
    </xf>
    <xf numFmtId="0" fontId="51" fillId="10" borderId="47" xfId="12" applyFont="1" applyFill="1" applyBorder="1" applyAlignment="1">
      <alignment horizontal="center" vertical="center" wrapText="1"/>
    </xf>
    <xf numFmtId="0" fontId="51" fillId="7" borderId="20" xfId="12" applyFont="1" applyFill="1" applyBorder="1" applyAlignment="1">
      <alignment horizontal="center"/>
    </xf>
    <xf numFmtId="0" fontId="51" fillId="7" borderId="22" xfId="12" applyFont="1" applyFill="1" applyBorder="1" applyAlignment="1">
      <alignment horizontal="center"/>
    </xf>
    <xf numFmtId="0" fontId="51" fillId="7" borderId="30" xfId="12" applyFont="1" applyFill="1" applyBorder="1" applyAlignment="1">
      <alignment horizontal="center" vertical="center"/>
    </xf>
    <xf numFmtId="0" fontId="51" fillId="7" borderId="35" xfId="12" applyFont="1" applyFill="1" applyBorder="1" applyAlignment="1">
      <alignment horizontal="center" vertical="center"/>
    </xf>
    <xf numFmtId="0" fontId="51" fillId="10" borderId="68" xfId="12" applyFont="1" applyFill="1" applyBorder="1" applyAlignment="1">
      <alignment horizontal="center" vertical="center" wrapText="1"/>
    </xf>
    <xf numFmtId="0" fontId="51" fillId="10" borderId="26" xfId="12" applyFont="1" applyFill="1" applyBorder="1" applyAlignment="1">
      <alignment horizontal="center" vertical="center" wrapText="1"/>
    </xf>
    <xf numFmtId="0" fontId="51" fillId="7" borderId="70" xfId="12" applyFont="1" applyFill="1" applyBorder="1" applyAlignment="1">
      <alignment horizontal="center"/>
    </xf>
    <xf numFmtId="0" fontId="51" fillId="7" borderId="71" xfId="12" applyFont="1" applyFill="1" applyBorder="1" applyAlignment="1">
      <alignment horizontal="center"/>
    </xf>
    <xf numFmtId="0" fontId="51" fillId="7" borderId="72" xfId="12" applyFont="1" applyFill="1" applyBorder="1" applyAlignment="1">
      <alignment horizontal="center"/>
    </xf>
    <xf numFmtId="0" fontId="51" fillId="7" borderId="25" xfId="12" applyFont="1" applyFill="1" applyBorder="1" applyAlignment="1">
      <alignment horizontal="center"/>
    </xf>
    <xf numFmtId="0" fontId="51" fillId="7" borderId="26" xfId="12" applyFont="1" applyFill="1" applyBorder="1" applyAlignment="1">
      <alignment horizontal="center"/>
    </xf>
    <xf numFmtId="0" fontId="51" fillId="7" borderId="33" xfId="12" applyFont="1" applyFill="1" applyBorder="1" applyAlignment="1">
      <alignment horizontal="center"/>
    </xf>
    <xf numFmtId="0" fontId="51" fillId="10" borderId="69" xfId="12" applyFont="1" applyFill="1" applyBorder="1" applyAlignment="1">
      <alignment horizontal="center" vertical="center" wrapText="1"/>
    </xf>
    <xf numFmtId="0" fontId="51" fillId="10" borderId="33" xfId="12" applyFont="1" applyFill="1" applyBorder="1" applyAlignment="1">
      <alignment horizontal="center" vertical="center" wrapText="1"/>
    </xf>
    <xf numFmtId="0" fontId="51" fillId="7" borderId="3" xfId="12" applyFont="1" applyFill="1" applyBorder="1" applyAlignment="1">
      <alignment horizontal="center" vertical="center"/>
    </xf>
    <xf numFmtId="0" fontId="51" fillId="7" borderId="48" xfId="12" applyFont="1" applyFill="1" applyBorder="1" applyAlignment="1">
      <alignment horizontal="center" vertical="center"/>
    </xf>
    <xf numFmtId="0" fontId="51" fillId="7" borderId="39" xfId="12" applyFont="1" applyFill="1" applyBorder="1" applyAlignment="1">
      <alignment horizontal="center" vertical="center"/>
    </xf>
    <xf numFmtId="0" fontId="51" fillId="7" borderId="1" xfId="12" applyFont="1" applyFill="1" applyBorder="1" applyAlignment="1">
      <alignment horizontal="center" vertical="center"/>
    </xf>
    <xf numFmtId="10" fontId="52" fillId="0" borderId="3" xfId="9" applyNumberFormat="1" applyFont="1" applyBorder="1" applyAlignment="1">
      <alignment horizontal="center"/>
    </xf>
    <xf numFmtId="10" fontId="52" fillId="0" borderId="48" xfId="9" applyNumberFormat="1" applyFont="1" applyBorder="1" applyAlignment="1">
      <alignment horizontal="center"/>
    </xf>
    <xf numFmtId="10" fontId="52" fillId="0" borderId="39" xfId="9" applyNumberFormat="1" applyFont="1" applyBorder="1" applyAlignment="1">
      <alignment horizontal="center"/>
    </xf>
    <xf numFmtId="0" fontId="58" fillId="19" borderId="61" xfId="0" applyFont="1" applyFill="1" applyBorder="1" applyAlignment="1">
      <alignment horizontal="center" vertical="center" wrapText="1"/>
    </xf>
    <xf numFmtId="0" fontId="58" fillId="19" borderId="74" xfId="0" applyFont="1" applyFill="1" applyBorder="1" applyAlignment="1">
      <alignment horizontal="center" vertical="center" wrapText="1"/>
    </xf>
    <xf numFmtId="0" fontId="83" fillId="19" borderId="1" xfId="0" applyFont="1" applyFill="1" applyBorder="1" applyAlignment="1">
      <alignment horizontal="center" vertical="center" wrapText="1"/>
    </xf>
    <xf numFmtId="0" fontId="62" fillId="7" borderId="1" xfId="0" applyFont="1" applyFill="1" applyBorder="1" applyAlignment="1">
      <alignment horizontal="center"/>
    </xf>
    <xf numFmtId="0" fontId="102" fillId="0" borderId="0" xfId="12" applyFont="1" applyAlignment="1">
      <alignment horizontal="center" vertical="center"/>
    </xf>
    <xf numFmtId="0" fontId="102" fillId="0" borderId="28" xfId="12" applyFont="1" applyBorder="1" applyAlignment="1">
      <alignment horizontal="center" vertical="center"/>
    </xf>
    <xf numFmtId="0" fontId="0" fillId="22" borderId="18" xfId="0" applyFill="1" applyBorder="1" applyAlignment="1">
      <alignment horizontal="center" vertical="center" wrapText="1"/>
    </xf>
    <xf numFmtId="0" fontId="0" fillId="22" borderId="2" xfId="0" applyFill="1" applyBorder="1" applyAlignment="1">
      <alignment horizontal="center" vertical="center" wrapText="1"/>
    </xf>
    <xf numFmtId="0" fontId="78" fillId="0" borderId="0" xfId="0" applyFont="1" applyAlignment="1">
      <alignment horizontal="center" vertical="center"/>
    </xf>
    <xf numFmtId="0" fontId="78" fillId="0" borderId="75" xfId="0" applyFont="1" applyBorder="1" applyAlignment="1">
      <alignment horizontal="center" vertical="center"/>
    </xf>
    <xf numFmtId="0" fontId="80" fillId="0" borderId="0" xfId="22" applyFont="1" applyAlignment="1">
      <alignment horizontal="center" vertical="center" wrapText="1"/>
    </xf>
    <xf numFmtId="0" fontId="80" fillId="0" borderId="75" xfId="22" applyFont="1" applyBorder="1" applyAlignment="1">
      <alignment horizontal="center" vertical="center" wrapText="1"/>
    </xf>
    <xf numFmtId="0" fontId="80" fillId="0" borderId="77" xfId="22" applyFont="1" applyBorder="1" applyAlignment="1">
      <alignment horizontal="center" vertical="center" wrapText="1"/>
    </xf>
    <xf numFmtId="0" fontId="47" fillId="0" borderId="37" xfId="1" applyFont="1" applyFill="1" applyBorder="1" applyAlignment="1">
      <alignment horizontal="center" vertical="center" wrapText="1"/>
    </xf>
    <xf numFmtId="0" fontId="47" fillId="0" borderId="38" xfId="1" applyFont="1" applyFill="1" applyBorder="1" applyAlignment="1">
      <alignment horizontal="center" vertical="center" wrapText="1"/>
    </xf>
    <xf numFmtId="0" fontId="10" fillId="0" borderId="19" xfId="1" applyFont="1" applyFill="1" applyBorder="1" applyAlignment="1">
      <alignment horizontal="center" vertical="center" wrapText="1"/>
    </xf>
    <xf numFmtId="0" fontId="10" fillId="0" borderId="23" xfId="1" applyFont="1" applyFill="1" applyBorder="1" applyAlignment="1">
      <alignment horizontal="center" vertical="center" wrapText="1"/>
    </xf>
    <xf numFmtId="0" fontId="10" fillId="0" borderId="25" xfId="1" applyFont="1" applyFill="1" applyBorder="1" applyAlignment="1">
      <alignment horizontal="center" vertical="center" wrapText="1"/>
    </xf>
    <xf numFmtId="9" fontId="5" fillId="0" borderId="1" xfId="9" applyFont="1" applyBorder="1" applyAlignment="1">
      <alignment horizontal="center" vertical="center"/>
    </xf>
    <xf numFmtId="9" fontId="5" fillId="0" borderId="3" xfId="9" applyFont="1" applyBorder="1" applyAlignment="1">
      <alignment horizontal="center" vertical="center"/>
    </xf>
    <xf numFmtId="0" fontId="47" fillId="0" borderId="3" xfId="1" applyFont="1" applyFill="1" applyBorder="1" applyAlignment="1">
      <alignment horizontal="center" vertical="center" wrapText="1"/>
    </xf>
    <xf numFmtId="0" fontId="47" fillId="0" borderId="39" xfId="1" applyFont="1" applyFill="1" applyBorder="1" applyAlignment="1">
      <alignment horizontal="center" vertical="center" wrapText="1"/>
    </xf>
    <xf numFmtId="0" fontId="9" fillId="0" borderId="1" xfId="1" applyFont="1" applyFill="1" applyBorder="1" applyAlignment="1">
      <alignment horizontal="center" vertical="center" wrapText="1"/>
    </xf>
    <xf numFmtId="0" fontId="3" fillId="9" borderId="10" xfId="1" applyFont="1" applyFill="1" applyBorder="1" applyAlignment="1">
      <alignment horizontal="center" vertical="center"/>
    </xf>
    <xf numFmtId="0" fontId="3" fillId="9" borderId="11" xfId="1" applyFont="1" applyFill="1" applyBorder="1" applyAlignment="1">
      <alignment horizontal="center" vertical="center"/>
    </xf>
    <xf numFmtId="0" fontId="3" fillId="9" borderId="12" xfId="1" applyFont="1" applyFill="1" applyBorder="1" applyAlignment="1">
      <alignment horizontal="center" vertical="center"/>
    </xf>
    <xf numFmtId="0" fontId="3" fillId="9" borderId="10" xfId="1" applyFont="1" applyFill="1" applyBorder="1" applyAlignment="1">
      <alignment horizontal="center" vertical="center" wrapText="1"/>
    </xf>
    <xf numFmtId="0" fontId="3" fillId="9" borderId="11" xfId="1" applyFont="1" applyFill="1" applyBorder="1" applyAlignment="1">
      <alignment horizontal="center" vertical="center" wrapText="1"/>
    </xf>
    <xf numFmtId="0" fontId="3" fillId="9" borderId="12" xfId="1" applyFont="1" applyFill="1" applyBorder="1" applyAlignment="1">
      <alignment horizontal="center" vertical="center" wrapText="1"/>
    </xf>
    <xf numFmtId="0" fontId="3" fillId="9" borderId="9" xfId="1" applyFont="1" applyFill="1" applyBorder="1" applyAlignment="1">
      <alignment horizontal="center" vertical="center" wrapText="1"/>
    </xf>
    <xf numFmtId="0" fontId="3" fillId="9" borderId="13" xfId="1" applyFont="1" applyFill="1" applyBorder="1" applyAlignment="1">
      <alignment horizontal="center" vertical="center" wrapText="1"/>
    </xf>
    <xf numFmtId="0" fontId="20" fillId="0" borderId="9" xfId="1" applyFont="1" applyFill="1" applyBorder="1" applyAlignment="1">
      <alignment horizontal="center" vertical="center" wrapText="1"/>
    </xf>
    <xf numFmtId="0" fontId="20" fillId="0" borderId="13" xfId="1" applyFont="1" applyFill="1" applyBorder="1" applyAlignment="1">
      <alignment horizontal="center" vertical="center" wrapText="1"/>
    </xf>
    <xf numFmtId="0" fontId="24" fillId="9" borderId="7" xfId="1" applyFont="1" applyFill="1" applyBorder="1" applyAlignment="1">
      <alignment horizontal="center" vertical="center"/>
    </xf>
    <xf numFmtId="0" fontId="24" fillId="9" borderId="8" xfId="1" applyFont="1" applyFill="1" applyBorder="1" applyAlignment="1">
      <alignment horizontal="center" vertical="center"/>
    </xf>
    <xf numFmtId="0" fontId="28" fillId="8" borderId="9" xfId="1" applyFont="1" applyFill="1" applyBorder="1" applyAlignment="1">
      <alignment horizontal="center" vertical="center" wrapText="1"/>
    </xf>
    <xf numFmtId="0" fontId="28" fillId="8" borderId="13" xfId="1" applyFont="1" applyFill="1" applyBorder="1" applyAlignment="1">
      <alignment horizontal="center" vertical="center" wrapText="1"/>
    </xf>
    <xf numFmtId="0" fontId="24" fillId="9" borderId="10" xfId="1" applyFont="1" applyFill="1" applyBorder="1" applyAlignment="1">
      <alignment horizontal="center" vertical="center" wrapText="1"/>
    </xf>
    <xf numFmtId="0" fontId="24" fillId="9" borderId="11" xfId="1" applyFont="1" applyFill="1" applyBorder="1" applyAlignment="1">
      <alignment horizontal="center" vertical="center" wrapText="1"/>
    </xf>
    <xf numFmtId="0" fontId="24" fillId="9" borderId="12" xfId="1" applyFont="1" applyFill="1" applyBorder="1" applyAlignment="1">
      <alignment horizontal="center" vertical="center" wrapText="1"/>
    </xf>
    <xf numFmtId="0" fontId="24" fillId="9" borderId="10" xfId="1" applyFont="1" applyFill="1" applyBorder="1" applyAlignment="1">
      <alignment horizontal="center" vertical="center"/>
    </xf>
    <xf numFmtId="0" fontId="24" fillId="9" borderId="11" xfId="1" applyFont="1" applyFill="1" applyBorder="1" applyAlignment="1">
      <alignment horizontal="center" vertical="center"/>
    </xf>
    <xf numFmtId="0" fontId="24" fillId="9" borderId="12" xfId="1" applyFont="1" applyFill="1" applyBorder="1" applyAlignment="1">
      <alignment horizontal="center" vertical="center"/>
    </xf>
    <xf numFmtId="0" fontId="29" fillId="0" borderId="9" xfId="1" applyFont="1" applyFill="1" applyBorder="1" applyAlignment="1">
      <alignment horizontal="center" vertical="center" wrapText="1"/>
    </xf>
    <xf numFmtId="0" fontId="29" fillId="0" borderId="13" xfId="1" applyFont="1" applyFill="1" applyBorder="1" applyAlignment="1">
      <alignment horizontal="center" vertical="center" wrapText="1"/>
    </xf>
    <xf numFmtId="0" fontId="71" fillId="0" borderId="3" xfId="0" applyFont="1" applyBorder="1" applyAlignment="1">
      <alignment horizontal="center" vertical="center"/>
    </xf>
    <xf numFmtId="0" fontId="71" fillId="0" borderId="48" xfId="0" applyFont="1" applyBorder="1" applyAlignment="1">
      <alignment horizontal="center" vertical="center"/>
    </xf>
    <xf numFmtId="0" fontId="71" fillId="0" borderId="39" xfId="0" applyFont="1" applyBorder="1" applyAlignment="1">
      <alignment horizontal="center" vertical="center"/>
    </xf>
    <xf numFmtId="0" fontId="69" fillId="20" borderId="3" xfId="0" applyFont="1" applyFill="1" applyBorder="1" applyAlignment="1">
      <alignment horizontal="center" vertical="center"/>
    </xf>
    <xf numFmtId="0" fontId="69" fillId="20" borderId="48" xfId="0" applyFont="1" applyFill="1" applyBorder="1" applyAlignment="1">
      <alignment horizontal="center" vertical="center"/>
    </xf>
    <xf numFmtId="0" fontId="69" fillId="20" borderId="39" xfId="0" applyFont="1" applyFill="1" applyBorder="1" applyAlignment="1">
      <alignment horizontal="center" vertical="center"/>
    </xf>
    <xf numFmtId="0" fontId="17" fillId="9" borderId="10" xfId="2" applyFont="1" applyFill="1" applyBorder="1" applyAlignment="1">
      <alignment horizontal="center" vertical="center" wrapText="1"/>
    </xf>
    <xf numFmtId="0" fontId="17" fillId="9" borderId="12" xfId="2" applyFont="1" applyFill="1" applyBorder="1" applyAlignment="1">
      <alignment horizontal="center" vertical="center" wrapText="1"/>
    </xf>
    <xf numFmtId="0" fontId="6" fillId="0" borderId="16" xfId="2" applyFont="1" applyFill="1" applyBorder="1" applyAlignment="1">
      <alignment horizontal="center" vertical="center"/>
    </xf>
    <xf numFmtId="0" fontId="6" fillId="0" borderId="15" xfId="2" applyFont="1" applyFill="1" applyBorder="1" applyAlignment="1">
      <alignment horizontal="center" vertical="center"/>
    </xf>
    <xf numFmtId="0" fontId="17" fillId="9" borderId="10" xfId="2" applyFont="1" applyFill="1" applyBorder="1" applyAlignment="1">
      <alignment horizontal="center" vertical="center"/>
    </xf>
    <xf numFmtId="0" fontId="17" fillId="9" borderId="11" xfId="2" applyFont="1" applyFill="1" applyBorder="1" applyAlignment="1">
      <alignment horizontal="center" vertical="center"/>
    </xf>
    <xf numFmtId="0" fontId="17" fillId="9" borderId="12" xfId="2" applyFont="1" applyFill="1" applyBorder="1" applyAlignment="1">
      <alignment horizontal="center" vertical="center"/>
    </xf>
    <xf numFmtId="0" fontId="2" fillId="0" borderId="10" xfId="1" applyFont="1" applyFill="1" applyBorder="1" applyAlignment="1">
      <alignment horizontal="left" vertical="center"/>
    </xf>
    <xf numFmtId="0" fontId="2" fillId="0" borderId="11" xfId="1" applyFont="1" applyFill="1" applyBorder="1" applyAlignment="1">
      <alignment horizontal="left" vertical="center"/>
    </xf>
    <xf numFmtId="0" fontId="2" fillId="0" borderId="12" xfId="1" applyFont="1" applyFill="1" applyBorder="1" applyAlignment="1">
      <alignment horizontal="left" vertical="center"/>
    </xf>
    <xf numFmtId="0" fontId="37" fillId="3" borderId="10" xfId="7" applyFont="1" applyFill="1" applyBorder="1" applyAlignment="1">
      <alignment horizontal="center" vertical="center" wrapText="1"/>
    </xf>
    <xf numFmtId="0" fontId="37" fillId="3" borderId="12" xfId="7" applyFont="1" applyFill="1" applyBorder="1" applyAlignment="1">
      <alignment horizontal="center" vertical="center" wrapText="1"/>
    </xf>
    <xf numFmtId="0" fontId="37" fillId="3" borderId="11" xfId="7" applyFont="1" applyFill="1" applyBorder="1" applyAlignment="1">
      <alignment horizontal="center" vertical="center"/>
    </xf>
    <xf numFmtId="0" fontId="37" fillId="3" borderId="12" xfId="7" applyFont="1" applyFill="1" applyBorder="1" applyAlignment="1">
      <alignment horizontal="center" vertical="center"/>
    </xf>
    <xf numFmtId="0" fontId="37" fillId="3" borderId="8" xfId="7" applyFont="1" applyFill="1" applyBorder="1" applyAlignment="1">
      <alignment horizontal="center" vertical="center"/>
    </xf>
    <xf numFmtId="0" fontId="37" fillId="3" borderId="11" xfId="7" applyFont="1" applyFill="1" applyBorder="1" applyAlignment="1">
      <alignment horizontal="center" vertical="center" wrapText="1"/>
    </xf>
    <xf numFmtId="0" fontId="14" fillId="0" borderId="14" xfId="7" applyFont="1" applyFill="1" applyBorder="1" applyAlignment="1">
      <alignment horizontal="center" vertical="center" wrapText="1"/>
    </xf>
    <xf numFmtId="0" fontId="14" fillId="0" borderId="13" xfId="7" applyFont="1" applyFill="1" applyBorder="1" applyAlignment="1">
      <alignment horizontal="center" vertical="center" wrapText="1"/>
    </xf>
    <xf numFmtId="0" fontId="14" fillId="0" borderId="9" xfId="7" applyFont="1" applyFill="1" applyBorder="1" applyAlignment="1">
      <alignment horizontal="center" vertical="center" wrapText="1"/>
    </xf>
    <xf numFmtId="166" fontId="37" fillId="3" borderId="13" xfId="5" applyFont="1" applyFill="1" applyBorder="1" applyAlignment="1" applyProtection="1">
      <alignment horizontal="center" vertical="center" wrapText="1"/>
    </xf>
    <xf numFmtId="166" fontId="37" fillId="3" borderId="6" xfId="5" applyFont="1" applyFill="1" applyBorder="1" applyAlignment="1" applyProtection="1">
      <alignment horizontal="center" vertical="center" wrapText="1"/>
    </xf>
    <xf numFmtId="0" fontId="37" fillId="3" borderId="7" xfId="7" applyFont="1" applyFill="1" applyBorder="1" applyAlignment="1">
      <alignment horizontal="center" vertical="center"/>
    </xf>
    <xf numFmtId="2" fontId="94" fillId="0" borderId="0" xfId="6" applyNumberFormat="1" applyFont="1" applyFill="1" applyBorder="1" applyAlignment="1">
      <alignment horizontal="center" vertical="center"/>
    </xf>
  </cellXfs>
  <cellStyles count="23">
    <cellStyle name="Hipervínculo" xfId="11" builtinId="8"/>
    <cellStyle name="Millares" xfId="13" builtinId="3"/>
    <cellStyle name="Millares 2" xfId="20" xr:uid="{00000000-0005-0000-0000-000002000000}"/>
    <cellStyle name="Millares 3" xfId="21" xr:uid="{00000000-0005-0000-0000-000003000000}"/>
    <cellStyle name="Moneda" xfId="3" builtinId="4"/>
    <cellStyle name="Moneda 2" xfId="10" xr:uid="{00000000-0005-0000-0000-000005000000}"/>
    <cellStyle name="Normal" xfId="0" builtinId="0"/>
    <cellStyle name="Normal 100" xfId="1" xr:uid="{00000000-0005-0000-0000-000007000000}"/>
    <cellStyle name="Normal 12" xfId="19" xr:uid="{00000000-0005-0000-0000-000008000000}"/>
    <cellStyle name="Normal 14 2" xfId="7" xr:uid="{00000000-0005-0000-0000-000009000000}"/>
    <cellStyle name="Normal 2" xfId="4" xr:uid="{00000000-0005-0000-0000-00000A000000}"/>
    <cellStyle name="Normal 2 2 3" xfId="2" xr:uid="{00000000-0005-0000-0000-00000B000000}"/>
    <cellStyle name="Normal 249" xfId="15" xr:uid="{00000000-0005-0000-0000-00000C000000}"/>
    <cellStyle name="Normal 256 2" xfId="8" xr:uid="{00000000-0005-0000-0000-00000D000000}"/>
    <cellStyle name="Normal 3" xfId="12" xr:uid="{00000000-0005-0000-0000-00000E000000}"/>
    <cellStyle name="Normal 3 2" xfId="22" xr:uid="{00000000-0005-0000-0000-00000F000000}"/>
    <cellStyle name="Normal 4" xfId="14" xr:uid="{00000000-0005-0000-0000-000010000000}"/>
    <cellStyle name="Normal 4 5" xfId="16" xr:uid="{00000000-0005-0000-0000-000011000000}"/>
    <cellStyle name="Normal_Modelo estructura de costos_A" xfId="5" xr:uid="{00000000-0005-0000-0000-000012000000}"/>
    <cellStyle name="Porcentaje" xfId="9" builtinId="5"/>
    <cellStyle name="Porcentaje 2" xfId="6" xr:uid="{00000000-0005-0000-0000-000014000000}"/>
    <cellStyle name="Porcentaje 3 2" xfId="18" xr:uid="{00000000-0005-0000-0000-000015000000}"/>
    <cellStyle name="Porcentaje 4" xfId="17" xr:uid="{00000000-0005-0000-0000-00001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6.xml"/><Relationship Id="rId47" Type="http://schemas.openxmlformats.org/officeDocument/2006/relationships/externalLink" Target="externalLinks/externalLink21.xml"/><Relationship Id="rId63" Type="http://schemas.openxmlformats.org/officeDocument/2006/relationships/externalLink" Target="externalLinks/externalLink37.xml"/><Relationship Id="rId68" Type="http://schemas.openxmlformats.org/officeDocument/2006/relationships/externalLink" Target="externalLinks/externalLink42.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externalLink" Target="externalLinks/externalLink6.xml"/><Relationship Id="rId37" Type="http://schemas.openxmlformats.org/officeDocument/2006/relationships/externalLink" Target="externalLinks/externalLink11.xml"/><Relationship Id="rId53" Type="http://schemas.openxmlformats.org/officeDocument/2006/relationships/externalLink" Target="externalLinks/externalLink27.xml"/><Relationship Id="rId58" Type="http://schemas.openxmlformats.org/officeDocument/2006/relationships/externalLink" Target="externalLinks/externalLink32.xml"/><Relationship Id="rId74" Type="http://schemas.openxmlformats.org/officeDocument/2006/relationships/externalLink" Target="externalLinks/externalLink48.xml"/><Relationship Id="rId79"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externalLink" Target="externalLinks/externalLink35.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externalLink" Target="externalLinks/externalLink4.xml"/><Relationship Id="rId35" Type="http://schemas.openxmlformats.org/officeDocument/2006/relationships/externalLink" Target="externalLinks/externalLink9.xml"/><Relationship Id="rId43" Type="http://schemas.openxmlformats.org/officeDocument/2006/relationships/externalLink" Target="externalLinks/externalLink17.xml"/><Relationship Id="rId48" Type="http://schemas.openxmlformats.org/officeDocument/2006/relationships/externalLink" Target="externalLinks/externalLink22.xml"/><Relationship Id="rId56" Type="http://schemas.openxmlformats.org/officeDocument/2006/relationships/externalLink" Target="externalLinks/externalLink30.xml"/><Relationship Id="rId64" Type="http://schemas.openxmlformats.org/officeDocument/2006/relationships/externalLink" Target="externalLinks/externalLink38.xml"/><Relationship Id="rId69" Type="http://schemas.openxmlformats.org/officeDocument/2006/relationships/externalLink" Target="externalLinks/externalLink43.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externalLink" Target="externalLinks/externalLink25.xml"/><Relationship Id="rId72" Type="http://schemas.openxmlformats.org/officeDocument/2006/relationships/externalLink" Target="externalLinks/externalLink46.xml"/><Relationship Id="rId80"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7.xml"/><Relationship Id="rId38" Type="http://schemas.openxmlformats.org/officeDocument/2006/relationships/externalLink" Target="externalLinks/externalLink12.xml"/><Relationship Id="rId46" Type="http://schemas.openxmlformats.org/officeDocument/2006/relationships/externalLink" Target="externalLinks/externalLink20.xml"/><Relationship Id="rId59" Type="http://schemas.openxmlformats.org/officeDocument/2006/relationships/externalLink" Target="externalLinks/externalLink33.xml"/><Relationship Id="rId67" Type="http://schemas.openxmlformats.org/officeDocument/2006/relationships/externalLink" Target="externalLinks/externalLink41.xml"/><Relationship Id="rId20" Type="http://schemas.openxmlformats.org/officeDocument/2006/relationships/worksheet" Target="worksheets/sheet20.xml"/><Relationship Id="rId41" Type="http://schemas.openxmlformats.org/officeDocument/2006/relationships/externalLink" Target="externalLinks/externalLink15.xml"/><Relationship Id="rId54" Type="http://schemas.openxmlformats.org/officeDocument/2006/relationships/externalLink" Target="externalLinks/externalLink28.xml"/><Relationship Id="rId62" Type="http://schemas.openxmlformats.org/officeDocument/2006/relationships/externalLink" Target="externalLinks/externalLink36.xml"/><Relationship Id="rId70" Type="http://schemas.openxmlformats.org/officeDocument/2006/relationships/externalLink" Target="externalLinks/externalLink44.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openxmlformats.org/officeDocument/2006/relationships/externalLink" Target="externalLinks/externalLink10.xml"/><Relationship Id="rId49" Type="http://schemas.openxmlformats.org/officeDocument/2006/relationships/externalLink" Target="externalLinks/externalLink23.xml"/><Relationship Id="rId57" Type="http://schemas.openxmlformats.org/officeDocument/2006/relationships/externalLink" Target="externalLinks/externalLink31.xml"/><Relationship Id="rId10" Type="http://schemas.openxmlformats.org/officeDocument/2006/relationships/worksheet" Target="worksheets/sheet10.xml"/><Relationship Id="rId31" Type="http://schemas.openxmlformats.org/officeDocument/2006/relationships/externalLink" Target="externalLinks/externalLink5.xml"/><Relationship Id="rId44" Type="http://schemas.openxmlformats.org/officeDocument/2006/relationships/externalLink" Target="externalLinks/externalLink18.xml"/><Relationship Id="rId52" Type="http://schemas.openxmlformats.org/officeDocument/2006/relationships/externalLink" Target="externalLinks/externalLink26.xml"/><Relationship Id="rId60" Type="http://schemas.openxmlformats.org/officeDocument/2006/relationships/externalLink" Target="externalLinks/externalLink34.xml"/><Relationship Id="rId65" Type="http://schemas.openxmlformats.org/officeDocument/2006/relationships/externalLink" Target="externalLinks/externalLink39.xml"/><Relationship Id="rId73" Type="http://schemas.openxmlformats.org/officeDocument/2006/relationships/externalLink" Target="externalLinks/externalLink47.xml"/><Relationship Id="rId78" Type="http://schemas.openxmlformats.org/officeDocument/2006/relationships/calcChain" Target="calcChain.xml"/><Relationship Id="rId8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3.xml"/><Relationship Id="rId34" Type="http://schemas.openxmlformats.org/officeDocument/2006/relationships/externalLink" Target="externalLinks/externalLink8.xml"/><Relationship Id="rId50" Type="http://schemas.openxmlformats.org/officeDocument/2006/relationships/externalLink" Target="externalLinks/externalLink24.xml"/><Relationship Id="rId55" Type="http://schemas.openxmlformats.org/officeDocument/2006/relationships/externalLink" Target="externalLinks/externalLink29.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externalLink" Target="externalLinks/externalLink45.xml"/><Relationship Id="rId2" Type="http://schemas.openxmlformats.org/officeDocument/2006/relationships/worksheet" Target="worksheets/sheet2.xml"/><Relationship Id="rId29" Type="http://schemas.openxmlformats.org/officeDocument/2006/relationships/externalLink" Target="externalLinks/externalLink3.xml"/><Relationship Id="rId24" Type="http://schemas.openxmlformats.org/officeDocument/2006/relationships/worksheet" Target="worksheets/sheet24.xml"/><Relationship Id="rId40" Type="http://schemas.openxmlformats.org/officeDocument/2006/relationships/externalLink" Target="externalLinks/externalLink14.xml"/><Relationship Id="rId45" Type="http://schemas.openxmlformats.org/officeDocument/2006/relationships/externalLink" Target="externalLinks/externalLink19.xml"/><Relationship Id="rId66" Type="http://schemas.openxmlformats.org/officeDocument/2006/relationships/externalLink" Target="externalLinks/externalLink40.xml"/></Relationships>
</file>

<file path=xl/ctrlProps/ctrlProp1.xml><?xml version="1.0" encoding="utf-8"?>
<formControlPr xmlns="http://schemas.microsoft.com/office/spreadsheetml/2009/9/main" objectType="Spin" dx="22" fmlaLink="$AJ$2" max="2" min="1" page="10" val="2"/>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 Id="rId9" Type="http://schemas.openxmlformats.org/officeDocument/2006/relationships/image" Target="../media/image1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 Id="rId5" Type="http://schemas.openxmlformats.org/officeDocument/2006/relationships/image" Target="../media/image17.png"/><Relationship Id="rId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png"/><Relationship Id="rId1" Type="http://schemas.openxmlformats.org/officeDocument/2006/relationships/image" Target="../media/image20.png"/><Relationship Id="rId4" Type="http://schemas.openxmlformats.org/officeDocument/2006/relationships/image" Target="../media/image2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895350</xdr:colOff>
          <xdr:row>1</xdr:row>
          <xdr:rowOff>9525</xdr:rowOff>
        </xdr:from>
        <xdr:to>
          <xdr:col>6</xdr:col>
          <xdr:colOff>1285875</xdr:colOff>
          <xdr:row>2</xdr:row>
          <xdr:rowOff>333375</xdr:rowOff>
        </xdr:to>
        <xdr:sp macro="" textlink="">
          <xdr:nvSpPr>
            <xdr:cNvPr id="17409" name="Control de número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295275</xdr:colOff>
          <xdr:row>19</xdr:row>
          <xdr:rowOff>152400</xdr:rowOff>
        </xdr:from>
        <xdr:to>
          <xdr:col>8</xdr:col>
          <xdr:colOff>1143000</xdr:colOff>
          <xdr:row>22</xdr:row>
          <xdr:rowOff>95250</xdr:rowOff>
        </xdr:to>
        <xdr:sp macro="" textlink="">
          <xdr:nvSpPr>
            <xdr:cNvPr id="17421" name="Button 13" hidden="1">
              <a:extLst>
                <a:ext uri="{63B3BB69-23CF-44E3-9099-C40C66FF867C}">
                  <a14:compatExt spid="_x0000_s17421"/>
                </a:ext>
                <a:ext uri="{FF2B5EF4-FFF2-40B4-BE49-F238E27FC236}">
                  <a16:creationId xmlns:a16="http://schemas.microsoft.com/office/drawing/2014/main" id="{00000000-0008-0000-0000-00000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Completar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476250</xdr:colOff>
      <xdr:row>2</xdr:row>
      <xdr:rowOff>19050</xdr:rowOff>
    </xdr:from>
    <xdr:to>
      <xdr:col>12</xdr:col>
      <xdr:colOff>76782</xdr:colOff>
      <xdr:row>22</xdr:row>
      <xdr:rowOff>67293</xdr:rowOff>
    </xdr:to>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124950" y="400050"/>
          <a:ext cx="4172532" cy="442974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1371599</xdr:colOff>
      <xdr:row>2</xdr:row>
      <xdr:rowOff>77933</xdr:rowOff>
    </xdr:from>
    <xdr:ext cx="5010151" cy="322117"/>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500-000019000000}"/>
                </a:ext>
              </a:extLst>
            </xdr:cNvPr>
            <xdr:cNvSpPr txBox="1"/>
          </xdr:nvSpPr>
          <xdr:spPr>
            <a:xfrm>
              <a:off x="1571624" y="506558"/>
              <a:ext cx="5010151" cy="322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AR" sz="1200" b="1">
                  <a:solidFill>
                    <a:schemeClr val="tx1"/>
                  </a:solidFill>
                  <a:effectLst/>
                  <a:ea typeface="+mn-ea"/>
                  <a:cs typeface="+mn-cs"/>
                </a:rPr>
                <a:t> </a:t>
              </a:r>
              <a14:m>
                <m:oMath xmlns:m="http://schemas.openxmlformats.org/officeDocument/2006/math">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𝑻𝑺</m:t>
                      </m:r>
                    </m:e>
                    <m:sub>
                      <m:r>
                        <a:rPr lang="es-AR" sz="1200" b="1" i="1">
                          <a:solidFill>
                            <a:schemeClr val="tx1"/>
                          </a:solidFill>
                          <a:effectLst/>
                          <a:latin typeface="Cambria Math" panose="02040503050406030204" pitchFamily="18" charset="0"/>
                          <a:ea typeface="+mn-ea"/>
                          <a:cs typeface="+mn-cs"/>
                        </a:rPr>
                        <m:t>𝒏</m:t>
                      </m:r>
                    </m:sub>
                  </m:sSub>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𝑻𝑺𝑶</m:t>
                  </m:r>
                  <m:r>
                    <a:rPr lang="es-AR" sz="1200" b="1" i="1">
                      <a:solidFill>
                        <a:schemeClr val="tx1"/>
                      </a:solidFill>
                      <a:effectLst/>
                      <a:latin typeface="Cambria Math" panose="02040503050406030204" pitchFamily="18" charset="0"/>
                      <a:ea typeface="+mn-ea"/>
                      <a:cs typeface="+mn-cs"/>
                    </a:rPr>
                    <m:t> × (</m:t>
                  </m:r>
                  <m:r>
                    <a:rPr lang="es-AR" sz="1200" b="1" i="1">
                      <a:solidFill>
                        <a:schemeClr val="tx1"/>
                      </a:solidFill>
                      <a:effectLst/>
                      <a:latin typeface="Cambria Math" panose="02040503050406030204" pitchFamily="18" charset="0"/>
                      <a:ea typeface="+mn-ea"/>
                      <a:cs typeface="+mn-cs"/>
                    </a:rPr>
                    <m:t>𝑰𝑴𝑶</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𝑴𝑶</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𝑴𝑶</m:t>
                          </m:r>
                        </m:e>
                        <m:sub>
                          <m:r>
                            <a:rPr lang="es-AR" sz="1200" b="1" i="1">
                              <a:solidFill>
                                <a:schemeClr val="tx1"/>
                              </a:solidFill>
                              <a:effectLst/>
                              <a:latin typeface="Cambria Math" panose="02040503050406030204" pitchFamily="18" charset="0"/>
                              <a:ea typeface="+mn-ea"/>
                              <a:cs typeface="+mn-cs"/>
                            </a:rPr>
                            <m:t>𝒐</m:t>
                          </m:r>
                        </m:sub>
                      </m:sSub>
                    </m:den>
                  </m:f>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𝑰𝑽</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𝑽</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𝑽</m:t>
                          </m:r>
                        </m:e>
                        <m:sub>
                          <m:r>
                            <a:rPr lang="es-AR" sz="1200" b="1" i="1">
                              <a:solidFill>
                                <a:schemeClr val="tx1"/>
                              </a:solidFill>
                              <a:effectLst/>
                              <a:latin typeface="Cambria Math" panose="02040503050406030204" pitchFamily="18" charset="0"/>
                              <a:ea typeface="+mn-ea"/>
                              <a:cs typeface="+mn-cs"/>
                            </a:rPr>
                            <m:t>𝒐</m:t>
                          </m:r>
                        </m:sub>
                      </m:sSub>
                    </m:den>
                  </m:f>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𝑰𝑮𝑶</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𝑮𝑶</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𝑮𝑶</m:t>
                          </m:r>
                        </m:e>
                        <m:sub>
                          <m:r>
                            <a:rPr lang="es-AR" sz="1200" b="1" i="1">
                              <a:solidFill>
                                <a:schemeClr val="tx1"/>
                              </a:solidFill>
                              <a:effectLst/>
                              <a:latin typeface="Cambria Math" panose="02040503050406030204" pitchFamily="18" charset="0"/>
                              <a:ea typeface="+mn-ea"/>
                              <a:cs typeface="+mn-cs"/>
                            </a:rPr>
                            <m:t>𝒐</m:t>
                          </m:r>
                        </m:sub>
                      </m:sSub>
                    </m:den>
                  </m:f>
                  <m:r>
                    <m:rPr>
                      <m:nor/>
                    </m:rPr>
                    <a:rPr lang="es-AR" sz="1200" b="1">
                      <a:solidFill>
                        <a:schemeClr val="tx1"/>
                      </a:solidFill>
                      <a:effectLst/>
                      <a:latin typeface="+mn-lt"/>
                      <a:ea typeface="+mn-ea"/>
                      <a:cs typeface="+mn-cs"/>
                    </a:rPr>
                    <m:t> </m:t>
                  </m:r>
                  <m:r>
                    <a:rPr lang="es-AR" sz="1200" b="1" i="1">
                      <a:solidFill>
                        <a:schemeClr val="tx1"/>
                      </a:solidFill>
                      <a:effectLst/>
                      <a:latin typeface="Cambria Math" panose="02040503050406030204" pitchFamily="18" charset="0"/>
                      <a:ea typeface="+mn-ea"/>
                      <a:cs typeface="+mn-cs"/>
                    </a:rPr>
                    <m:t>+ </m:t>
                  </m:r>
                  <m:r>
                    <a:rPr lang="es-AR" sz="1200" b="1" i="1">
                      <a:solidFill>
                        <a:schemeClr val="tx1"/>
                      </a:solidFill>
                      <a:effectLst/>
                      <a:latin typeface="Cambria Math" panose="02040503050406030204" pitchFamily="18" charset="0"/>
                      <a:ea typeface="+mn-ea"/>
                      <a:cs typeface="+mn-cs"/>
                    </a:rPr>
                    <m:t>𝑰𝑰𝑷𝑰𝑴</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𝑰𝑷𝑰𝑴</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𝑰𝑷𝑰𝑴</m:t>
                          </m:r>
                        </m:e>
                        <m:sub>
                          <m:r>
                            <a:rPr lang="es-AR" sz="1200" b="1" i="1">
                              <a:solidFill>
                                <a:schemeClr val="tx1"/>
                              </a:solidFill>
                              <a:effectLst/>
                              <a:latin typeface="Cambria Math" panose="02040503050406030204" pitchFamily="18" charset="0"/>
                              <a:ea typeface="+mn-ea"/>
                              <a:cs typeface="+mn-cs"/>
                            </a:rPr>
                            <m:t>𝒐</m:t>
                          </m:r>
                        </m:sub>
                      </m:sSub>
                    </m:den>
                  </m:f>
                </m:oMath>
              </a14:m>
              <a:r>
                <a:rPr lang="es-AR" sz="1200" b="1">
                  <a:solidFill>
                    <a:schemeClr val="tx1"/>
                  </a:solidFill>
                  <a:effectLst/>
                  <a:latin typeface="+mn-lt"/>
                  <a:ea typeface="+mn-ea"/>
                  <a:cs typeface="+mn-cs"/>
                </a:rPr>
                <a:t> )</a:t>
              </a:r>
            </a:p>
          </xdr:txBody>
        </xdr:sp>
      </mc:Choice>
      <mc:Fallback xmlns="">
        <xdr:sp macro="" textlink="">
          <xdr:nvSpPr>
            <xdr:cNvPr id="25" name="CuadroTexto 24">
              <a:extLst>
                <a:ext uri="{FF2B5EF4-FFF2-40B4-BE49-F238E27FC236}">
                  <a16:creationId xmlns:a16="http://schemas.microsoft.com/office/drawing/2014/main" id="{00000000-0008-0000-0300-000019000000}"/>
                </a:ext>
              </a:extLst>
            </xdr:cNvPr>
            <xdr:cNvSpPr txBox="1"/>
          </xdr:nvSpPr>
          <xdr:spPr>
            <a:xfrm>
              <a:off x="1571624" y="506558"/>
              <a:ext cx="5010151" cy="322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AR" sz="1200" b="1">
                  <a:solidFill>
                    <a:schemeClr val="tx1"/>
                  </a:solidFill>
                  <a:effectLst/>
                  <a:ea typeface="+mn-ea"/>
                  <a:cs typeface="+mn-cs"/>
                </a:rPr>
                <a:t> </a:t>
              </a:r>
              <a:r>
                <a:rPr lang="es-AR" sz="1200" b="1" i="0">
                  <a:solidFill>
                    <a:schemeClr val="tx1"/>
                  </a:solidFill>
                  <a:effectLst/>
                  <a:latin typeface="Cambria Math" panose="02040503050406030204" pitchFamily="18" charset="0"/>
                  <a:ea typeface="+mn-ea"/>
                  <a:cs typeface="+mn-cs"/>
                </a:rPr>
                <a:t>〖𝑻𝑺〗_𝒏=𝑻𝑺</a:t>
              </a:r>
              <a:r>
                <a:rPr lang="es-AR" sz="1200" b="1" i="0" baseline="-25000">
                  <a:solidFill>
                    <a:schemeClr val="tx1"/>
                  </a:solidFill>
                  <a:effectLst/>
                  <a:latin typeface="Cambria Math" panose="02040503050406030204" pitchFamily="18" charset="0"/>
                  <a:ea typeface="+mn-ea"/>
                  <a:cs typeface="+mn-cs"/>
                </a:rPr>
                <a:t>𝑶</a:t>
              </a:r>
              <a:r>
                <a:rPr lang="es-AR" sz="1200" b="1" i="0">
                  <a:solidFill>
                    <a:schemeClr val="tx1"/>
                  </a:solidFill>
                  <a:effectLst/>
                  <a:latin typeface="Cambria Math" panose="02040503050406030204" pitchFamily="18" charset="0"/>
                  <a:ea typeface="+mn-ea"/>
                  <a:cs typeface="+mn-cs"/>
                </a:rPr>
                <a:t> × (𝑰𝑴𝑶×〖𝑴𝑶〗_𝒏/〖𝑴𝑶〗_𝒐 +𝑰𝑽×𝑽_𝒏/𝑽_𝒐 +𝑰𝑮𝑶×〖𝑮𝑶〗_𝒏/〖𝑮𝑶〗_𝒐 </a:t>
              </a:r>
              <a:r>
                <a:rPr lang="es-AR" sz="1200" b="1" i="0">
                  <a:solidFill>
                    <a:schemeClr val="tx1"/>
                  </a:solidFill>
                  <a:effectLst/>
                  <a:latin typeface="+mn-lt"/>
                  <a:ea typeface="+mn-ea"/>
                  <a:cs typeface="+mn-cs"/>
                </a:rPr>
                <a:t> </a:t>
              </a:r>
              <a:r>
                <a:rPr lang="es-AR" sz="1200" b="1" i="0">
                  <a:solidFill>
                    <a:schemeClr val="tx1"/>
                  </a:solidFill>
                  <a:effectLst/>
                  <a:latin typeface="Cambria Math" panose="02040503050406030204" pitchFamily="18" charset="0"/>
                  <a:ea typeface="+mn-ea"/>
                  <a:cs typeface="+mn-cs"/>
                </a:rPr>
                <a:t>" "+ 𝑰𝑰𝑷𝑰𝑴×〖𝑰𝑷𝑰𝑴〗_𝒏/〖𝑰𝑷𝑰𝑴〗_𝒐 </a:t>
              </a:r>
              <a:r>
                <a:rPr lang="es-AR" sz="1200" b="1">
                  <a:solidFill>
                    <a:schemeClr val="tx1"/>
                  </a:solidFill>
                  <a:effectLst/>
                  <a:latin typeface="+mn-lt"/>
                  <a:ea typeface="+mn-ea"/>
                  <a:cs typeface="+mn-cs"/>
                </a:rPr>
                <a:t> )</a:t>
              </a:r>
            </a:p>
          </xdr:txBody>
        </xdr:sp>
      </mc:Fallback>
    </mc:AlternateContent>
    <xdr:clientData/>
  </xdr:oneCellAnchor>
  <xdr:oneCellAnchor>
    <xdr:from>
      <xdr:col>1</xdr:col>
      <xdr:colOff>585571</xdr:colOff>
      <xdr:row>20</xdr:row>
      <xdr:rowOff>154781</xdr:rowOff>
    </xdr:from>
    <xdr:ext cx="6108123" cy="459440"/>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787977" y="7108031"/>
              <a:ext cx="6108123" cy="459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AR" sz="1600" b="1" i="0">
                  <a:solidFill>
                    <a:schemeClr val="tx1"/>
                  </a:solidFill>
                  <a:effectLst/>
                  <a:latin typeface="Cambria Math" panose="02040503050406030204" pitchFamily="18" charset="0"/>
                  <a:ea typeface="+mn-ea"/>
                  <a:cs typeface="+mn-cs"/>
                </a:rPr>
                <a:t>TPQ</a:t>
              </a:r>
              <a:r>
                <a:rPr lang="es-AR" sz="1600" b="1" i="0" baseline="-25000">
                  <a:solidFill>
                    <a:schemeClr val="tx1"/>
                  </a:solidFill>
                  <a:effectLst/>
                  <a:latin typeface="Cambria Math" panose="02040503050406030204" pitchFamily="18" charset="0"/>
                  <a:ea typeface="+mn-ea"/>
                  <a:cs typeface="+mn-cs"/>
                </a:rPr>
                <a:t>n</a:t>
              </a:r>
              <a:r>
                <a:rPr lang="es-AR" sz="1400" b="1" i="0" baseline="0">
                  <a:solidFill>
                    <a:schemeClr val="tx1"/>
                  </a:solidFill>
                  <a:effectLst/>
                  <a:latin typeface="Arial Unicode MS" panose="020B0604020202020204" pitchFamily="34" charset="-128"/>
                  <a:ea typeface="Arial Unicode MS" panose="020B0604020202020204" pitchFamily="34" charset="-128"/>
                  <a:cs typeface="Arial Unicode MS" panose="020B0604020202020204" pitchFamily="34" charset="-128"/>
                </a:rPr>
                <a:t> </a:t>
              </a:r>
              <a14:m>
                <m:oMath xmlns:m="http://schemas.openxmlformats.org/officeDocument/2006/math">
                  <m:r>
                    <a:rPr lang="es-AR" sz="1600" b="1" i="1">
                      <a:solidFill>
                        <a:schemeClr val="tx1"/>
                      </a:solidFill>
                      <a:effectLst/>
                      <a:latin typeface="Cambria Math" panose="02040503050406030204" pitchFamily="18" charset="0"/>
                      <a:ea typeface="+mn-ea"/>
                      <a:cs typeface="+mn-cs"/>
                    </a:rPr>
                    <m:t>=</m:t>
                  </m:r>
                  <m:r>
                    <a:rPr lang="es-AR" sz="1600" b="1" i="0">
                      <a:solidFill>
                        <a:schemeClr val="tx1"/>
                      </a:solidFill>
                      <a:effectLst/>
                      <a:latin typeface="Cambria Math" panose="02040503050406030204" pitchFamily="18" charset="0"/>
                      <a:ea typeface="+mn-ea"/>
                      <a:cs typeface="+mn-cs"/>
                    </a:rPr>
                    <m:t>𝐓𝐏𝐐</m:t>
                  </m:r>
                  <m:r>
                    <a:rPr lang="es-AR" sz="1600" b="1" i="0" baseline="-25000">
                      <a:solidFill>
                        <a:schemeClr val="tx1"/>
                      </a:solidFill>
                      <a:effectLst/>
                      <a:latin typeface="Cambria Math" panose="02040503050406030204" pitchFamily="18" charset="0"/>
                      <a:ea typeface="+mn-ea"/>
                      <a:cs typeface="+mn-cs"/>
                    </a:rPr>
                    <m:t>𝐎</m:t>
                  </m:r>
                  <m:r>
                    <a:rPr lang="es-AR" sz="1600" b="1" i="1">
                      <a:solidFill>
                        <a:schemeClr val="tx1"/>
                      </a:solidFill>
                      <a:effectLst/>
                      <a:latin typeface="Cambria Math" panose="02040503050406030204" pitchFamily="18" charset="0"/>
                      <a:ea typeface="+mn-ea"/>
                      <a:cs typeface="+mn-cs"/>
                    </a:rPr>
                    <m:t> </m:t>
                  </m:r>
                  <m:r>
                    <a:rPr lang="es-AR" sz="1600" b="1" i="1">
                      <a:solidFill>
                        <a:schemeClr val="tx1"/>
                      </a:solidFill>
                      <a:effectLst/>
                      <a:latin typeface="Cambria Math" panose="02040503050406030204" pitchFamily="18" charset="0"/>
                      <a:ea typeface="+mn-ea"/>
                      <a:cs typeface="+mn-cs"/>
                    </a:rPr>
                    <m:t>𝒙</m:t>
                  </m:r>
                  <m:r>
                    <a:rPr lang="es-AR" sz="1600" b="1" i="1">
                      <a:solidFill>
                        <a:schemeClr val="tx1"/>
                      </a:solidFill>
                      <a:effectLst/>
                      <a:latin typeface="Cambria Math" panose="02040503050406030204" pitchFamily="18" charset="0"/>
                      <a:ea typeface="+mn-ea"/>
                      <a:cs typeface="+mn-cs"/>
                    </a:rPr>
                    <m:t> (</m:t>
                  </m:r>
                  <m:r>
                    <a:rPr lang="es-AR" sz="1600" b="1" i="1">
                      <a:solidFill>
                        <a:schemeClr val="tx1"/>
                      </a:solidFill>
                      <a:effectLst/>
                      <a:latin typeface="Cambria Math" panose="02040503050406030204" pitchFamily="18" charset="0"/>
                      <a:ea typeface="+mn-ea"/>
                      <a:cs typeface="+mn-cs"/>
                    </a:rPr>
                    <m:t>𝟎</m:t>
                  </m:r>
                  <m:r>
                    <a:rPr lang="es-AR" sz="1600" b="1" i="1">
                      <a:solidFill>
                        <a:schemeClr val="tx1"/>
                      </a:solidFill>
                      <a:effectLst/>
                      <a:latin typeface="Cambria Math" panose="02040503050406030204" pitchFamily="18" charset="0"/>
                      <a:ea typeface="+mn-ea"/>
                      <a:cs typeface="+mn-cs"/>
                    </a:rPr>
                    <m:t>,</m:t>
                  </m:r>
                  <m:r>
                    <a:rPr lang="es-AR" sz="1600" b="1" i="1">
                      <a:solidFill>
                        <a:schemeClr val="tx1"/>
                      </a:solidFill>
                      <a:effectLst/>
                      <a:latin typeface="Cambria Math" panose="02040503050406030204" pitchFamily="18" charset="0"/>
                      <a:ea typeface="+mn-ea"/>
                      <a:cs typeface="+mn-cs"/>
                    </a:rPr>
                    <m:t>𝟔</m:t>
                  </m:r>
                  <m:r>
                    <a:rPr lang="es-AR" sz="1600" b="1" i="1">
                      <a:solidFill>
                        <a:schemeClr val="tx1"/>
                      </a:solidFill>
                      <a:effectLst/>
                      <a:latin typeface="Cambria Math" panose="02040503050406030204" pitchFamily="18" charset="0"/>
                      <a:ea typeface="+mn-ea"/>
                      <a:cs typeface="+mn-cs"/>
                    </a:rPr>
                    <m:t>×</m:t>
                  </m:r>
                  <m:f>
                    <m:fPr>
                      <m:ctrlPr>
                        <a:rPr lang="es-AR" sz="1600" b="1" i="1">
                          <a:solidFill>
                            <a:schemeClr val="tx1"/>
                          </a:solidFill>
                          <a:effectLst/>
                          <a:latin typeface="Cambria Math" panose="02040503050406030204" pitchFamily="18" charset="0"/>
                          <a:ea typeface="+mn-ea"/>
                          <a:cs typeface="+mn-cs"/>
                        </a:rPr>
                      </m:ctrlPr>
                    </m:fPr>
                    <m:num>
                      <m:sSub>
                        <m:sSubPr>
                          <m:ctrlPr>
                            <a:rPr lang="es-AR" sz="1600" b="1" i="1">
                              <a:solidFill>
                                <a:schemeClr val="tx1"/>
                              </a:solidFill>
                              <a:effectLst/>
                              <a:latin typeface="Cambria Math" panose="02040503050406030204" pitchFamily="18" charset="0"/>
                              <a:ea typeface="+mn-ea"/>
                              <a:cs typeface="+mn-cs"/>
                            </a:rPr>
                          </m:ctrlPr>
                        </m:sSubPr>
                        <m:e>
                          <m:r>
                            <a:rPr lang="es-AR" sz="1600" b="1" i="1">
                              <a:solidFill>
                                <a:schemeClr val="tx1"/>
                              </a:solidFill>
                              <a:effectLst/>
                              <a:latin typeface="Cambria Math" panose="02040503050406030204" pitchFamily="18" charset="0"/>
                              <a:ea typeface="+mn-ea"/>
                              <a:cs typeface="+mn-cs"/>
                            </a:rPr>
                            <m:t>𝑾𝑷𝑼</m:t>
                          </m:r>
                          <m:r>
                            <a:rPr lang="es-AR" sz="1600" b="1" i="1">
                              <a:solidFill>
                                <a:schemeClr val="tx1"/>
                              </a:solidFill>
                              <a:effectLst/>
                              <a:latin typeface="Cambria Math" panose="02040503050406030204" pitchFamily="18" charset="0"/>
                              <a:ea typeface="+mn-ea"/>
                              <a:cs typeface="+mn-cs"/>
                            </a:rPr>
                            <m:t>𝟎𝟔</m:t>
                          </m:r>
                        </m:e>
                        <m:sub>
                          <m:r>
                            <a:rPr lang="es-AR" sz="1600" b="1" i="1">
                              <a:solidFill>
                                <a:schemeClr val="tx1"/>
                              </a:solidFill>
                              <a:effectLst/>
                              <a:latin typeface="Cambria Math" panose="02040503050406030204" pitchFamily="18" charset="0"/>
                              <a:ea typeface="+mn-ea"/>
                              <a:cs typeface="+mn-cs"/>
                            </a:rPr>
                            <m:t>𝒏</m:t>
                          </m:r>
                        </m:sub>
                      </m:sSub>
                    </m:num>
                    <m:den>
                      <m:sSub>
                        <m:sSubPr>
                          <m:ctrlPr>
                            <a:rPr lang="es-AR" sz="1600" b="1" i="1">
                              <a:solidFill>
                                <a:schemeClr val="tx1"/>
                              </a:solidFill>
                              <a:effectLst/>
                              <a:latin typeface="Cambria Math" panose="02040503050406030204" pitchFamily="18" charset="0"/>
                              <a:ea typeface="+mn-ea"/>
                              <a:cs typeface="+mn-cs"/>
                            </a:rPr>
                          </m:ctrlPr>
                        </m:sSubPr>
                        <m:e>
                          <m:r>
                            <a:rPr lang="es-AR" sz="1600" b="1" i="1">
                              <a:solidFill>
                                <a:schemeClr val="tx1"/>
                              </a:solidFill>
                              <a:effectLst/>
                              <a:latin typeface="Cambria Math" panose="02040503050406030204" pitchFamily="18" charset="0"/>
                              <a:ea typeface="+mn-ea"/>
                              <a:cs typeface="+mn-cs"/>
                            </a:rPr>
                            <m:t>𝑾𝑷𝑼</m:t>
                          </m:r>
                          <m:r>
                            <a:rPr lang="es-AR" sz="1600" b="1" i="1">
                              <a:solidFill>
                                <a:schemeClr val="tx1"/>
                              </a:solidFill>
                              <a:effectLst/>
                              <a:latin typeface="Cambria Math" panose="02040503050406030204" pitchFamily="18" charset="0"/>
                              <a:ea typeface="+mn-ea"/>
                              <a:cs typeface="+mn-cs"/>
                            </a:rPr>
                            <m:t>𝟎𝟔</m:t>
                          </m:r>
                        </m:e>
                        <m:sub>
                          <m:r>
                            <a:rPr lang="es-AR" sz="1600" b="1" i="1">
                              <a:solidFill>
                                <a:schemeClr val="tx1"/>
                              </a:solidFill>
                              <a:effectLst/>
                              <a:latin typeface="Cambria Math" panose="02040503050406030204" pitchFamily="18" charset="0"/>
                              <a:ea typeface="+mn-ea"/>
                              <a:cs typeface="+mn-cs"/>
                            </a:rPr>
                            <m:t>𝒐</m:t>
                          </m:r>
                        </m:sub>
                      </m:sSub>
                    </m:den>
                  </m:f>
                  <m:r>
                    <a:rPr lang="es-AR" sz="1600" b="1" i="1">
                      <a:solidFill>
                        <a:schemeClr val="tx1"/>
                      </a:solidFill>
                      <a:effectLst/>
                      <a:latin typeface="Cambria Math" panose="02040503050406030204" pitchFamily="18" charset="0"/>
                      <a:ea typeface="+mn-ea"/>
                      <a:cs typeface="+mn-cs"/>
                    </a:rPr>
                    <m:t>+</m:t>
                  </m:r>
                  <m:d>
                    <m:dPr>
                      <m:begChr m:val="["/>
                      <m:endChr m:val="]"/>
                      <m:ctrlPr>
                        <a:rPr lang="es-AR" sz="1600" b="1" i="1">
                          <a:solidFill>
                            <a:schemeClr val="tx1"/>
                          </a:solidFill>
                          <a:effectLst/>
                          <a:latin typeface="Cambria Math" panose="02040503050406030204" pitchFamily="18" charset="0"/>
                          <a:ea typeface="+mn-ea"/>
                          <a:cs typeface="+mn-cs"/>
                        </a:rPr>
                      </m:ctrlPr>
                    </m:dPr>
                    <m:e>
                      <m:r>
                        <a:rPr lang="es-AR" sz="1600" b="1" i="1">
                          <a:solidFill>
                            <a:schemeClr val="tx1"/>
                          </a:solidFill>
                          <a:effectLst/>
                          <a:latin typeface="Cambria Math" panose="02040503050406030204" pitchFamily="18" charset="0"/>
                          <a:ea typeface="+mn-ea"/>
                          <a:cs typeface="+mn-cs"/>
                        </a:rPr>
                        <m:t>𝟎</m:t>
                      </m:r>
                      <m:r>
                        <a:rPr lang="es-AR" sz="1600" b="1" i="1">
                          <a:solidFill>
                            <a:schemeClr val="tx1"/>
                          </a:solidFill>
                          <a:effectLst/>
                          <a:latin typeface="Cambria Math" panose="02040503050406030204" pitchFamily="18" charset="0"/>
                          <a:ea typeface="+mn-ea"/>
                          <a:cs typeface="+mn-cs"/>
                        </a:rPr>
                        <m:t>,</m:t>
                      </m:r>
                      <m:r>
                        <a:rPr lang="es-AR" sz="1600" b="1" i="1">
                          <a:solidFill>
                            <a:schemeClr val="tx1"/>
                          </a:solidFill>
                          <a:effectLst/>
                          <a:latin typeface="Cambria Math" panose="02040503050406030204" pitchFamily="18" charset="0"/>
                          <a:ea typeface="+mn-ea"/>
                          <a:cs typeface="+mn-cs"/>
                        </a:rPr>
                        <m:t>𝟐𝟓</m:t>
                      </m:r>
                      <m:r>
                        <a:rPr lang="es-AR" sz="1600" b="1" i="1">
                          <a:solidFill>
                            <a:schemeClr val="tx1"/>
                          </a:solidFill>
                          <a:effectLst/>
                          <a:latin typeface="Cambria Math" panose="02040503050406030204" pitchFamily="18" charset="0"/>
                          <a:ea typeface="+mn-ea"/>
                          <a:cs typeface="+mn-cs"/>
                        </a:rPr>
                        <m:t>×</m:t>
                      </m:r>
                      <m:f>
                        <m:fPr>
                          <m:ctrlPr>
                            <a:rPr lang="es-AR" sz="1600" b="1" i="1">
                              <a:solidFill>
                                <a:schemeClr val="tx1"/>
                              </a:solidFill>
                              <a:effectLst/>
                              <a:latin typeface="Cambria Math" panose="02040503050406030204" pitchFamily="18" charset="0"/>
                              <a:ea typeface="+mn-ea"/>
                              <a:cs typeface="+mn-cs"/>
                            </a:rPr>
                          </m:ctrlPr>
                        </m:fPr>
                        <m:num>
                          <m:sSub>
                            <m:sSubPr>
                              <m:ctrlPr>
                                <a:rPr lang="es-AR" sz="1600" b="1" i="1">
                                  <a:solidFill>
                                    <a:schemeClr val="tx1"/>
                                  </a:solidFill>
                                  <a:effectLst/>
                                  <a:latin typeface="Cambria Math" panose="02040503050406030204" pitchFamily="18" charset="0"/>
                                  <a:ea typeface="+mn-ea"/>
                                  <a:cs typeface="+mn-cs"/>
                                </a:rPr>
                              </m:ctrlPr>
                            </m:sSubPr>
                            <m:e>
                              <m:r>
                                <a:rPr lang="es-ES" sz="1600" b="1" i="1">
                                  <a:solidFill>
                                    <a:schemeClr val="tx1"/>
                                  </a:solidFill>
                                  <a:effectLst/>
                                  <a:latin typeface="Cambria Math" panose="02040503050406030204" pitchFamily="18" charset="0"/>
                                  <a:ea typeface="+mn-ea"/>
                                  <a:cs typeface="+mn-cs"/>
                                </a:rPr>
                                <m:t>𝑮𝑶</m:t>
                              </m:r>
                            </m:e>
                            <m:sub>
                              <m:r>
                                <a:rPr lang="es-AR" sz="1600" b="1" i="1">
                                  <a:solidFill>
                                    <a:schemeClr val="tx1"/>
                                  </a:solidFill>
                                  <a:effectLst/>
                                  <a:latin typeface="Cambria Math" panose="02040503050406030204" pitchFamily="18" charset="0"/>
                                  <a:ea typeface="+mn-ea"/>
                                  <a:cs typeface="+mn-cs"/>
                                </a:rPr>
                                <m:t>𝒏</m:t>
                              </m:r>
                            </m:sub>
                          </m:sSub>
                        </m:num>
                        <m:den>
                          <m:sSub>
                            <m:sSubPr>
                              <m:ctrlPr>
                                <a:rPr lang="es-AR" sz="1600" b="1" i="1">
                                  <a:solidFill>
                                    <a:schemeClr val="tx1"/>
                                  </a:solidFill>
                                  <a:effectLst/>
                                  <a:latin typeface="Cambria Math" panose="02040503050406030204" pitchFamily="18" charset="0"/>
                                  <a:ea typeface="+mn-ea"/>
                                  <a:cs typeface="+mn-cs"/>
                                </a:rPr>
                              </m:ctrlPr>
                            </m:sSubPr>
                            <m:e>
                              <m:r>
                                <a:rPr lang="es-ES" sz="1600" b="1" i="1">
                                  <a:solidFill>
                                    <a:schemeClr val="tx1"/>
                                  </a:solidFill>
                                  <a:effectLst/>
                                  <a:latin typeface="Cambria Math" panose="02040503050406030204" pitchFamily="18" charset="0"/>
                                  <a:ea typeface="+mn-ea"/>
                                  <a:cs typeface="+mn-cs"/>
                                </a:rPr>
                                <m:t>𝑮𝑶</m:t>
                              </m:r>
                            </m:e>
                            <m:sub>
                              <m:r>
                                <a:rPr lang="es-AR" sz="1600" b="1" i="1">
                                  <a:solidFill>
                                    <a:schemeClr val="tx1"/>
                                  </a:solidFill>
                                  <a:effectLst/>
                                  <a:latin typeface="Cambria Math" panose="02040503050406030204" pitchFamily="18" charset="0"/>
                                  <a:ea typeface="+mn-ea"/>
                                  <a:cs typeface="+mn-cs"/>
                                </a:rPr>
                                <m:t>𝒐</m:t>
                              </m:r>
                            </m:sub>
                          </m:sSub>
                        </m:den>
                      </m:f>
                      <m:r>
                        <a:rPr lang="es-AR" sz="1600" b="1" i="1">
                          <a:solidFill>
                            <a:schemeClr val="tx1"/>
                          </a:solidFill>
                          <a:effectLst/>
                          <a:latin typeface="Cambria Math" panose="02040503050406030204" pitchFamily="18" charset="0"/>
                          <a:ea typeface="+mn-ea"/>
                          <a:cs typeface="+mn-cs"/>
                        </a:rPr>
                        <m:t>+</m:t>
                      </m:r>
                      <m:r>
                        <a:rPr lang="es-AR" sz="1600" b="1" i="1">
                          <a:solidFill>
                            <a:schemeClr val="tx1"/>
                          </a:solidFill>
                          <a:effectLst/>
                          <a:latin typeface="Cambria Math" panose="02040503050406030204" pitchFamily="18" charset="0"/>
                          <a:ea typeface="+mn-ea"/>
                          <a:cs typeface="+mn-cs"/>
                        </a:rPr>
                        <m:t>𝟎</m:t>
                      </m:r>
                      <m:r>
                        <a:rPr lang="es-AR" sz="1600" b="1" i="1">
                          <a:solidFill>
                            <a:schemeClr val="tx1"/>
                          </a:solidFill>
                          <a:effectLst/>
                          <a:latin typeface="Cambria Math" panose="02040503050406030204" pitchFamily="18" charset="0"/>
                          <a:ea typeface="+mn-ea"/>
                          <a:cs typeface="+mn-cs"/>
                        </a:rPr>
                        <m:t>,</m:t>
                      </m:r>
                      <m:r>
                        <a:rPr lang="es-AR" sz="1600" b="1" i="1">
                          <a:solidFill>
                            <a:schemeClr val="tx1"/>
                          </a:solidFill>
                          <a:effectLst/>
                          <a:latin typeface="Cambria Math" panose="02040503050406030204" pitchFamily="18" charset="0"/>
                          <a:ea typeface="+mn-ea"/>
                          <a:cs typeface="+mn-cs"/>
                        </a:rPr>
                        <m:t>𝟏𝟓</m:t>
                      </m:r>
                      <m:r>
                        <a:rPr lang="es-AR" sz="1600" b="1" i="1">
                          <a:solidFill>
                            <a:schemeClr val="tx1"/>
                          </a:solidFill>
                          <a:effectLst/>
                          <a:latin typeface="Cambria Math" panose="02040503050406030204" pitchFamily="18" charset="0"/>
                          <a:ea typeface="+mn-ea"/>
                          <a:cs typeface="+mn-cs"/>
                        </a:rPr>
                        <m:t>×</m:t>
                      </m:r>
                      <m:f>
                        <m:fPr>
                          <m:ctrlPr>
                            <a:rPr lang="es-AR" sz="1600" b="1" i="1">
                              <a:solidFill>
                                <a:schemeClr val="tx1"/>
                              </a:solidFill>
                              <a:effectLst/>
                              <a:latin typeface="Cambria Math" panose="02040503050406030204" pitchFamily="18" charset="0"/>
                              <a:ea typeface="+mn-ea"/>
                              <a:cs typeface="+mn-cs"/>
                            </a:rPr>
                          </m:ctrlPr>
                        </m:fPr>
                        <m:num>
                          <m:sSub>
                            <m:sSubPr>
                              <m:ctrlPr>
                                <a:rPr lang="es-AR" sz="1600" b="1" i="1">
                                  <a:solidFill>
                                    <a:schemeClr val="tx1"/>
                                  </a:solidFill>
                                  <a:effectLst/>
                                  <a:latin typeface="Cambria Math" panose="02040503050406030204" pitchFamily="18" charset="0"/>
                                  <a:ea typeface="+mn-ea"/>
                                  <a:cs typeface="+mn-cs"/>
                                </a:rPr>
                              </m:ctrlPr>
                            </m:sSubPr>
                            <m:e>
                              <m:r>
                                <a:rPr lang="es-AR" sz="1600" b="1" i="1">
                                  <a:solidFill>
                                    <a:schemeClr val="tx1"/>
                                  </a:solidFill>
                                  <a:effectLst/>
                                  <a:latin typeface="Cambria Math" panose="02040503050406030204" pitchFamily="18" charset="0"/>
                                  <a:ea typeface="+mn-ea"/>
                                  <a:cs typeface="+mn-cs"/>
                                </a:rPr>
                                <m:t>𝑰𝑷𝑰𝑴</m:t>
                              </m:r>
                            </m:e>
                            <m:sub>
                              <m:r>
                                <a:rPr lang="es-AR" sz="1600" b="1" i="1">
                                  <a:solidFill>
                                    <a:schemeClr val="tx1"/>
                                  </a:solidFill>
                                  <a:effectLst/>
                                  <a:latin typeface="Cambria Math" panose="02040503050406030204" pitchFamily="18" charset="0"/>
                                  <a:ea typeface="+mn-ea"/>
                                  <a:cs typeface="+mn-cs"/>
                                </a:rPr>
                                <m:t>𝒏</m:t>
                              </m:r>
                            </m:sub>
                          </m:sSub>
                        </m:num>
                        <m:den>
                          <m:sSub>
                            <m:sSubPr>
                              <m:ctrlPr>
                                <a:rPr lang="es-AR" sz="1600" b="1" i="1">
                                  <a:solidFill>
                                    <a:schemeClr val="tx1"/>
                                  </a:solidFill>
                                  <a:effectLst/>
                                  <a:latin typeface="Cambria Math" panose="02040503050406030204" pitchFamily="18" charset="0"/>
                                  <a:ea typeface="+mn-ea"/>
                                  <a:cs typeface="+mn-cs"/>
                                </a:rPr>
                              </m:ctrlPr>
                            </m:sSubPr>
                            <m:e>
                              <m:r>
                                <a:rPr lang="es-AR" sz="1600" b="1" i="1">
                                  <a:solidFill>
                                    <a:schemeClr val="tx1"/>
                                  </a:solidFill>
                                  <a:effectLst/>
                                  <a:latin typeface="Cambria Math" panose="02040503050406030204" pitchFamily="18" charset="0"/>
                                  <a:ea typeface="+mn-ea"/>
                                  <a:cs typeface="+mn-cs"/>
                                </a:rPr>
                                <m:t>𝑰𝑷𝑰𝑴</m:t>
                              </m:r>
                            </m:e>
                            <m:sub>
                              <m:r>
                                <a:rPr lang="es-AR" sz="1600" b="1" i="1">
                                  <a:solidFill>
                                    <a:schemeClr val="tx1"/>
                                  </a:solidFill>
                                  <a:effectLst/>
                                  <a:latin typeface="Cambria Math" panose="02040503050406030204" pitchFamily="18" charset="0"/>
                                  <a:ea typeface="+mn-ea"/>
                                  <a:cs typeface="+mn-cs"/>
                                </a:rPr>
                                <m:t>𝒐</m:t>
                              </m:r>
                            </m:sub>
                          </m:sSub>
                        </m:den>
                      </m:f>
                    </m:e>
                  </m:d>
                  <m:r>
                    <a:rPr lang="es-AR" sz="1600" b="1" i="1">
                      <a:solidFill>
                        <a:schemeClr val="tx1"/>
                      </a:solidFill>
                      <a:effectLst/>
                      <a:latin typeface="Cambria Math" panose="02040503050406030204" pitchFamily="18" charset="0"/>
                      <a:ea typeface="+mn-ea"/>
                      <a:cs typeface="+mn-cs"/>
                    </a:rPr>
                    <m:t>×</m:t>
                  </m:r>
                  <m:f>
                    <m:fPr>
                      <m:ctrlPr>
                        <a:rPr lang="es-AR" sz="1600" b="1" i="1">
                          <a:solidFill>
                            <a:schemeClr val="tx1"/>
                          </a:solidFill>
                          <a:effectLst/>
                          <a:latin typeface="Cambria Math" panose="02040503050406030204" pitchFamily="18" charset="0"/>
                          <a:ea typeface="+mn-ea"/>
                          <a:cs typeface="+mn-cs"/>
                        </a:rPr>
                      </m:ctrlPr>
                    </m:fPr>
                    <m:num>
                      <m:sSub>
                        <m:sSubPr>
                          <m:ctrlPr>
                            <a:rPr lang="es-AR" sz="1600" b="1" i="1">
                              <a:solidFill>
                                <a:schemeClr val="tx1"/>
                              </a:solidFill>
                              <a:effectLst/>
                              <a:latin typeface="Cambria Math" panose="02040503050406030204" pitchFamily="18" charset="0"/>
                              <a:ea typeface="+mn-ea"/>
                              <a:cs typeface="+mn-cs"/>
                            </a:rPr>
                          </m:ctrlPr>
                        </m:sSubPr>
                        <m:e>
                          <m:r>
                            <a:rPr lang="es-AR" sz="1600" b="1" i="1">
                              <a:solidFill>
                                <a:schemeClr val="tx1"/>
                              </a:solidFill>
                              <a:effectLst/>
                              <a:latin typeface="Cambria Math" panose="02040503050406030204" pitchFamily="18" charset="0"/>
                              <a:ea typeface="+mn-ea"/>
                              <a:cs typeface="+mn-cs"/>
                            </a:rPr>
                            <m:t>𝑻𝑪</m:t>
                          </m:r>
                        </m:e>
                        <m:sub>
                          <m:r>
                            <a:rPr lang="es-AR" sz="1600" b="1" i="1">
                              <a:solidFill>
                                <a:schemeClr val="tx1"/>
                              </a:solidFill>
                              <a:effectLst/>
                              <a:latin typeface="Cambria Math" panose="02040503050406030204" pitchFamily="18" charset="0"/>
                              <a:ea typeface="+mn-ea"/>
                              <a:cs typeface="+mn-cs"/>
                            </a:rPr>
                            <m:t>𝒐</m:t>
                          </m:r>
                        </m:sub>
                      </m:sSub>
                    </m:num>
                    <m:den>
                      <m:sSub>
                        <m:sSubPr>
                          <m:ctrlPr>
                            <a:rPr lang="es-AR" sz="1600" b="1" i="1">
                              <a:solidFill>
                                <a:schemeClr val="tx1"/>
                              </a:solidFill>
                              <a:effectLst/>
                              <a:latin typeface="Cambria Math" panose="02040503050406030204" pitchFamily="18" charset="0"/>
                              <a:ea typeface="+mn-ea"/>
                              <a:cs typeface="+mn-cs"/>
                            </a:rPr>
                          </m:ctrlPr>
                        </m:sSubPr>
                        <m:e>
                          <m:r>
                            <a:rPr lang="es-AR" sz="1600" b="1" i="1">
                              <a:solidFill>
                                <a:schemeClr val="tx1"/>
                              </a:solidFill>
                              <a:effectLst/>
                              <a:latin typeface="Cambria Math" panose="02040503050406030204" pitchFamily="18" charset="0"/>
                              <a:ea typeface="+mn-ea"/>
                              <a:cs typeface="+mn-cs"/>
                            </a:rPr>
                            <m:t>𝑻𝑪</m:t>
                          </m:r>
                        </m:e>
                        <m:sub>
                          <m:r>
                            <a:rPr lang="es-AR" sz="1600" b="1" i="1">
                              <a:solidFill>
                                <a:schemeClr val="tx1"/>
                              </a:solidFill>
                              <a:effectLst/>
                              <a:latin typeface="Cambria Math" panose="02040503050406030204" pitchFamily="18" charset="0"/>
                              <a:ea typeface="+mn-ea"/>
                              <a:cs typeface="+mn-cs"/>
                            </a:rPr>
                            <m:t>𝒏</m:t>
                          </m:r>
                        </m:sub>
                      </m:sSub>
                    </m:den>
                  </m:f>
                  <m:r>
                    <a:rPr lang="es-AR" sz="1600" b="1" i="0">
                      <a:solidFill>
                        <a:schemeClr val="tx1"/>
                      </a:solidFill>
                      <a:effectLst/>
                      <a:latin typeface="Cambria Math" panose="02040503050406030204" pitchFamily="18" charset="0"/>
                      <a:ea typeface="+mn-ea"/>
                      <a:cs typeface="+mn-cs"/>
                    </a:rPr>
                    <m:t> )</m:t>
                  </m:r>
                </m:oMath>
              </a14:m>
              <a:endParaRPr lang="es-AR" sz="1600" b="1">
                <a:solidFill>
                  <a:schemeClr val="tx1"/>
                </a:solidFill>
                <a:effectLst/>
                <a:latin typeface="Arial Unicode MS" panose="020B0604020202020204" pitchFamily="34" charset="-128"/>
                <a:ea typeface="Arial Unicode MS" panose="020B0604020202020204" pitchFamily="34" charset="-128"/>
                <a:cs typeface="Arial Unicode MS" panose="020B0604020202020204" pitchFamily="34" charset="-128"/>
              </a:endParaRPr>
            </a:p>
          </xdr:txBody>
        </xdr:sp>
      </mc:Choice>
      <mc:Fallback xmlns="">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787977" y="7108031"/>
              <a:ext cx="6108123" cy="459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AR" sz="1600" b="1" i="0">
                  <a:solidFill>
                    <a:schemeClr val="tx1"/>
                  </a:solidFill>
                  <a:effectLst/>
                  <a:latin typeface="Cambria Math" panose="02040503050406030204" pitchFamily="18" charset="0"/>
                  <a:ea typeface="+mn-ea"/>
                  <a:cs typeface="+mn-cs"/>
                </a:rPr>
                <a:t>TPQ</a:t>
              </a:r>
              <a:r>
                <a:rPr lang="es-AR" sz="1600" b="1" i="0" baseline="-25000">
                  <a:solidFill>
                    <a:schemeClr val="tx1"/>
                  </a:solidFill>
                  <a:effectLst/>
                  <a:latin typeface="Cambria Math" panose="02040503050406030204" pitchFamily="18" charset="0"/>
                  <a:ea typeface="+mn-ea"/>
                  <a:cs typeface="+mn-cs"/>
                </a:rPr>
                <a:t>n</a:t>
              </a:r>
              <a:r>
                <a:rPr lang="es-AR" sz="1400" b="1" i="0" baseline="0">
                  <a:solidFill>
                    <a:schemeClr val="tx1"/>
                  </a:solidFill>
                  <a:effectLst/>
                  <a:latin typeface="Arial Unicode MS" panose="020B0604020202020204" pitchFamily="34" charset="-128"/>
                  <a:ea typeface="Arial Unicode MS" panose="020B0604020202020204" pitchFamily="34" charset="-128"/>
                  <a:cs typeface="Arial Unicode MS" panose="020B0604020202020204" pitchFamily="34" charset="-128"/>
                </a:rPr>
                <a:t> </a:t>
              </a:r>
              <a:r>
                <a:rPr lang="es-AR" sz="1600" b="1" i="0">
                  <a:solidFill>
                    <a:schemeClr val="tx1"/>
                  </a:solidFill>
                  <a:effectLst/>
                  <a:latin typeface="Cambria Math" panose="02040503050406030204" pitchFamily="18" charset="0"/>
                  <a:ea typeface="+mn-ea"/>
                  <a:cs typeface="+mn-cs"/>
                </a:rPr>
                <a:t>=𝐓𝐏𝐐</a:t>
              </a:r>
              <a:r>
                <a:rPr lang="es-AR" sz="1600" b="1" i="0" baseline="-25000">
                  <a:solidFill>
                    <a:schemeClr val="tx1"/>
                  </a:solidFill>
                  <a:effectLst/>
                  <a:latin typeface="Cambria Math" panose="02040503050406030204" pitchFamily="18" charset="0"/>
                  <a:ea typeface="+mn-ea"/>
                  <a:cs typeface="+mn-cs"/>
                </a:rPr>
                <a:t>𝐎</a:t>
              </a:r>
              <a:r>
                <a:rPr lang="es-AR" sz="1600" b="1" i="0">
                  <a:solidFill>
                    <a:schemeClr val="tx1"/>
                  </a:solidFill>
                  <a:effectLst/>
                  <a:latin typeface="Cambria Math" panose="02040503050406030204" pitchFamily="18" charset="0"/>
                  <a:ea typeface="+mn-ea"/>
                  <a:cs typeface="+mn-cs"/>
                </a:rPr>
                <a:t> 𝒙 (𝟎,𝟔×〖𝑾𝑷𝑼𝟎𝟔〗_𝒏/〖𝑾𝑷𝑼𝟎𝟔〗_𝒐 +[𝟎,𝟐𝟓×〖</a:t>
              </a:r>
              <a:r>
                <a:rPr lang="es-ES" sz="1600" b="1" i="0">
                  <a:solidFill>
                    <a:schemeClr val="tx1"/>
                  </a:solidFill>
                  <a:effectLst/>
                  <a:latin typeface="Cambria Math" panose="02040503050406030204" pitchFamily="18" charset="0"/>
                  <a:ea typeface="+mn-ea"/>
                  <a:cs typeface="+mn-cs"/>
                </a:rPr>
                <a:t>𝑮𝑶</a:t>
              </a:r>
              <a:r>
                <a:rPr lang="es-AR" sz="1600" b="1" i="0">
                  <a:solidFill>
                    <a:schemeClr val="tx1"/>
                  </a:solidFill>
                  <a:effectLst/>
                  <a:latin typeface="Cambria Math" panose="02040503050406030204" pitchFamily="18" charset="0"/>
                  <a:ea typeface="+mn-ea"/>
                  <a:cs typeface="+mn-cs"/>
                </a:rPr>
                <a:t>〗_𝒏/〖</a:t>
              </a:r>
              <a:r>
                <a:rPr lang="es-ES" sz="1600" b="1" i="0">
                  <a:solidFill>
                    <a:schemeClr val="tx1"/>
                  </a:solidFill>
                  <a:effectLst/>
                  <a:latin typeface="Cambria Math" panose="02040503050406030204" pitchFamily="18" charset="0"/>
                  <a:ea typeface="+mn-ea"/>
                  <a:cs typeface="+mn-cs"/>
                </a:rPr>
                <a:t>𝑮𝑶</a:t>
              </a:r>
              <a:r>
                <a:rPr lang="es-AR" sz="1600" b="1" i="0">
                  <a:solidFill>
                    <a:schemeClr val="tx1"/>
                  </a:solidFill>
                  <a:effectLst/>
                  <a:latin typeface="Cambria Math" panose="02040503050406030204" pitchFamily="18" charset="0"/>
                  <a:ea typeface="+mn-ea"/>
                  <a:cs typeface="+mn-cs"/>
                </a:rPr>
                <a:t>〗_𝒐 +𝟎,𝟏𝟓×〖𝑰𝑷𝑰𝑴〗_𝒏/〖𝑰𝑷𝑰𝑴〗_𝒐 ]×〖𝑻𝑪〗_𝒐/〖𝑻𝑪〗_𝒏   )</a:t>
              </a:r>
              <a:endParaRPr lang="es-AR" sz="1600" b="1">
                <a:solidFill>
                  <a:schemeClr val="tx1"/>
                </a:solidFill>
                <a:effectLst/>
                <a:latin typeface="Arial Unicode MS" panose="020B0604020202020204" pitchFamily="34" charset="-128"/>
                <a:ea typeface="Arial Unicode MS" panose="020B0604020202020204" pitchFamily="34" charset="-128"/>
                <a:cs typeface="Arial Unicode MS" panose="020B0604020202020204" pitchFamily="34" charset="-128"/>
              </a:endParaRPr>
            </a:p>
          </xdr:txBody>
        </xdr:sp>
      </mc:Fallback>
    </mc:AlternateContent>
    <xdr:clientData/>
  </xdr:oneCellAnchor>
  <xdr:twoCellAnchor editAs="oneCell">
    <xdr:from>
      <xdr:col>14</xdr:col>
      <xdr:colOff>107156</xdr:colOff>
      <xdr:row>46</xdr:row>
      <xdr:rowOff>33337</xdr:rowOff>
    </xdr:from>
    <xdr:to>
      <xdr:col>25</xdr:col>
      <xdr:colOff>32242</xdr:colOff>
      <xdr:row>67</xdr:row>
      <xdr:rowOff>52948</xdr:rowOff>
    </xdr:to>
    <xdr:pic>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667875" y="12558712"/>
          <a:ext cx="9211961" cy="4020111"/>
        </a:xfrm>
        <a:prstGeom prst="rect">
          <a:avLst/>
        </a:prstGeom>
      </xdr:spPr>
    </xdr:pic>
    <xdr:clientData/>
  </xdr:twoCellAnchor>
  <xdr:twoCellAnchor editAs="oneCell">
    <xdr:from>
      <xdr:col>14</xdr:col>
      <xdr:colOff>319087</xdr:colOff>
      <xdr:row>50</xdr:row>
      <xdr:rowOff>95251</xdr:rowOff>
    </xdr:from>
    <xdr:to>
      <xdr:col>28</xdr:col>
      <xdr:colOff>234965</xdr:colOff>
      <xdr:row>67</xdr:row>
      <xdr:rowOff>31400</xdr:rowOff>
    </xdr:to>
    <xdr:pic>
      <xdr:nvPicPr>
        <xdr:cNvPr id="4" name="Imagen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9879806" y="13382626"/>
          <a:ext cx="11488753" cy="3174649"/>
        </a:xfrm>
        <a:prstGeom prst="rect">
          <a:avLst/>
        </a:prstGeom>
      </xdr:spPr>
    </xdr:pic>
    <xdr:clientData/>
  </xdr:twoCellAnchor>
  <xdr:twoCellAnchor editAs="oneCell">
    <xdr:from>
      <xdr:col>11</xdr:col>
      <xdr:colOff>521494</xdr:colOff>
      <xdr:row>56</xdr:row>
      <xdr:rowOff>54769</xdr:rowOff>
    </xdr:from>
    <xdr:to>
      <xdr:col>26</xdr:col>
      <xdr:colOff>368322</xdr:colOff>
      <xdr:row>73</xdr:row>
      <xdr:rowOff>444</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8451057" y="14485144"/>
          <a:ext cx="11526859" cy="3184175"/>
        </a:xfrm>
        <a:prstGeom prst="rect">
          <a:avLst/>
        </a:prstGeom>
      </xdr:spPr>
    </xdr:pic>
    <xdr:clientData/>
  </xdr:twoCellAnchor>
  <xdr:twoCellAnchor editAs="oneCell">
    <xdr:from>
      <xdr:col>18</xdr:col>
      <xdr:colOff>159543</xdr:colOff>
      <xdr:row>24</xdr:row>
      <xdr:rowOff>23813</xdr:rowOff>
    </xdr:from>
    <xdr:to>
      <xdr:col>20</xdr:col>
      <xdr:colOff>455072</xdr:colOff>
      <xdr:row>30</xdr:row>
      <xdr:rowOff>83570</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a:stretch>
          <a:fillRect/>
        </a:stretch>
      </xdr:blipFill>
      <xdr:spPr>
        <a:xfrm>
          <a:off x="13673137" y="7739063"/>
          <a:ext cx="1819529" cy="1619476"/>
        </a:xfrm>
        <a:prstGeom prst="rect">
          <a:avLst/>
        </a:prstGeom>
      </xdr:spPr>
    </xdr:pic>
    <xdr:clientData/>
  </xdr:twoCellAnchor>
  <xdr:twoCellAnchor editAs="oneCell">
    <xdr:from>
      <xdr:col>16</xdr:col>
      <xdr:colOff>440533</xdr:colOff>
      <xdr:row>20</xdr:row>
      <xdr:rowOff>104775</xdr:rowOff>
    </xdr:from>
    <xdr:to>
      <xdr:col>24</xdr:col>
      <xdr:colOff>536644</xdr:colOff>
      <xdr:row>26</xdr:row>
      <xdr:rowOff>481229</xdr:rowOff>
    </xdr:to>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a:stretch>
          <a:fillRect/>
        </a:stretch>
      </xdr:blipFill>
      <xdr:spPr>
        <a:xfrm>
          <a:off x="12453939" y="7058025"/>
          <a:ext cx="6168299" cy="1555173"/>
        </a:xfrm>
        <a:prstGeom prst="rect">
          <a:avLst/>
        </a:prstGeom>
      </xdr:spPr>
    </xdr:pic>
    <xdr:clientData/>
  </xdr:twoCellAnchor>
  <xdr:twoCellAnchor editAs="oneCell">
    <xdr:from>
      <xdr:col>20</xdr:col>
      <xdr:colOff>271462</xdr:colOff>
      <xdr:row>13</xdr:row>
      <xdr:rowOff>23812</xdr:rowOff>
    </xdr:from>
    <xdr:to>
      <xdr:col>28</xdr:col>
      <xdr:colOff>443787</xdr:colOff>
      <xdr:row>16</xdr:row>
      <xdr:rowOff>181173</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6"/>
        <a:stretch>
          <a:fillRect/>
        </a:stretch>
      </xdr:blipFill>
      <xdr:spPr>
        <a:xfrm>
          <a:off x="15309056" y="4905375"/>
          <a:ext cx="6268325" cy="1419423"/>
        </a:xfrm>
        <a:prstGeom prst="rect">
          <a:avLst/>
        </a:prstGeom>
      </xdr:spPr>
    </xdr:pic>
    <xdr:clientData/>
  </xdr:twoCellAnchor>
  <xdr:twoCellAnchor editAs="oneCell">
    <xdr:from>
      <xdr:col>9</xdr:col>
      <xdr:colOff>571500</xdr:colOff>
      <xdr:row>28</xdr:row>
      <xdr:rowOff>71437</xdr:rowOff>
    </xdr:from>
    <xdr:to>
      <xdr:col>14</xdr:col>
      <xdr:colOff>681468</xdr:colOff>
      <xdr:row>42</xdr:row>
      <xdr:rowOff>136140</xdr:rowOff>
    </xdr:to>
    <xdr:pic>
      <xdr:nvPicPr>
        <xdr:cNvPr id="9" name="Imagen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7"/>
        <a:stretch>
          <a:fillRect/>
        </a:stretch>
      </xdr:blipFill>
      <xdr:spPr>
        <a:xfrm>
          <a:off x="7155656" y="8965406"/>
          <a:ext cx="3086531" cy="2934109"/>
        </a:xfrm>
        <a:prstGeom prst="rect">
          <a:avLst/>
        </a:prstGeom>
      </xdr:spPr>
    </xdr:pic>
    <xdr:clientData/>
  </xdr:twoCellAnchor>
  <xdr:twoCellAnchor editAs="oneCell">
    <xdr:from>
      <xdr:col>9</xdr:col>
      <xdr:colOff>488156</xdr:colOff>
      <xdr:row>42</xdr:row>
      <xdr:rowOff>23814</xdr:rowOff>
    </xdr:from>
    <xdr:to>
      <xdr:col>14</xdr:col>
      <xdr:colOff>236123</xdr:colOff>
      <xdr:row>68</xdr:row>
      <xdr:rowOff>167400</xdr:rowOff>
    </xdr:to>
    <xdr:pic>
      <xdr:nvPicPr>
        <xdr:cNvPr id="10" name="Imagen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8"/>
        <a:stretch>
          <a:fillRect/>
        </a:stretch>
      </xdr:blipFill>
      <xdr:spPr>
        <a:xfrm>
          <a:off x="7072312" y="11787189"/>
          <a:ext cx="2724530" cy="5096586"/>
        </a:xfrm>
        <a:prstGeom prst="rect">
          <a:avLst/>
        </a:prstGeom>
      </xdr:spPr>
    </xdr:pic>
    <xdr:clientData/>
  </xdr:twoCellAnchor>
  <xdr:twoCellAnchor editAs="oneCell">
    <xdr:from>
      <xdr:col>6</xdr:col>
      <xdr:colOff>571499</xdr:colOff>
      <xdr:row>25</xdr:row>
      <xdr:rowOff>202407</xdr:rowOff>
    </xdr:from>
    <xdr:to>
      <xdr:col>25</xdr:col>
      <xdr:colOff>403339</xdr:colOff>
      <xdr:row>48</xdr:row>
      <xdr:rowOff>35718</xdr:rowOff>
    </xdr:to>
    <xdr:pic>
      <xdr:nvPicPr>
        <xdr:cNvPr id="11" name="Imagen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9"/>
        <a:stretch>
          <a:fillRect/>
        </a:stretch>
      </xdr:blipFill>
      <xdr:spPr>
        <a:xfrm>
          <a:off x="4786312" y="8108157"/>
          <a:ext cx="14464621" cy="48339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304800</xdr:colOff>
      <xdr:row>13</xdr:row>
      <xdr:rowOff>11631</xdr:rowOff>
    </xdr:from>
    <xdr:to>
      <xdr:col>9</xdr:col>
      <xdr:colOff>495474</xdr:colOff>
      <xdr:row>27</xdr:row>
      <xdr:rowOff>66675</xdr:rowOff>
    </xdr:to>
    <xdr:pic>
      <xdr:nvPicPr>
        <xdr:cNvPr id="3" name="Imagen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3571875" y="3012006"/>
          <a:ext cx="5867574" cy="310304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0</xdr:row>
      <xdr:rowOff>71385</xdr:rowOff>
    </xdr:from>
    <xdr:to>
      <xdr:col>6</xdr:col>
      <xdr:colOff>749994</xdr:colOff>
      <xdr:row>6</xdr:row>
      <xdr:rowOff>161925</xdr:rowOff>
    </xdr:to>
    <xdr:pic>
      <xdr:nvPicPr>
        <xdr:cNvPr id="2" name="Imagen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66675" y="71385"/>
          <a:ext cx="5255319" cy="1233540"/>
        </a:xfrm>
        <a:prstGeom prst="rect">
          <a:avLst/>
        </a:prstGeom>
        <a:ln w="19050">
          <a:solidFill>
            <a:srgbClr val="FF0000"/>
          </a:solidFill>
        </a:ln>
      </xdr:spPr>
    </xdr:pic>
    <xdr:clientData/>
  </xdr:twoCellAnchor>
  <xdr:twoCellAnchor editAs="oneCell">
    <xdr:from>
      <xdr:col>0</xdr:col>
      <xdr:colOff>66674</xdr:colOff>
      <xdr:row>7</xdr:row>
      <xdr:rowOff>61598</xdr:rowOff>
    </xdr:from>
    <xdr:to>
      <xdr:col>7</xdr:col>
      <xdr:colOff>23811</xdr:colOff>
      <xdr:row>13</xdr:row>
      <xdr:rowOff>32094</xdr:rowOff>
    </xdr:to>
    <xdr:pic>
      <xdr:nvPicPr>
        <xdr:cNvPr id="3" name="Imagen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66674" y="1395098"/>
          <a:ext cx="5291137" cy="1113496"/>
        </a:xfrm>
        <a:prstGeom prst="rect">
          <a:avLst/>
        </a:prstGeom>
        <a:ln w="19050">
          <a:solidFill>
            <a:srgbClr val="FF0000"/>
          </a:solidFill>
        </a:ln>
      </xdr:spPr>
    </xdr:pic>
    <xdr:clientData/>
  </xdr:twoCellAnchor>
  <xdr:twoCellAnchor editAs="oneCell">
    <xdr:from>
      <xdr:col>0</xdr:col>
      <xdr:colOff>57149</xdr:colOff>
      <xdr:row>13</xdr:row>
      <xdr:rowOff>111673</xdr:rowOff>
    </xdr:from>
    <xdr:to>
      <xdr:col>7</xdr:col>
      <xdr:colOff>8879</xdr:colOff>
      <xdr:row>22</xdr:row>
      <xdr:rowOff>161925</xdr:rowOff>
    </xdr:to>
    <xdr:pic>
      <xdr:nvPicPr>
        <xdr:cNvPr id="4" name="Imagen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a:stretch>
          <a:fillRect/>
        </a:stretch>
      </xdr:blipFill>
      <xdr:spPr>
        <a:xfrm>
          <a:off x="57149" y="2588173"/>
          <a:ext cx="5285730" cy="1764752"/>
        </a:xfrm>
        <a:prstGeom prst="rect">
          <a:avLst/>
        </a:prstGeom>
        <a:ln w="19050">
          <a:solidFill>
            <a:srgbClr val="FF0000"/>
          </a:solidFill>
        </a:ln>
      </xdr:spPr>
    </xdr:pic>
    <xdr:clientData/>
  </xdr:twoCellAnchor>
  <xdr:twoCellAnchor editAs="oneCell">
    <xdr:from>
      <xdr:col>7</xdr:col>
      <xdr:colOff>114299</xdr:colOff>
      <xdr:row>0</xdr:row>
      <xdr:rowOff>48602</xdr:rowOff>
    </xdr:from>
    <xdr:to>
      <xdr:col>15</xdr:col>
      <xdr:colOff>178594</xdr:colOff>
      <xdr:row>10</xdr:row>
      <xdr:rowOff>167773</xdr:rowOff>
    </xdr:to>
    <xdr:pic>
      <xdr:nvPicPr>
        <xdr:cNvPr id="5" name="Imagen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4"/>
        <a:stretch>
          <a:fillRect/>
        </a:stretch>
      </xdr:blipFill>
      <xdr:spPr>
        <a:xfrm>
          <a:off x="5448299" y="48602"/>
          <a:ext cx="6160295" cy="2024171"/>
        </a:xfrm>
        <a:prstGeom prst="rect">
          <a:avLst/>
        </a:prstGeom>
        <a:ln w="19050">
          <a:solidFill>
            <a:srgbClr val="FF0000"/>
          </a:solidFill>
        </a:ln>
      </xdr:spPr>
    </xdr:pic>
    <xdr:clientData/>
  </xdr:twoCellAnchor>
  <xdr:twoCellAnchor editAs="oneCell">
    <xdr:from>
      <xdr:col>7</xdr:col>
      <xdr:colOff>143933</xdr:colOff>
      <xdr:row>11</xdr:row>
      <xdr:rowOff>82550</xdr:rowOff>
    </xdr:from>
    <xdr:to>
      <xdr:col>15</xdr:col>
      <xdr:colOff>200314</xdr:colOff>
      <xdr:row>23</xdr:row>
      <xdr:rowOff>63217</xdr:rowOff>
    </xdr:to>
    <xdr:pic>
      <xdr:nvPicPr>
        <xdr:cNvPr id="6" name="Imagen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5"/>
        <a:stretch>
          <a:fillRect/>
        </a:stretch>
      </xdr:blipFill>
      <xdr:spPr>
        <a:xfrm>
          <a:off x="5477933" y="2178050"/>
          <a:ext cx="6152381" cy="2266667"/>
        </a:xfrm>
        <a:prstGeom prst="rect">
          <a:avLst/>
        </a:prstGeom>
        <a:ln w="19050">
          <a:solidFill>
            <a:srgbClr val="FF0000"/>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1562100</xdr:colOff>
      <xdr:row>0</xdr:row>
      <xdr:rowOff>585107</xdr:rowOff>
    </xdr:to>
    <xdr:pic>
      <xdr:nvPicPr>
        <xdr:cNvPr id="2" name="Imagen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38100"/>
          <a:ext cx="1533525" cy="547007"/>
        </a:xfrm>
        <a:prstGeom prst="rect">
          <a:avLst/>
        </a:prstGeom>
        <a:noFill/>
        <a:ln>
          <a:noFill/>
        </a:ln>
      </xdr:spPr>
    </xdr:pic>
    <xdr:clientData/>
  </xdr:twoCellAnchor>
  <xdr:twoCellAnchor>
    <xdr:from>
      <xdr:col>1</xdr:col>
      <xdr:colOff>942975</xdr:colOff>
      <xdr:row>0</xdr:row>
      <xdr:rowOff>104775</xdr:rowOff>
    </xdr:from>
    <xdr:to>
      <xdr:col>7</xdr:col>
      <xdr:colOff>352425</xdr:colOff>
      <xdr:row>0</xdr:row>
      <xdr:rowOff>533400</xdr:rowOff>
    </xdr:to>
    <xdr:sp macro="" textlink="">
      <xdr:nvSpPr>
        <xdr:cNvPr id="3" name="CuadroTexto 2">
          <a:extLst>
            <a:ext uri="{FF2B5EF4-FFF2-40B4-BE49-F238E27FC236}">
              <a16:creationId xmlns:a16="http://schemas.microsoft.com/office/drawing/2014/main" id="{00000000-0008-0000-0D00-000003000000}"/>
            </a:ext>
          </a:extLst>
        </xdr:cNvPr>
        <xdr:cNvSpPr txBox="1"/>
      </xdr:nvSpPr>
      <xdr:spPr>
        <a:xfrm>
          <a:off x="1771650" y="104775"/>
          <a:ext cx="6419850" cy="428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AR" sz="2000" b="1">
              <a:latin typeface="Exo 2" panose="00000500000000000000" pitchFamily="2" charset="0"/>
            </a:rPr>
            <a:t>ANEXO II.</a:t>
          </a:r>
          <a:r>
            <a:rPr lang="es-AR" sz="2000" b="0">
              <a:latin typeface="Exo 2" panose="00000500000000000000" pitchFamily="2" charset="0"/>
            </a:rPr>
            <a:t> Esquema de tratamiento</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2444151</xdr:colOff>
      <xdr:row>20</xdr:row>
      <xdr:rowOff>134788</xdr:rowOff>
    </xdr:from>
    <xdr:to>
      <xdr:col>10</xdr:col>
      <xdr:colOff>741505</xdr:colOff>
      <xdr:row>35</xdr:row>
      <xdr:rowOff>32418</xdr:rowOff>
    </xdr:to>
    <xdr:pic>
      <xdr:nvPicPr>
        <xdr:cNvPr id="2" name="Imagen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2578939" y="5580213"/>
          <a:ext cx="5809524" cy="23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183356</xdr:colOff>
      <xdr:row>0</xdr:row>
      <xdr:rowOff>130968</xdr:rowOff>
    </xdr:from>
    <xdr:to>
      <xdr:col>22</xdr:col>
      <xdr:colOff>358129</xdr:colOff>
      <xdr:row>8</xdr:row>
      <xdr:rowOff>119062</xdr:rowOff>
    </xdr:to>
    <xdr:pic>
      <xdr:nvPicPr>
        <xdr:cNvPr id="3" name="Imagen 2">
          <a:extLst>
            <a:ext uri="{FF2B5EF4-FFF2-40B4-BE49-F238E27FC236}">
              <a16:creationId xmlns:a16="http://schemas.microsoft.com/office/drawing/2014/main" id="{00000000-0008-0000-1500-000003000000}"/>
            </a:ext>
          </a:extLst>
        </xdr:cNvPr>
        <xdr:cNvPicPr>
          <a:picLocks noChangeAspect="1"/>
        </xdr:cNvPicPr>
      </xdr:nvPicPr>
      <xdr:blipFill rotWithShape="1">
        <a:blip xmlns:r="http://schemas.openxmlformats.org/officeDocument/2006/relationships" r:embed="rId1"/>
        <a:srcRect t="43121" b="26977"/>
        <a:stretch/>
      </xdr:blipFill>
      <xdr:spPr>
        <a:xfrm>
          <a:off x="8720137" y="130968"/>
          <a:ext cx="10747523" cy="1512094"/>
        </a:xfrm>
        <a:prstGeom prst="rect">
          <a:avLst/>
        </a:prstGeom>
      </xdr:spPr>
    </xdr:pic>
    <xdr:clientData/>
  </xdr:twoCellAnchor>
  <xdr:twoCellAnchor editAs="oneCell">
    <xdr:from>
      <xdr:col>3</xdr:col>
      <xdr:colOff>571501</xdr:colOff>
      <xdr:row>6</xdr:row>
      <xdr:rowOff>119061</xdr:rowOff>
    </xdr:from>
    <xdr:to>
      <xdr:col>9</xdr:col>
      <xdr:colOff>685138</xdr:colOff>
      <xdr:row>17</xdr:row>
      <xdr:rowOff>28313</xdr:rowOff>
    </xdr:to>
    <xdr:pic>
      <xdr:nvPicPr>
        <xdr:cNvPr id="4" name="Imagen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2857501" y="1262061"/>
          <a:ext cx="5304762" cy="2004752"/>
        </a:xfrm>
        <a:prstGeom prst="rect">
          <a:avLst/>
        </a:prstGeom>
      </xdr:spPr>
    </xdr:pic>
    <xdr:clientData/>
  </xdr:twoCellAnchor>
  <xdr:twoCellAnchor editAs="oneCell">
    <xdr:from>
      <xdr:col>11</xdr:col>
      <xdr:colOff>357188</xdr:colOff>
      <xdr:row>8</xdr:row>
      <xdr:rowOff>130969</xdr:rowOff>
    </xdr:from>
    <xdr:to>
      <xdr:col>17</xdr:col>
      <xdr:colOff>821531</xdr:colOff>
      <xdr:row>16</xdr:row>
      <xdr:rowOff>150019</xdr:rowOff>
    </xdr:to>
    <xdr:pic>
      <xdr:nvPicPr>
        <xdr:cNvPr id="6" name="Imagen 5">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55969" y="1654969"/>
          <a:ext cx="6191250" cy="1543050"/>
        </a:xfrm>
        <a:prstGeom prst="rect">
          <a:avLst/>
        </a:prstGeom>
        <a:solidFill>
          <a:schemeClr val="bg1"/>
        </a:solidFill>
      </xdr:spPr>
    </xdr:pic>
    <xdr:clientData/>
  </xdr:twoCellAnchor>
  <xdr:twoCellAnchor editAs="oneCell">
    <xdr:from>
      <xdr:col>11</xdr:col>
      <xdr:colOff>130969</xdr:colOff>
      <xdr:row>3</xdr:row>
      <xdr:rowOff>178594</xdr:rowOff>
    </xdr:from>
    <xdr:to>
      <xdr:col>18</xdr:col>
      <xdr:colOff>689285</xdr:colOff>
      <xdr:row>14</xdr:row>
      <xdr:rowOff>95250</xdr:rowOff>
    </xdr:to>
    <xdr:pic>
      <xdr:nvPicPr>
        <xdr:cNvPr id="5" name="Imagen 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4"/>
        <a:stretch>
          <a:fillRect/>
        </a:stretch>
      </xdr:blipFill>
      <xdr:spPr>
        <a:xfrm>
          <a:off x="9429750" y="750094"/>
          <a:ext cx="7321066" cy="201215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NGEN\Secundaria\Porvenir\C&#225;lculo%20Q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ba7933\Cementaci&#243;n\Hern&#225;n\Trabajos%20de%20Campo\Informes%20de%20Operaciones\Chevron%20San%20Jorge%20SRL\ET-598\Aislaci&#243;n\aisl%20ET-59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windows\TEMP\AFES\PTER110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QN2MIS001\Users\VictorErnesto\Propuesta\Soportes\Estadisticas%20Perf%2097%2098%2099%2000%2001%207.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DOCUME~1\rguevara\LOCALS~1\Temp\notes8DDD21\CE1134.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QN_FS01\VOL1\NEUQUEN\Contabilidad\Budget\1999\Definitivo\BUDGET%201999%20(Definitivo%2015-3-99).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Ws102378\C\access\LOYOLA\basic.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pecom-my.sharepoint.com/Users/fserem/Documents/PAE/Licitaci&#243;n%20Capilares%20Dic17/Econ&#243;mico/Apertura%20de%20Costos%20Tipo%20PAE%20-%20vfinal%201.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pecom-my.sharepoint.com/Users/fserem/Documents/Total/Licitacion%20Capilares%202018/Econ&#243;mico/BNDTQ-%20180164-CAPILLARY%20STRINGS.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pecom-my.sharepoint.com/Users/fdirocco/AppData/Local/Microsoft/Windows/Temporary%20Internet%20Files/Content.Outlook/8ZMJZ5EL/BNDAL-18150-YPFAR%20-%20Montaje%20Controladores%20de%20Pozo%20(rev.A)%20SANTA%20CRUZ%20(003).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F:\ADM-PLANILLA%20COMEDOR-AFES%20ACTUALIZADOS\AFES\Afes%20Centenario%202008.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F:\InfoProd%202.0\Porvenir\Mensual\2002\Mensual%20del%20%202.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API1"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F:\Documents%20and%20Settings\Bill\Configuraci&#243;n%20local\Archivos%20temporales%20de%20Internet\Content.IE5\1R4XPPCF\Planta%20de%20Inyeccion%20-%20Cerro%20Dragon.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D:\Documents%20and%20Settings\Bill\Configuraci&#243;n%20local\Archivos%20temporales%20de%20Internet\Content.IE5\1R4XPPCF\Planta%20de%20Inyeccion%20-%20Cerro%20Dragon.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F:\NEUQUEN\Contabilidad\Budget\2004\Versi&#243;n%2023-01-04%20Con%203%20Perfora%20Gas%20Centenario\Produc%20Vtas%20Precios%20Budget%202004%20(NP).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F:\INGEN\CENTENARIO\PETROLEO\Ce.-%20Evaluaciones%20Econ&#243;micas\2009\EE_AFES\WO&amp;CONV\EE_Ce-1038.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DOCUME~1\cmontiel\LOCALS~1\Temp\notes8DDD21\CE1052.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buearntmulti5\general$\Ingenieria\Tratamiento%20Qu&#237;mico\EL%20TRAPIAL\NALCO\Tratamiento%20Quimico\Inhibidor%20de%20Incrustaciones\Pozos%20criticos\Copia%20de%20SPEF-ETm.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F:\Documents%20and%20Settings\pmiculi\Mis%20documentos\Miculian%20Pablo\Bolland%20&amp;%20Cia\Costeo%20preliminar%203.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D:\Documents%20and%20Settings\pmiculi\Mis%20documentos\Miculian%20Pablo\Bolland%20&amp;%20Cia\Costeo%20preliminar%203.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F:\WINDOWS\TEMP\~0052671.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intraprod.pan-energy.com/Documents%20and%20Settings/usuario/Mis%20documentos/AA%20Cutover/PEPS/PEPS%20PLANTAS%20TODAS%20LAS%20AREAS.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F:\DOCUME~1\ecoronad\LOCALS~1\Temp\notes8DDD21\AFE%20&amp;%20WO\AFE-2004\EPO\AFE&amp;WO%20NA-18\AFE%20WO&amp;PEM%20NA-18.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F:\NEUQUEN\Contabilidad\Budget\2000\Definitivo\BUDGET%202000%20(Definitivo%2001.02.00).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X:\TOTAUSTR\INS\BASICA\INSTRUM\PSV'S\CALCULO\10D110.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F:\NEUQUEN\Contabilidad\Budget\2007\Budget%202007%20Inversiones%20501.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pecom-my.sharepoint.com/Documents%20and%20Settings/gmsanch/Mis%20documentos/Ventas/Pendientes%20NQN%202012%2006.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s://pecom-my.sharepoint.com/Documents%20and%20Settings/ecorder/Mis%20documentos/evangelina/Yacimiento/YPF/Informe%20varios/Informes%20T&#233;cnicos/Intervenci&#243;n-fotos-tendencia-croma-bsr.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https://pecom-my.sharepoint.com/Users/fdirocco/Documents/BND%20-%20Gesti&#243;n%20de%20Personas%20MZA/Cotizaciones/TRAZADORES/201801%20Pablo%20Mu&#241;oz/Cotizaci&#243;n%20MO%20201801%20rev.A.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https://pecom-my.sharepoint.com/Users/pmiculi/AppData/Local/Microsoft/Windows/Temporary%20Internet%20Files/Content.Outlook/07PSDZ8O/COTIZACION%20TQ%20CATRIEL.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A:\WTPO0197.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pecom-my.sharepoint.com/Documents%20and%20Settings/pcostan/Configuraci&#243;n%20local/Temp/CATRIEL_JUL13.xlsx"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pecom-my.sharepoint.com/Documents%20and%20Settings/mhuench/Mis%20documentos/PQB%20NEUQUEN/CUENTAS/DISCRIMINACION%20DE%20PRECIOS%20Y%20RECURSOS%20YPF/FINAL%20FINAL/ANEXO%20III%204944903%20u$s_912$_%20%20Ajustada.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pecom-my.sharepoint.com/Users/pmiculi.ARGENTINA/AppData/Local/Microsoft/Windows/Temporary%20Internet%20Files/Content.Outlook/PEZDPPGF/Cotizaci&#243;n%20PM-FS.xlsx"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F:\Modelo%20Unificado%20V2.8.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Ploter\ARCHI\UGA%20S%20A\906\PIPING\Computo\BASEDAT.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F:\WINDOWS\TEMP\Mis%20documentos\Econ&#243;micos\Evaluaci&#243;n%20perf_rep-aceler_A.B..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E:\Users\NogueraL\AppData\Roaming\Microsoft\Excel\OXYPOARG_R_Service_Order_Contract_Details%20(cancel)%20(version%201).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F:\INGEN\CENTENARIO\PETROLEO\Ce.-%20Evaluaciones%20Econ&#243;micas\2010\Conversiones\EE_Ce-1015.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F:\Documents%20and%20Settings\svera\Local%20Settings\Temporary%20Internet%20Files\Content.Outlook\RTB1BOIN\EQUIPOS\Cinco%20Saltos\PRo.x-1\Programa\Coversion%20Programas%20Finales%20Ce\CE23.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s://pecom-my.sharepoint.com/Users/selizon/AppData/Local/Temp/Temp9_Archivos%20adjuntos%20comprimidos%20de%20WinZip%20(2).zip/Planilla%20Certificaci&#243;n%20Enero%202016-Catriel-Zona%20I%20II%20y%20VAM-.xlsm"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s://pecom-my.sharepoint.com/Users/selizon/AppData/Local/Temp/Temp12_Archivos%20adjuntos%20comprimidos%20de%20WinZip%20(2).zip/Planilla%20Certificaci&#243;n%20Abril%202016-Catriel-Zona%20I%20II%20y%20VAM.xlsm"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F:\Documents%20and%20Settings\mhuench\Configuraci&#243;n%20local\Temp\Copia%20de%20NUEVO%20ANEXO%20III%20V7%2049_%20AJ_CCT%2053-6346-12%20mh.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D:\Documents%20and%20Settings\mhuench\Configuraci&#243;n%20local\Temp\Copia%20de%20NUEVO%20ANEXO%20III%20V7%2049_%20AJ_CCT%2053-6346-12%20mh.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https://pecom-my.sharepoint.com/Users/ecorder/AppData/Local/Microsoft/Windows/Temporary%20Internet%20Files/Content.Outlook/VE5FP8OR/CENTENO%20-%20CASTA&#209;EDA%20TQ.xlsx"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F:\WINDOWS\TEMP\Mis%20documentos\Econ&#243;micos\Evaluaci&#243;n%20perf_rep-aceler(3).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https://pecom-my.sharepoint.com/Users/cmalesich/AppData/Local/Microsoft/Windows/INetCache/Content.Outlook/0EBGWD2Z/Econ&#243;mico%20Vista%20AF%20(4-2-22)%20(0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Sheet4"/>
      <sheetName val="Sheet5"/>
      <sheetName val="Sheet6"/>
      <sheetName val="Sheet7"/>
      <sheetName val="Sheet8"/>
      <sheetName val="Sheet9"/>
      <sheetName val="Sheet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cope"/>
      <sheetName val="costo"/>
      <sheetName val="programa"/>
      <sheetName val="estatica"/>
      <sheetName val="FMT y DP"/>
      <sheetName val="Call Sheet"/>
      <sheetName val="costo con N2"/>
      <sheetName val="costo 13.9# + Flow Check"/>
      <sheetName val="FMT_y_DP"/>
      <sheetName val="Call_Sheet"/>
      <sheetName val="costo_con_N2"/>
      <sheetName val="costo_13_9#_+_Flow_Check"/>
      <sheetName val="Gradientes Programa"/>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
      <sheetName val="INFREP"/>
    </sheetNames>
    <sheetDataSet>
      <sheetData sheetId="0" refreshError="1"/>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onas c rc"/>
      <sheetName val="Mejores vs Piloto"/>
      <sheetName val="Piloto"/>
      <sheetName val="zonas 97 a 01 7"/>
      <sheetName val="97 a 2001 7"/>
      <sheetName val="% Varios"/>
      <sheetName val="2001 7"/>
      <sheetName val="2000"/>
      <sheetName val="99"/>
      <sheetName val="98"/>
      <sheetName val="97"/>
      <sheetName val="PC97 98"/>
      <sheetName val="RC 102 00 01 1"/>
      <sheetName val="RC136 00 01 1"/>
      <sheetName val="RC Downtime"/>
      <sheetName val="zonas_c_rc"/>
      <sheetName val="Mejores_vs_Piloto"/>
      <sheetName val="zonas_97_a_01_7"/>
      <sheetName val="97_a_2001_7"/>
      <sheetName val="%_Varios"/>
      <sheetName val="2001_7"/>
      <sheetName val="PC97_98"/>
      <sheetName val="RC_102_00_01_1"/>
      <sheetName val="RC136_00_01_1"/>
      <sheetName val="RC_Downtim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7">
          <cell r="A7">
            <v>1</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 1"/>
      <sheetName val="Term 2"/>
      <sheetName val="Term 3"/>
      <sheetName val="K"/>
      <sheetName val="costos"/>
      <sheetName val="Informe Term. (2)"/>
      <sheetName val="Informe Term. (3)"/>
      <sheetName val="AFE00Caratula"/>
      <sheetName val="AFE Costos"/>
      <sheetName val="Rep 08-2003 "/>
      <sheetName val="InfRep.11_200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RDO.BUDGET 99"/>
      <sheetName val="RESUMEN BUDGET 99"/>
      <sheetName val="RESUMEN INV CAP"/>
      <sheetName val="RESUMEN INV NO CAP"/>
      <sheetName val="INV. TOTAL"/>
      <sheetName val="501"/>
      <sheetName val="501 Aclara"/>
      <sheetName val="505"/>
      <sheetName val="505 Aclara"/>
      <sheetName val="506"/>
      <sheetName val="506 Aclara"/>
      <sheetName val="507"/>
      <sheetName val="507 Aclara"/>
      <sheetName val="510"/>
      <sheetName val="510 Aclara"/>
      <sheetName val="514"/>
      <sheetName val="514 Aclara"/>
      <sheetName val="500"/>
      <sheetName val="500 Aclara"/>
      <sheetName val="RESUMEN INV EXPLORA"/>
      <sheetName val="INV. EXP TOTAL"/>
      <sheetName val="501 Exp"/>
      <sheetName val="501 Exp Aclara"/>
      <sheetName val="505 Exp"/>
      <sheetName val="505 Exp Aclara"/>
      <sheetName val="506 Exp"/>
      <sheetName val="506 Exp Aclara"/>
      <sheetName val="507 Exp"/>
      <sheetName val="507 Exp Aclara"/>
      <sheetName val="Budget 99 Vs. Fct 6+6 "/>
      <sheetName val="RESUMEN"/>
      <sheetName val="PROD DIA Y MES"/>
      <sheetName val="PROD TOTAL"/>
      <sheetName val="PRECIOS"/>
      <sheetName val="PRECIOS GAS"/>
      <sheetName val="CASHFLOW"/>
      <sheetName val="Sheet1"/>
      <sheetName val="Datos"/>
      <sheetName val="Chart2"/>
      <sheetName val="Reservoirs Evolution"/>
      <sheetName val="BUDGET 1999 (Definitivo 15-3-9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N1" t="str">
            <v>U$S 000</v>
          </cell>
        </row>
        <row r="2">
          <cell r="A2" t="str">
            <v>INVESTMENT AND DEVELOPMENT PLAN YEAR 1999</v>
          </cell>
        </row>
        <row r="3">
          <cell r="A3" t="str">
            <v>NEUQUEN OFFICE - BUDGET 1999</v>
          </cell>
        </row>
        <row r="6">
          <cell r="B6" t="str">
            <v>Jan</v>
          </cell>
          <cell r="C6" t="str">
            <v>Feb</v>
          </cell>
          <cell r="D6" t="str">
            <v>Mar</v>
          </cell>
          <cell r="E6" t="str">
            <v>Apr</v>
          </cell>
          <cell r="F6" t="str">
            <v>May</v>
          </cell>
          <cell r="G6" t="str">
            <v>Jun</v>
          </cell>
          <cell r="H6" t="str">
            <v>Jul</v>
          </cell>
          <cell r="I6" t="str">
            <v>Aug</v>
          </cell>
          <cell r="J6" t="str">
            <v>Sep</v>
          </cell>
          <cell r="K6" t="str">
            <v>Oct</v>
          </cell>
          <cell r="L6" t="str">
            <v>Nov</v>
          </cell>
          <cell r="M6" t="str">
            <v>Dec</v>
          </cell>
          <cell r="N6" t="str">
            <v>Total</v>
          </cell>
        </row>
        <row r="8">
          <cell r="A8" t="str">
            <v>Drilling &amp; Completion</v>
          </cell>
          <cell r="N8">
            <v>0</v>
          </cell>
        </row>
        <row r="9">
          <cell r="N9">
            <v>0</v>
          </cell>
        </row>
        <row r="11">
          <cell r="A11" t="str">
            <v>Prod. Well Equipment</v>
          </cell>
          <cell r="N11">
            <v>0</v>
          </cell>
        </row>
        <row r="12">
          <cell r="N12">
            <v>0</v>
          </cell>
        </row>
        <row r="14">
          <cell r="A14" t="str">
            <v>Plants</v>
          </cell>
          <cell r="N14">
            <v>0</v>
          </cell>
        </row>
        <row r="15">
          <cell r="A15" t="str">
            <v xml:space="preserve">        Battery</v>
          </cell>
          <cell r="N15">
            <v>0</v>
          </cell>
        </row>
        <row r="16">
          <cell r="A16" t="str">
            <v xml:space="preserve">        Injection</v>
          </cell>
          <cell r="N16">
            <v>0</v>
          </cell>
        </row>
        <row r="17">
          <cell r="A17" t="str">
            <v xml:space="preserve">        Gasolinoducto</v>
          </cell>
          <cell r="N17">
            <v>0</v>
          </cell>
        </row>
        <row r="18">
          <cell r="A18" t="str">
            <v xml:space="preserve">        Gas Plant</v>
          </cell>
          <cell r="N18">
            <v>0</v>
          </cell>
        </row>
        <row r="20">
          <cell r="A20" t="str">
            <v>Gas Proyect</v>
          </cell>
          <cell r="N20">
            <v>0</v>
          </cell>
        </row>
        <row r="22">
          <cell r="A22" t="str">
            <v>Gas Lift / Plunger Lift</v>
          </cell>
          <cell r="N22">
            <v>0</v>
          </cell>
        </row>
        <row r="23">
          <cell r="N23">
            <v>0</v>
          </cell>
        </row>
        <row r="25">
          <cell r="A25" t="str">
            <v>Vehicles</v>
          </cell>
          <cell r="D25">
            <v>17</v>
          </cell>
          <cell r="N25">
            <v>17</v>
          </cell>
        </row>
        <row r="26">
          <cell r="D26">
            <v>1</v>
          </cell>
          <cell r="N26">
            <v>1</v>
          </cell>
        </row>
        <row r="28">
          <cell r="A28" t="str">
            <v>Miscellaneous</v>
          </cell>
          <cell r="B28">
            <v>20</v>
          </cell>
          <cell r="C28">
            <v>16</v>
          </cell>
          <cell r="D28">
            <v>20</v>
          </cell>
          <cell r="G28">
            <v>14</v>
          </cell>
          <cell r="N28">
            <v>70</v>
          </cell>
        </row>
        <row r="29">
          <cell r="N29">
            <v>0</v>
          </cell>
        </row>
        <row r="30">
          <cell r="A30" t="str">
            <v>Total Capitalized</v>
          </cell>
          <cell r="B30">
            <v>20</v>
          </cell>
          <cell r="C30">
            <v>16</v>
          </cell>
          <cell r="D30">
            <v>37</v>
          </cell>
          <cell r="E30">
            <v>0</v>
          </cell>
          <cell r="F30">
            <v>0</v>
          </cell>
          <cell r="G30">
            <v>14</v>
          </cell>
          <cell r="H30">
            <v>0</v>
          </cell>
          <cell r="I30">
            <v>0</v>
          </cell>
          <cell r="J30">
            <v>0</v>
          </cell>
          <cell r="K30">
            <v>0</v>
          </cell>
          <cell r="L30">
            <v>0</v>
          </cell>
          <cell r="M30">
            <v>0</v>
          </cell>
          <cell r="N30">
            <v>87</v>
          </cell>
        </row>
        <row r="32">
          <cell r="A32" t="str">
            <v>Workovers</v>
          </cell>
          <cell r="N32">
            <v>0</v>
          </cell>
        </row>
        <row r="33">
          <cell r="N33">
            <v>0</v>
          </cell>
        </row>
        <row r="35">
          <cell r="A35" t="str">
            <v>Conversions &amp; Sel. Inyec.</v>
          </cell>
          <cell r="N35">
            <v>0</v>
          </cell>
        </row>
        <row r="36">
          <cell r="N36">
            <v>0</v>
          </cell>
        </row>
        <row r="38">
          <cell r="A38" t="str">
            <v>Water Disposal System</v>
          </cell>
          <cell r="N38">
            <v>0</v>
          </cell>
        </row>
        <row r="39">
          <cell r="N39">
            <v>0</v>
          </cell>
        </row>
        <row r="41">
          <cell r="A41" t="str">
            <v>Repair Oil &amp; Gas Line</v>
          </cell>
          <cell r="N41">
            <v>0</v>
          </cell>
        </row>
        <row r="43">
          <cell r="A43" t="str">
            <v>Core Analysis</v>
          </cell>
          <cell r="N43">
            <v>0</v>
          </cell>
        </row>
        <row r="45">
          <cell r="A45" t="str">
            <v>Testing</v>
          </cell>
          <cell r="N45">
            <v>0</v>
          </cell>
        </row>
        <row r="48">
          <cell r="A48" t="str">
            <v>Enviroment</v>
          </cell>
          <cell r="N48">
            <v>0</v>
          </cell>
        </row>
        <row r="51">
          <cell r="A51" t="str">
            <v>Road &amp; Dirt Works</v>
          </cell>
          <cell r="N51">
            <v>0</v>
          </cell>
        </row>
        <row r="53">
          <cell r="A53" t="str">
            <v>Miscellaneous Studies</v>
          </cell>
          <cell r="N53">
            <v>0</v>
          </cell>
        </row>
        <row r="55">
          <cell r="A55" t="str">
            <v>Miscellaneous</v>
          </cell>
          <cell r="N55">
            <v>0</v>
          </cell>
        </row>
        <row r="57">
          <cell r="A57" t="str">
            <v>Abandono Pozo</v>
          </cell>
          <cell r="N57">
            <v>0</v>
          </cell>
        </row>
        <row r="59">
          <cell r="A59" t="str">
            <v>Total Non Capitalized</v>
          </cell>
          <cell r="B59">
            <v>0</v>
          </cell>
          <cell r="C59">
            <v>0</v>
          </cell>
          <cell r="D59">
            <v>0</v>
          </cell>
          <cell r="E59">
            <v>0</v>
          </cell>
          <cell r="F59">
            <v>0</v>
          </cell>
          <cell r="G59">
            <v>0</v>
          </cell>
          <cell r="H59">
            <v>0</v>
          </cell>
          <cell r="I59">
            <v>0</v>
          </cell>
          <cell r="J59">
            <v>0</v>
          </cell>
          <cell r="K59">
            <v>0</v>
          </cell>
          <cell r="L59">
            <v>0</v>
          </cell>
          <cell r="M59">
            <v>0</v>
          </cell>
          <cell r="N59">
            <v>0</v>
          </cell>
        </row>
        <row r="60">
          <cell r="A60" t="str">
            <v>Total Investiments</v>
          </cell>
          <cell r="B60">
            <v>20</v>
          </cell>
          <cell r="C60">
            <v>16</v>
          </cell>
          <cell r="D60">
            <v>37</v>
          </cell>
          <cell r="E60">
            <v>0</v>
          </cell>
          <cell r="F60">
            <v>0</v>
          </cell>
          <cell r="G60">
            <v>14</v>
          </cell>
          <cell r="H60">
            <v>0</v>
          </cell>
          <cell r="I60">
            <v>0</v>
          </cell>
          <cell r="J60">
            <v>0</v>
          </cell>
          <cell r="K60">
            <v>0</v>
          </cell>
          <cell r="L60">
            <v>0</v>
          </cell>
          <cell r="M60">
            <v>0</v>
          </cell>
          <cell r="N60">
            <v>87</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row r="2">
          <cell r="A2" t="str">
            <v>PRODUCTION &amp; SALES VOLUMES</v>
          </cell>
        </row>
        <row r="3">
          <cell r="A3" t="str">
            <v>NEUQUEN DISTRICT - BUDGET 1999</v>
          </cell>
        </row>
        <row r="7">
          <cell r="B7" t="str">
            <v>DAILY OIL PRODUCTION VOLUMES SCHEDULE</v>
          </cell>
        </row>
        <row r="8">
          <cell r="B8" t="str">
            <v>m3/d</v>
          </cell>
        </row>
        <row r="10">
          <cell r="C10" t="str">
            <v>Jan</v>
          </cell>
          <cell r="D10" t="str">
            <v>Feb</v>
          </cell>
          <cell r="E10" t="str">
            <v>Mar</v>
          </cell>
          <cell r="F10" t="str">
            <v>Apr</v>
          </cell>
          <cell r="G10" t="str">
            <v>May</v>
          </cell>
          <cell r="H10" t="str">
            <v>Jun</v>
          </cell>
          <cell r="I10" t="str">
            <v>Jul</v>
          </cell>
          <cell r="J10" t="str">
            <v>Aug</v>
          </cell>
          <cell r="K10" t="str">
            <v>Sep</v>
          </cell>
          <cell r="L10" t="str">
            <v>Oct</v>
          </cell>
          <cell r="M10" t="str">
            <v>Nov</v>
          </cell>
          <cell r="N10" t="str">
            <v>Dec</v>
          </cell>
          <cell r="O10" t="str">
            <v>Avg</v>
          </cell>
        </row>
        <row r="11">
          <cell r="B11" t="str">
            <v xml:space="preserve">  Centenario (1)</v>
          </cell>
          <cell r="C11">
            <v>456</v>
          </cell>
          <cell r="D11">
            <v>425</v>
          </cell>
          <cell r="E11">
            <v>424</v>
          </cell>
          <cell r="F11">
            <v>429</v>
          </cell>
          <cell r="G11">
            <v>432</v>
          </cell>
          <cell r="H11">
            <v>430</v>
          </cell>
          <cell r="I11">
            <v>457</v>
          </cell>
          <cell r="J11">
            <v>462</v>
          </cell>
          <cell r="K11">
            <v>460</v>
          </cell>
          <cell r="L11">
            <v>426</v>
          </cell>
          <cell r="M11">
            <v>448</v>
          </cell>
          <cell r="N11">
            <v>443</v>
          </cell>
          <cell r="O11">
            <v>441</v>
          </cell>
        </row>
        <row r="12">
          <cell r="B12" t="str">
            <v xml:space="preserve">  El Porvenir</v>
          </cell>
          <cell r="C12">
            <v>448</v>
          </cell>
          <cell r="D12">
            <v>460</v>
          </cell>
          <cell r="E12">
            <v>480</v>
          </cell>
          <cell r="F12">
            <v>489</v>
          </cell>
          <cell r="G12">
            <v>497</v>
          </cell>
          <cell r="H12">
            <v>506</v>
          </cell>
          <cell r="I12">
            <v>503</v>
          </cell>
          <cell r="J12">
            <v>507</v>
          </cell>
          <cell r="K12">
            <v>513</v>
          </cell>
          <cell r="L12">
            <v>510</v>
          </cell>
          <cell r="M12">
            <v>506</v>
          </cell>
          <cell r="N12">
            <v>501</v>
          </cell>
          <cell r="O12">
            <v>493.33333333333331</v>
          </cell>
        </row>
        <row r="13">
          <cell r="B13" t="str">
            <v xml:space="preserve">  Aguada Baguales</v>
          </cell>
          <cell r="C13">
            <v>209</v>
          </cell>
          <cell r="D13">
            <v>218</v>
          </cell>
          <cell r="E13">
            <v>203</v>
          </cell>
          <cell r="F13">
            <v>197</v>
          </cell>
          <cell r="G13">
            <v>203</v>
          </cell>
          <cell r="H13">
            <v>207</v>
          </cell>
          <cell r="I13">
            <v>206</v>
          </cell>
          <cell r="J13">
            <v>205</v>
          </cell>
          <cell r="K13">
            <v>199</v>
          </cell>
          <cell r="L13">
            <v>194</v>
          </cell>
          <cell r="M13">
            <v>189</v>
          </cell>
          <cell r="N13">
            <v>185</v>
          </cell>
          <cell r="O13">
            <v>201.25</v>
          </cell>
        </row>
        <row r="14">
          <cell r="B14" t="str">
            <v xml:space="preserve">  Puesto Touquet (1)</v>
          </cell>
          <cell r="C14">
            <v>1.4667741935483871</v>
          </cell>
          <cell r="D14">
            <v>1.5106000000000002</v>
          </cell>
          <cell r="E14">
            <v>1.4086899354838709</v>
          </cell>
          <cell r="F14">
            <v>1.5223760800000001</v>
          </cell>
          <cell r="G14">
            <v>1.4655509753290323</v>
          </cell>
          <cell r="H14">
            <v>1.4597499872320001</v>
          </cell>
          <cell r="I14">
            <v>1.4053185760608413</v>
          </cell>
          <cell r="J14">
            <v>1.3761523262170436</v>
          </cell>
          <cell r="K14">
            <v>1.3706849867308604</v>
          </cell>
          <cell r="L14">
            <v>1.3196519342516873</v>
          </cell>
          <cell r="M14">
            <v>1.31439642363618</v>
          </cell>
          <cell r="N14">
            <v>1.2655074391151264</v>
          </cell>
          <cell r="O14">
            <v>1.4071210714670859</v>
          </cell>
        </row>
        <row r="15">
          <cell r="B15" t="str">
            <v xml:space="preserve">  (1) Includes Gasoline &amp; Cond.</v>
          </cell>
        </row>
        <row r="16">
          <cell r="B16" t="str">
            <v>DAILY GAS SALES VOLUMES SCHEDULE</v>
          </cell>
        </row>
        <row r="17">
          <cell r="B17" t="str">
            <v>Mm3/d</v>
          </cell>
        </row>
        <row r="19">
          <cell r="C19" t="str">
            <v>Jan</v>
          </cell>
          <cell r="D19" t="str">
            <v>Feb</v>
          </cell>
          <cell r="E19" t="str">
            <v>Mar</v>
          </cell>
          <cell r="F19" t="str">
            <v>Apr</v>
          </cell>
          <cell r="G19" t="str">
            <v>May</v>
          </cell>
          <cell r="H19" t="str">
            <v>Jun</v>
          </cell>
          <cell r="I19" t="str">
            <v>Jul</v>
          </cell>
          <cell r="J19" t="str">
            <v>Aug</v>
          </cell>
          <cell r="K19" t="str">
            <v>Sep</v>
          </cell>
          <cell r="L19" t="str">
            <v>Oct</v>
          </cell>
          <cell r="M19" t="str">
            <v>Nov</v>
          </cell>
          <cell r="N19" t="str">
            <v>Dec</v>
          </cell>
          <cell r="O19" t="str">
            <v>Avg</v>
          </cell>
        </row>
        <row r="20">
          <cell r="B20" t="str">
            <v xml:space="preserve">  Centenario</v>
          </cell>
          <cell r="C20">
            <v>1240</v>
          </cell>
          <cell r="D20">
            <v>1238</v>
          </cell>
          <cell r="E20">
            <v>1350</v>
          </cell>
          <cell r="F20">
            <v>1500</v>
          </cell>
          <cell r="G20">
            <v>1500</v>
          </cell>
          <cell r="H20">
            <v>1500</v>
          </cell>
          <cell r="I20">
            <v>1900</v>
          </cell>
          <cell r="J20">
            <v>1950</v>
          </cell>
          <cell r="K20">
            <v>1950</v>
          </cell>
          <cell r="L20">
            <v>1635</v>
          </cell>
          <cell r="M20">
            <v>1950</v>
          </cell>
          <cell r="N20">
            <v>1949.8</v>
          </cell>
          <cell r="O20">
            <v>1638.5666666666666</v>
          </cell>
        </row>
        <row r="21">
          <cell r="B21" t="str">
            <v xml:space="preserve">  Aguada Baguales</v>
          </cell>
          <cell r="C21">
            <v>0</v>
          </cell>
          <cell r="D21">
            <v>0</v>
          </cell>
          <cell r="E21">
            <v>25</v>
          </cell>
          <cell r="F21">
            <v>25</v>
          </cell>
          <cell r="G21">
            <v>25</v>
          </cell>
          <cell r="H21">
            <v>25</v>
          </cell>
          <cell r="I21">
            <v>25</v>
          </cell>
          <cell r="J21">
            <v>25</v>
          </cell>
          <cell r="K21">
            <v>25</v>
          </cell>
          <cell r="L21">
            <v>25</v>
          </cell>
          <cell r="M21">
            <v>25</v>
          </cell>
          <cell r="N21">
            <v>25</v>
          </cell>
          <cell r="O21">
            <v>20.833333333333332</v>
          </cell>
        </row>
        <row r="22">
          <cell r="B22" t="str">
            <v xml:space="preserve">  Puesto Touquet</v>
          </cell>
          <cell r="C22">
            <v>201</v>
          </cell>
          <cell r="D22">
            <v>190</v>
          </cell>
          <cell r="E22">
            <v>190</v>
          </cell>
          <cell r="F22">
            <v>190</v>
          </cell>
          <cell r="G22">
            <v>190</v>
          </cell>
          <cell r="H22">
            <v>190</v>
          </cell>
          <cell r="I22">
            <v>190</v>
          </cell>
          <cell r="J22">
            <v>190</v>
          </cell>
          <cell r="K22">
            <v>190</v>
          </cell>
          <cell r="L22">
            <v>190</v>
          </cell>
          <cell r="M22">
            <v>190</v>
          </cell>
          <cell r="N22">
            <v>190</v>
          </cell>
          <cell r="O22">
            <v>190.91666666666666</v>
          </cell>
        </row>
        <row r="23">
          <cell r="B23" t="str">
            <v xml:space="preserve">  Puesto Silva</v>
          </cell>
          <cell r="C23">
            <v>122</v>
          </cell>
          <cell r="D23">
            <v>120</v>
          </cell>
          <cell r="E23">
            <v>116</v>
          </cell>
          <cell r="F23">
            <v>104</v>
          </cell>
          <cell r="G23">
            <v>108</v>
          </cell>
          <cell r="H23">
            <v>97</v>
          </cell>
          <cell r="I23">
            <v>135</v>
          </cell>
          <cell r="J23">
            <v>132</v>
          </cell>
          <cell r="K23">
            <v>122</v>
          </cell>
          <cell r="L23">
            <v>124</v>
          </cell>
          <cell r="M23">
            <v>115</v>
          </cell>
          <cell r="N23">
            <v>114.5</v>
          </cell>
          <cell r="O23">
            <v>117.45833333333333</v>
          </cell>
        </row>
        <row r="25">
          <cell r="B25" t="str">
            <v>DAILY PROPANE - BUTANE SALES VOLUMES SCHEDULE</v>
          </cell>
        </row>
        <row r="26">
          <cell r="B26" t="str">
            <v>Tn/d</v>
          </cell>
        </row>
        <row r="28">
          <cell r="C28" t="str">
            <v>Jan</v>
          </cell>
          <cell r="D28" t="str">
            <v>Feb</v>
          </cell>
          <cell r="E28" t="str">
            <v>Mar</v>
          </cell>
          <cell r="F28" t="str">
            <v>Apr</v>
          </cell>
          <cell r="G28" t="str">
            <v>May</v>
          </cell>
          <cell r="H28" t="str">
            <v>Jun</v>
          </cell>
          <cell r="I28" t="str">
            <v>Jul</v>
          </cell>
          <cell r="J28" t="str">
            <v>Aug</v>
          </cell>
          <cell r="K28" t="str">
            <v>Sep</v>
          </cell>
          <cell r="L28" t="str">
            <v>Oct</v>
          </cell>
          <cell r="M28" t="str">
            <v>Nov</v>
          </cell>
          <cell r="N28" t="str">
            <v>Dec</v>
          </cell>
          <cell r="O28" t="str">
            <v>Avg</v>
          </cell>
        </row>
        <row r="29">
          <cell r="B29" t="str">
            <v xml:space="preserve">  Centenario</v>
          </cell>
          <cell r="C29">
            <v>85</v>
          </cell>
          <cell r="D29">
            <v>82.035714285714292</v>
          </cell>
          <cell r="E29">
            <v>80</v>
          </cell>
          <cell r="F29">
            <v>96.666666666666671</v>
          </cell>
          <cell r="G29">
            <v>96.677419354838705</v>
          </cell>
          <cell r="H29">
            <v>96.666666666666671</v>
          </cell>
          <cell r="I29">
            <v>108.6774193548387</v>
          </cell>
          <cell r="J29">
            <v>108.6774193548387</v>
          </cell>
          <cell r="K29">
            <v>108.66666666666667</v>
          </cell>
          <cell r="L29">
            <v>94.645161290322577</v>
          </cell>
          <cell r="M29">
            <v>108.66666666666667</v>
          </cell>
          <cell r="N29">
            <v>108.6774193548387</v>
          </cell>
          <cell r="O29">
            <v>97.921434971838195</v>
          </cell>
        </row>
        <row r="32">
          <cell r="B32" t="str">
            <v>MONTHLY OIL PRODUCTION VOLUMES SCHEDULE</v>
          </cell>
        </row>
        <row r="33">
          <cell r="B33" t="str">
            <v>m3</v>
          </cell>
        </row>
        <row r="35">
          <cell r="C35" t="str">
            <v>Jan</v>
          </cell>
          <cell r="D35" t="str">
            <v>Feb</v>
          </cell>
          <cell r="E35" t="str">
            <v>Mar</v>
          </cell>
          <cell r="F35" t="str">
            <v>Apr</v>
          </cell>
          <cell r="G35" t="str">
            <v>May</v>
          </cell>
          <cell r="H35" t="str">
            <v>Jun</v>
          </cell>
          <cell r="I35" t="str">
            <v>Jul</v>
          </cell>
          <cell r="J35" t="str">
            <v>Aug</v>
          </cell>
          <cell r="K35" t="str">
            <v>Sep</v>
          </cell>
          <cell r="L35" t="str">
            <v>Oct</v>
          </cell>
          <cell r="M35" t="str">
            <v>Nov</v>
          </cell>
          <cell r="N35" t="str">
            <v>Dec</v>
          </cell>
          <cell r="O35" t="str">
            <v>Total</v>
          </cell>
        </row>
        <row r="36">
          <cell r="B36" t="str">
            <v xml:space="preserve">  Centenario (1)</v>
          </cell>
          <cell r="C36">
            <v>14136</v>
          </cell>
          <cell r="D36">
            <v>11900</v>
          </cell>
          <cell r="E36">
            <v>13144</v>
          </cell>
          <cell r="F36">
            <v>12870</v>
          </cell>
          <cell r="G36">
            <v>13392</v>
          </cell>
          <cell r="H36">
            <v>12900</v>
          </cell>
          <cell r="I36">
            <v>14167</v>
          </cell>
          <cell r="J36">
            <v>14322</v>
          </cell>
          <cell r="K36">
            <v>13800</v>
          </cell>
          <cell r="L36">
            <v>13206</v>
          </cell>
          <cell r="M36">
            <v>13440</v>
          </cell>
          <cell r="N36">
            <v>13733</v>
          </cell>
          <cell r="O36">
            <v>161010</v>
          </cell>
        </row>
        <row r="37">
          <cell r="B37" t="str">
            <v xml:space="preserve">  El Porvenir</v>
          </cell>
          <cell r="C37">
            <v>13888</v>
          </cell>
          <cell r="D37">
            <v>12880</v>
          </cell>
          <cell r="E37">
            <v>14880</v>
          </cell>
          <cell r="F37">
            <v>14670</v>
          </cell>
          <cell r="G37">
            <v>15407</v>
          </cell>
          <cell r="H37">
            <v>15180</v>
          </cell>
          <cell r="I37">
            <v>15593</v>
          </cell>
          <cell r="J37">
            <v>15717</v>
          </cell>
          <cell r="K37">
            <v>15390</v>
          </cell>
          <cell r="L37">
            <v>15810</v>
          </cell>
          <cell r="M37">
            <v>15180</v>
          </cell>
          <cell r="N37">
            <v>15531</v>
          </cell>
          <cell r="O37">
            <v>180126</v>
          </cell>
        </row>
        <row r="38">
          <cell r="B38" t="str">
            <v xml:space="preserve">  Aguada Baguales</v>
          </cell>
          <cell r="C38">
            <v>6479</v>
          </cell>
          <cell r="D38">
            <v>6104</v>
          </cell>
          <cell r="E38">
            <v>6293</v>
          </cell>
          <cell r="F38">
            <v>5910</v>
          </cell>
          <cell r="G38">
            <v>6293</v>
          </cell>
          <cell r="H38">
            <v>6210</v>
          </cell>
          <cell r="I38">
            <v>6386</v>
          </cell>
          <cell r="J38">
            <v>6355</v>
          </cell>
          <cell r="K38">
            <v>5970</v>
          </cell>
          <cell r="L38">
            <v>6014</v>
          </cell>
          <cell r="M38">
            <v>5670</v>
          </cell>
          <cell r="N38">
            <v>5735</v>
          </cell>
          <cell r="O38">
            <v>73419</v>
          </cell>
        </row>
        <row r="39">
          <cell r="B39" t="str">
            <v xml:space="preserve">  Puesto Touquet (1)</v>
          </cell>
          <cell r="C39">
            <v>45.47</v>
          </cell>
          <cell r="D39">
            <v>42.296800000000005</v>
          </cell>
          <cell r="E39">
            <v>43.669387999999998</v>
          </cell>
          <cell r="F39">
            <v>45.671282400000003</v>
          </cell>
          <cell r="G39">
            <v>45.432080235200004</v>
          </cell>
          <cell r="H39">
            <v>43.792499616960001</v>
          </cell>
          <cell r="I39">
            <v>43.564875857886079</v>
          </cell>
          <cell r="J39">
            <v>42.660722112728351</v>
          </cell>
          <cell r="K39">
            <v>41.120549601925809</v>
          </cell>
          <cell r="L39">
            <v>40.909209961802304</v>
          </cell>
          <cell r="M39">
            <v>39.431892709085403</v>
          </cell>
          <cell r="N39">
            <v>39.230730612568919</v>
          </cell>
          <cell r="O39">
            <v>513.25003110815692</v>
          </cell>
        </row>
        <row r="40">
          <cell r="B40" t="str">
            <v xml:space="preserve">  (1) Includes Gasoline &amp; Cond.</v>
          </cell>
        </row>
        <row r="41">
          <cell r="B41" t="str">
            <v>MONTHLY GAS SALES VOLUMES SCHEDULE</v>
          </cell>
        </row>
        <row r="42">
          <cell r="B42" t="str">
            <v>Mm3</v>
          </cell>
        </row>
        <row r="44">
          <cell r="C44" t="str">
            <v>Jan</v>
          </cell>
          <cell r="D44" t="str">
            <v>Feb</v>
          </cell>
          <cell r="E44" t="str">
            <v>Mar</v>
          </cell>
          <cell r="F44" t="str">
            <v>Apr</v>
          </cell>
          <cell r="G44" t="str">
            <v>May</v>
          </cell>
          <cell r="H44" t="str">
            <v>Jun</v>
          </cell>
          <cell r="I44" t="str">
            <v>Jul</v>
          </cell>
          <cell r="J44" t="str">
            <v>Aug</v>
          </cell>
          <cell r="K44" t="str">
            <v>Sep</v>
          </cell>
          <cell r="L44" t="str">
            <v>Oct</v>
          </cell>
          <cell r="M44" t="str">
            <v>Nov</v>
          </cell>
          <cell r="N44" t="str">
            <v>Dec</v>
          </cell>
          <cell r="O44" t="str">
            <v>Total</v>
          </cell>
        </row>
        <row r="45">
          <cell r="B45" t="str">
            <v xml:space="preserve">  Centenario</v>
          </cell>
          <cell r="C45">
            <v>38440</v>
          </cell>
          <cell r="D45">
            <v>34664</v>
          </cell>
          <cell r="E45">
            <v>41850</v>
          </cell>
          <cell r="F45">
            <v>45000</v>
          </cell>
          <cell r="G45">
            <v>46500</v>
          </cell>
          <cell r="H45">
            <v>45000</v>
          </cell>
          <cell r="I45">
            <v>58900</v>
          </cell>
          <cell r="J45">
            <v>60450</v>
          </cell>
          <cell r="K45">
            <v>58500</v>
          </cell>
          <cell r="L45">
            <v>50685</v>
          </cell>
          <cell r="M45">
            <v>58500</v>
          </cell>
          <cell r="N45">
            <v>60443.799999999996</v>
          </cell>
          <cell r="O45">
            <v>598932.80000000005</v>
          </cell>
        </row>
        <row r="46">
          <cell r="B46" t="str">
            <v xml:space="preserve">  Aguada Baguales</v>
          </cell>
          <cell r="C46">
            <v>0</v>
          </cell>
          <cell r="D46">
            <v>0</v>
          </cell>
          <cell r="E46">
            <v>775</v>
          </cell>
          <cell r="F46">
            <v>750</v>
          </cell>
          <cell r="G46">
            <v>775</v>
          </cell>
          <cell r="H46">
            <v>750</v>
          </cell>
          <cell r="I46">
            <v>775</v>
          </cell>
          <cell r="J46">
            <v>775</v>
          </cell>
          <cell r="K46">
            <v>750</v>
          </cell>
          <cell r="L46">
            <v>775</v>
          </cell>
          <cell r="M46">
            <v>750</v>
          </cell>
          <cell r="N46">
            <v>775</v>
          </cell>
          <cell r="O46">
            <v>7650</v>
          </cell>
        </row>
        <row r="47">
          <cell r="B47" t="str">
            <v xml:space="preserve">  Puesto Touquet</v>
          </cell>
          <cell r="C47">
            <v>6231</v>
          </cell>
          <cell r="D47">
            <v>5320</v>
          </cell>
          <cell r="E47">
            <v>5890</v>
          </cell>
          <cell r="F47">
            <v>5700</v>
          </cell>
          <cell r="G47">
            <v>5890</v>
          </cell>
          <cell r="H47">
            <v>5700</v>
          </cell>
          <cell r="I47">
            <v>5890</v>
          </cell>
          <cell r="J47">
            <v>5890</v>
          </cell>
          <cell r="K47">
            <v>5700</v>
          </cell>
          <cell r="L47">
            <v>5890</v>
          </cell>
          <cell r="M47">
            <v>5700</v>
          </cell>
          <cell r="N47">
            <v>5890</v>
          </cell>
          <cell r="O47">
            <v>69691</v>
          </cell>
        </row>
        <row r="48">
          <cell r="B48" t="str">
            <v xml:space="preserve">  Puesto Silva</v>
          </cell>
          <cell r="C48">
            <v>3782</v>
          </cell>
          <cell r="D48">
            <v>3360</v>
          </cell>
          <cell r="E48">
            <v>3596</v>
          </cell>
          <cell r="F48">
            <v>3120</v>
          </cell>
          <cell r="G48">
            <v>3348</v>
          </cell>
          <cell r="H48">
            <v>2910</v>
          </cell>
          <cell r="I48">
            <v>4185</v>
          </cell>
          <cell r="J48">
            <v>4092</v>
          </cell>
          <cell r="K48">
            <v>3660</v>
          </cell>
          <cell r="L48">
            <v>3844</v>
          </cell>
          <cell r="M48">
            <v>3450</v>
          </cell>
          <cell r="N48">
            <v>3549.5</v>
          </cell>
          <cell r="O48">
            <v>42896.5</v>
          </cell>
        </row>
        <row r="50">
          <cell r="B50" t="str">
            <v>MONTHLY PROPANE - BUTANE SALES VOLUMES SCHEDULE</v>
          </cell>
        </row>
        <row r="51">
          <cell r="B51" t="str">
            <v>Tn</v>
          </cell>
        </row>
        <row r="53">
          <cell r="C53" t="str">
            <v>Jan</v>
          </cell>
          <cell r="D53" t="str">
            <v>Feb</v>
          </cell>
          <cell r="E53" t="str">
            <v>Mar</v>
          </cell>
          <cell r="F53" t="str">
            <v>Apr</v>
          </cell>
          <cell r="G53" t="str">
            <v>May</v>
          </cell>
          <cell r="H53" t="str">
            <v>Jun</v>
          </cell>
          <cell r="I53" t="str">
            <v>Jul</v>
          </cell>
          <cell r="J53" t="str">
            <v>Aug</v>
          </cell>
          <cell r="K53" t="str">
            <v>Sep</v>
          </cell>
          <cell r="L53" t="str">
            <v>Oct</v>
          </cell>
          <cell r="M53" t="str">
            <v>Nov</v>
          </cell>
          <cell r="N53" t="str">
            <v>Dec</v>
          </cell>
          <cell r="O53" t="str">
            <v>Total</v>
          </cell>
        </row>
        <row r="54">
          <cell r="B54" t="str">
            <v xml:space="preserve">  Centenario</v>
          </cell>
          <cell r="C54">
            <v>2635</v>
          </cell>
          <cell r="D54">
            <v>2297</v>
          </cell>
          <cell r="E54">
            <v>2480</v>
          </cell>
          <cell r="F54">
            <v>2900</v>
          </cell>
          <cell r="G54">
            <v>2997</v>
          </cell>
          <cell r="H54">
            <v>2900</v>
          </cell>
          <cell r="I54">
            <v>3369</v>
          </cell>
          <cell r="J54">
            <v>3369</v>
          </cell>
          <cell r="K54">
            <v>3260</v>
          </cell>
          <cell r="L54">
            <v>2934</v>
          </cell>
          <cell r="M54">
            <v>3260</v>
          </cell>
          <cell r="N54">
            <v>3369</v>
          </cell>
          <cell r="O54">
            <v>35770</v>
          </cell>
        </row>
      </sheetData>
      <sheetData sheetId="32"/>
      <sheetData sheetId="33"/>
      <sheetData sheetId="34"/>
      <sheetData sheetId="35"/>
      <sheetData sheetId="36"/>
      <sheetData sheetId="37"/>
      <sheetData sheetId="38" refreshError="1"/>
      <sheetData sheetId="39" refreshError="1"/>
      <sheetData sheetId="4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sheetNames>
    <definedNames>
      <definedName name="AbrirImprimir"/>
      <definedName name="BorrarHoja"/>
      <definedName name="GrabarCambios"/>
      <definedName name="Macro4"/>
      <definedName name="Módulo3.Sector2"/>
      <definedName name="Módulo4.Sector3"/>
      <definedName name="Módulo5.Sector4"/>
      <definedName name="Módulo6.Sector5"/>
      <definedName name="Sector1"/>
      <definedName name="SectorTanque1"/>
      <definedName name="Tanque2"/>
      <definedName name="Tanque3"/>
      <definedName name="Tanque4"/>
      <definedName name="Tanque5"/>
      <definedName name="Tanque6"/>
    </definedNames>
    <sheetDataSet>
      <sheetData sheetId="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
      <sheetName val="MO"/>
      <sheetName val="CS"/>
      <sheetName val="GdP"/>
      <sheetName val="Veh"/>
      <sheetName val="Maq"/>
      <sheetName val="Mat"/>
      <sheetName val="Otros"/>
      <sheetName val="GE"/>
      <sheetName val="INSTRUCTIVO DE CARGA"/>
      <sheetName val="RESUMEN Item 10"/>
      <sheetName val="RESUMEN Item 9"/>
    </sheetNames>
    <sheetDataSet>
      <sheetData sheetId="0"/>
      <sheetData sheetId="1">
        <row r="3">
          <cell r="A3" t="str">
            <v>Fuera de Convenio</v>
          </cell>
        </row>
        <row r="4">
          <cell r="A4" t="str">
            <v>Nombre y Apellido</v>
          </cell>
        </row>
        <row r="5">
          <cell r="A5" t="str">
            <v>JUAN</v>
          </cell>
        </row>
        <row r="24">
          <cell r="A24" t="str">
            <v>UOCRA</v>
          </cell>
        </row>
        <row r="25">
          <cell r="A25" t="str">
            <v>Nombre y Apellido</v>
          </cell>
        </row>
        <row r="54">
          <cell r="A54" t="str">
            <v>Petroleros</v>
          </cell>
        </row>
        <row r="55">
          <cell r="A55" t="str">
            <v>Nombre y Apellido</v>
          </cell>
        </row>
        <row r="56">
          <cell r="A56" t="str">
            <v>SOLDADURA</v>
          </cell>
        </row>
        <row r="65">
          <cell r="A65" t="str">
            <v>CAÑISTAS</v>
          </cell>
        </row>
        <row r="71">
          <cell r="A71" t="str">
            <v>RETROEXCAVADORA</v>
          </cell>
        </row>
        <row r="74">
          <cell r="A74" t="str">
            <v>LABORATORISTAS</v>
          </cell>
        </row>
        <row r="79">
          <cell r="A79" t="str">
            <v>OPERADORES DE PLANTA</v>
          </cell>
        </row>
        <row r="88">
          <cell r="A88" t="str">
            <v>OPERADORES DE PRODUCCIÓN</v>
          </cell>
        </row>
        <row r="97">
          <cell r="A97" t="str">
            <v>SOPORTES DE PRODUCCIÓN</v>
          </cell>
        </row>
        <row r="106">
          <cell r="A106" t="str">
            <v>OTROS SUELDOS DIRECTOS</v>
          </cell>
        </row>
      </sheetData>
      <sheetData sheetId="2"/>
      <sheetData sheetId="3">
        <row r="5">
          <cell r="F5" t="str">
            <v>Op</v>
          </cell>
          <cell r="G5" t="str">
            <v>Adm</v>
          </cell>
          <cell r="H5" t="str">
            <v>Sup</v>
          </cell>
        </row>
        <row r="61">
          <cell r="F61" t="str">
            <v>Op</v>
          </cell>
          <cell r="G61" t="str">
            <v>Adm</v>
          </cell>
        </row>
      </sheetData>
      <sheetData sheetId="4">
        <row r="6">
          <cell r="A6" t="str">
            <v>TOYOTA</v>
          </cell>
        </row>
      </sheetData>
      <sheetData sheetId="5">
        <row r="6">
          <cell r="F6">
            <v>0</v>
          </cell>
        </row>
      </sheetData>
      <sheetData sheetId="6"/>
      <sheetData sheetId="7"/>
      <sheetData sheetId="8">
        <row r="5">
          <cell r="I5" t="str">
            <v>SERVICIO</v>
          </cell>
        </row>
      </sheetData>
      <sheetData sheetId="9"/>
      <sheetData sheetId="10"/>
      <sheetData sheetId="1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Mano de Obra"/>
      <sheetName val="BD_ESCALAS"/>
      <sheetName val="BD_ADICIONALES"/>
      <sheetName val="IVA"/>
    </sheetNames>
    <sheetDataSet>
      <sheetData sheetId="0" refreshError="1"/>
      <sheetData sheetId="1" refreshError="1"/>
      <sheetData sheetId="2">
        <row r="7">
          <cell r="C7" t="str">
            <v>PETROLERO CHUBUT (605/10)</v>
          </cell>
          <cell r="D7" t="str">
            <v>PETROLERO CHUBUT (605/10)</v>
          </cell>
          <cell r="E7" t="str">
            <v>PETROLERO FASP (643/12)</v>
          </cell>
          <cell r="F7" t="str">
            <v>PETROLERO FASP (643/12)</v>
          </cell>
          <cell r="G7" t="str">
            <v>PETROLERO FASP (643/12)</v>
          </cell>
          <cell r="H7" t="str">
            <v>PETROLERO FASP (643/12)</v>
          </cell>
          <cell r="I7" t="str">
            <v>PETROLERO FASP (643/12)</v>
          </cell>
          <cell r="J7" t="str">
            <v>PETROLERO RN, NQN Y LP (644/12)</v>
          </cell>
          <cell r="K7" t="str">
            <v>PETROLERO RN, NQN Y LP (644/12)</v>
          </cell>
          <cell r="L7" t="str">
            <v>PETROLERO RN, NQN Y LP (644/12)</v>
          </cell>
          <cell r="M7" t="str">
            <v>PETROLERO CHUBUT (605/10)</v>
          </cell>
          <cell r="N7" t="str">
            <v>PETROLERO CHUBUT (605/10)</v>
          </cell>
          <cell r="O7" t="str">
            <v>PETROLERO FASP (643/12)</v>
          </cell>
          <cell r="P7" t="str">
            <v>PETROLERO FASP (643/12)</v>
          </cell>
          <cell r="Q7" t="str">
            <v>PETROLERO FASP (643/12)</v>
          </cell>
          <cell r="R7" t="str">
            <v>PETROLERO FASP (643/12)</v>
          </cell>
          <cell r="S7" t="str">
            <v>PETROLERO FASP (643/12)</v>
          </cell>
          <cell r="T7" t="str">
            <v>PETROLERO RN, NQN Y LP (644/12)</v>
          </cell>
          <cell r="U7" t="str">
            <v>PETROLERO RN, NQN Y LP (644/12)</v>
          </cell>
          <cell r="V7" t="str">
            <v>PETROLERO RN, NQN Y LP (644/12)</v>
          </cell>
          <cell r="W7" t="str">
            <v>PETROLERO CHUBUT (605/10)</v>
          </cell>
          <cell r="X7" t="str">
            <v>PETROLERO CHUBUT (605/10)</v>
          </cell>
          <cell r="Y7" t="str">
            <v>PETROLERO FASP (643/12)</v>
          </cell>
          <cell r="Z7" t="str">
            <v>PETROLERO FASP (643/12)</v>
          </cell>
          <cell r="AA7" t="str">
            <v>PETROLERO FASP (643/12)</v>
          </cell>
          <cell r="AB7" t="str">
            <v>PETROLERO FASP (643/12)</v>
          </cell>
          <cell r="AC7" t="str">
            <v>PETROLERO FASP (643/12)</v>
          </cell>
          <cell r="AD7" t="str">
            <v>PETROLERO RN, NQN Y LP (644/12)</v>
          </cell>
          <cell r="AE7" t="str">
            <v>PETROLERO RN, NQN Y LP (644/12)</v>
          </cell>
          <cell r="AF7" t="str">
            <v>PETROLERO RN, NQN Y LP (644/12)</v>
          </cell>
          <cell r="AG7" t="str">
            <v>PETROLERO CHUBUT (605/10)</v>
          </cell>
          <cell r="AH7" t="str">
            <v>PETROLERO CHUBUT (605/10)</v>
          </cell>
          <cell r="AI7" t="str">
            <v>PETROLERO FASP (643/12)</v>
          </cell>
          <cell r="AJ7" t="str">
            <v>PETROLERO FASP (643/12)</v>
          </cell>
          <cell r="AK7" t="str">
            <v>PETROLERO FASP (643/12)</v>
          </cell>
          <cell r="AL7" t="str">
            <v>PETROLERO FASP (643/12)</v>
          </cell>
          <cell r="AM7" t="str">
            <v>PETROLERO FASP (643/12)</v>
          </cell>
          <cell r="AN7" t="str">
            <v>PETROLERO RN, NQN Y LP (644/12)</v>
          </cell>
          <cell r="AO7" t="str">
            <v>PETROLERO RN, NQN Y LP (644/12)</v>
          </cell>
          <cell r="AP7" t="str">
            <v>PETROLERO RN, NQN Y LP (644/12)</v>
          </cell>
          <cell r="AQ7" t="str">
            <v>PETROLERO CHUBUT (605/10)</v>
          </cell>
          <cell r="AR7" t="str">
            <v>PETROLERO CHUBUT (605/10)</v>
          </cell>
          <cell r="AS7" t="str">
            <v>PETROLERO FASP (643/12)</v>
          </cell>
          <cell r="AT7" t="str">
            <v>PETROLERO FASP (643/12)</v>
          </cell>
          <cell r="AU7" t="str">
            <v>PETROLERO FASP (643/12)</v>
          </cell>
          <cell r="AV7" t="str">
            <v>PETROLERO FASP (643/12)</v>
          </cell>
          <cell r="AW7" t="str">
            <v>PETROLERO FASP (643/12)</v>
          </cell>
          <cell r="AX7" t="str">
            <v>PETROLERO RN, NQN Y LP (644/12)</v>
          </cell>
          <cell r="AY7" t="str">
            <v>PETROLERO RN, NQN Y LP (644/12)</v>
          </cell>
          <cell r="AZ7" t="str">
            <v>PETROLERO RN, NQN Y LP (644/12)</v>
          </cell>
          <cell r="BA7" t="str">
            <v>PETROLERO CHUBUT (605/10)</v>
          </cell>
          <cell r="BB7" t="str">
            <v>PETROLERO CHUBUT (605/10)</v>
          </cell>
          <cell r="BC7" t="str">
            <v>PETROLERO FASP (643/12)</v>
          </cell>
          <cell r="BD7" t="str">
            <v>PETROLERO FASP (643/12)</v>
          </cell>
          <cell r="BE7" t="str">
            <v>PETROLERO FASP (643/12)</v>
          </cell>
          <cell r="BF7" t="str">
            <v>PETROLERO FASP (643/12)</v>
          </cell>
          <cell r="BG7" t="str">
            <v>PETROLERO FASP (643/12)</v>
          </cell>
          <cell r="BH7" t="str">
            <v>PETROLERO RN, NQN Y LP (644/12)</v>
          </cell>
          <cell r="BI7" t="str">
            <v>PETROLERO RN, NQN Y LP (644/12)</v>
          </cell>
          <cell r="BJ7" t="str">
            <v>PETROLERO RN, NQN Y LP (644/12)</v>
          </cell>
          <cell r="BK7" t="str">
            <v>PETROLERO CHUBUT (605/10)</v>
          </cell>
          <cell r="BL7" t="str">
            <v>PETROLERO CHUBUT (605/10)</v>
          </cell>
          <cell r="BM7" t="str">
            <v>PETROLERO FASP (643/12)</v>
          </cell>
          <cell r="BN7" t="str">
            <v>PETROLERO FASP (643/12)</v>
          </cell>
          <cell r="BO7" t="str">
            <v>PETROLERO FASP (643/12)</v>
          </cell>
          <cell r="BP7" t="str">
            <v>PETROLERO FASP (643/12)</v>
          </cell>
          <cell r="BQ7" t="str">
            <v>PETROLERO FASP (643/12)</v>
          </cell>
          <cell r="BR7" t="str">
            <v>PETROLERO RN, NQN Y LP (644/12)</v>
          </cell>
          <cell r="BS7" t="str">
            <v>PETROLERO RN, NQN Y LP (644/12)</v>
          </cell>
          <cell r="BT7" t="str">
            <v>PETROLERO RN, NQN Y LP (644/12)</v>
          </cell>
          <cell r="BU7" t="str">
            <v>PETROLERO CHUBUT (605/10)</v>
          </cell>
          <cell r="BV7" t="str">
            <v>PETROLERO CHUBUT (605/10)</v>
          </cell>
          <cell r="BW7" t="str">
            <v>PETROLERO FASP (643/12)</v>
          </cell>
          <cell r="BX7" t="str">
            <v>PETROLERO FASP (643/12)</v>
          </cell>
          <cell r="BY7" t="str">
            <v>PETROLERO FASP (643/12)</v>
          </cell>
          <cell r="BZ7" t="str">
            <v>PETROLERO FASP (643/12)</v>
          </cell>
          <cell r="CA7" t="str">
            <v>PETROLERO FASP (643/12)</v>
          </cell>
          <cell r="CB7" t="str">
            <v>PETROLERO RN, NQN Y LP (644/12)</v>
          </cell>
          <cell r="CC7" t="str">
            <v>PETROLERO RN, NQN Y LP (644/12)</v>
          </cell>
          <cell r="CD7" t="str">
            <v>PETROLERO RN, NQN Y LP (644/12)</v>
          </cell>
        </row>
        <row r="8">
          <cell r="C8" t="str">
            <v>BASICA</v>
          </cell>
          <cell r="D8">
            <v>1</v>
          </cell>
          <cell r="E8" t="str">
            <v>BASICA</v>
          </cell>
          <cell r="F8">
            <v>3</v>
          </cell>
          <cell r="G8">
            <v>2</v>
          </cell>
          <cell r="H8">
            <v>1</v>
          </cell>
          <cell r="I8" t="str">
            <v>CUENCA AUSTRAL</v>
          </cell>
          <cell r="J8" t="str">
            <v>BASICA</v>
          </cell>
          <cell r="K8">
            <v>3</v>
          </cell>
          <cell r="L8">
            <v>2</v>
          </cell>
          <cell r="M8" t="str">
            <v>BASICA</v>
          </cell>
          <cell r="N8">
            <v>1</v>
          </cell>
          <cell r="O8" t="str">
            <v>BASICA</v>
          </cell>
          <cell r="P8">
            <v>3</v>
          </cell>
          <cell r="Q8">
            <v>2</v>
          </cell>
          <cell r="R8">
            <v>1</v>
          </cell>
          <cell r="S8" t="str">
            <v>CUENCA AUSTRAL</v>
          </cell>
          <cell r="T8" t="str">
            <v>BASICA</v>
          </cell>
          <cell r="U8">
            <v>3</v>
          </cell>
          <cell r="V8">
            <v>2</v>
          </cell>
          <cell r="W8" t="str">
            <v>BASICA</v>
          </cell>
          <cell r="X8">
            <v>1</v>
          </cell>
          <cell r="Y8" t="str">
            <v>BASICA</v>
          </cell>
          <cell r="Z8">
            <v>3</v>
          </cell>
          <cell r="AA8">
            <v>2</v>
          </cell>
          <cell r="AB8">
            <v>1</v>
          </cell>
          <cell r="AC8" t="str">
            <v>CUENCA AUSTRAL</v>
          </cell>
          <cell r="AD8" t="str">
            <v>BASICA</v>
          </cell>
          <cell r="AE8">
            <v>3</v>
          </cell>
          <cell r="AF8">
            <v>2</v>
          </cell>
          <cell r="AG8" t="str">
            <v>BASICA</v>
          </cell>
          <cell r="AH8">
            <v>1</v>
          </cell>
          <cell r="AI8" t="str">
            <v>BASICA</v>
          </cell>
          <cell r="AJ8">
            <v>3</v>
          </cell>
          <cell r="AK8">
            <v>2</v>
          </cell>
          <cell r="AL8">
            <v>1</v>
          </cell>
          <cell r="AM8" t="str">
            <v>CUENCA AUSTRAL</v>
          </cell>
          <cell r="AN8" t="str">
            <v>BASICA</v>
          </cell>
          <cell r="AO8">
            <v>3</v>
          </cell>
          <cell r="AP8">
            <v>2</v>
          </cell>
          <cell r="AQ8" t="str">
            <v>BASICA</v>
          </cell>
          <cell r="AR8">
            <v>1</v>
          </cell>
          <cell r="AS8" t="str">
            <v>BASICA</v>
          </cell>
          <cell r="AT8">
            <v>3</v>
          </cell>
          <cell r="AU8">
            <v>2</v>
          </cell>
          <cell r="AV8">
            <v>1</v>
          </cell>
          <cell r="AW8" t="str">
            <v>CUENCA AUSTRAL</v>
          </cell>
          <cell r="AX8" t="str">
            <v>BASICA</v>
          </cell>
          <cell r="AY8">
            <v>3</v>
          </cell>
          <cell r="AZ8">
            <v>2</v>
          </cell>
          <cell r="BA8" t="str">
            <v>BASICA</v>
          </cell>
          <cell r="BB8">
            <v>1</v>
          </cell>
          <cell r="BC8" t="str">
            <v>BASICA</v>
          </cell>
          <cell r="BD8">
            <v>3</v>
          </cell>
          <cell r="BE8">
            <v>2</v>
          </cell>
          <cell r="BF8">
            <v>1</v>
          </cell>
          <cell r="BG8" t="str">
            <v>CUENCA AUSTRAL</v>
          </cell>
          <cell r="BH8" t="str">
            <v>BASICA</v>
          </cell>
          <cell r="BI8">
            <v>3</v>
          </cell>
          <cell r="BJ8">
            <v>2</v>
          </cell>
          <cell r="BK8" t="str">
            <v>BASICA</v>
          </cell>
          <cell r="BL8">
            <v>1</v>
          </cell>
          <cell r="BM8" t="str">
            <v>BASICA</v>
          </cell>
          <cell r="BN8">
            <v>3</v>
          </cell>
          <cell r="BO8">
            <v>2</v>
          </cell>
          <cell r="BP8">
            <v>1</v>
          </cell>
          <cell r="BQ8" t="str">
            <v>CUENCA AUSTRAL</v>
          </cell>
          <cell r="BR8" t="str">
            <v>BASICA</v>
          </cell>
          <cell r="BS8">
            <v>3</v>
          </cell>
          <cell r="BT8">
            <v>2</v>
          </cell>
          <cell r="BU8" t="str">
            <v>BASICA</v>
          </cell>
          <cell r="BV8">
            <v>1</v>
          </cell>
          <cell r="BW8" t="str">
            <v>BASICA</v>
          </cell>
          <cell r="BX8">
            <v>3</v>
          </cell>
          <cell r="BY8">
            <v>2</v>
          </cell>
          <cell r="BZ8">
            <v>1</v>
          </cell>
          <cell r="CA8" t="str">
            <v>CUENCA AUSTRAL</v>
          </cell>
          <cell r="CB8" t="str">
            <v>BASICA</v>
          </cell>
          <cell r="CC8">
            <v>3</v>
          </cell>
          <cell r="CD8">
            <v>2</v>
          </cell>
        </row>
        <row r="9">
          <cell r="C9">
            <v>42917</v>
          </cell>
          <cell r="D9">
            <v>42917</v>
          </cell>
          <cell r="E9">
            <v>42917</v>
          </cell>
          <cell r="F9">
            <v>42917</v>
          </cell>
          <cell r="G9">
            <v>42917</v>
          </cell>
          <cell r="H9">
            <v>42917</v>
          </cell>
          <cell r="I9">
            <v>42917</v>
          </cell>
          <cell r="J9">
            <v>42917</v>
          </cell>
          <cell r="K9">
            <v>42917</v>
          </cell>
          <cell r="L9">
            <v>42917</v>
          </cell>
          <cell r="M9">
            <v>43009</v>
          </cell>
          <cell r="N9">
            <v>43009</v>
          </cell>
          <cell r="O9">
            <v>43009</v>
          </cell>
          <cell r="P9">
            <v>43009</v>
          </cell>
          <cell r="Q9">
            <v>43009</v>
          </cell>
          <cell r="R9">
            <v>43009</v>
          </cell>
          <cell r="S9">
            <v>43009</v>
          </cell>
          <cell r="T9">
            <v>43009</v>
          </cell>
          <cell r="U9">
            <v>43009</v>
          </cell>
          <cell r="V9">
            <v>43009</v>
          </cell>
          <cell r="W9"/>
          <cell r="X9"/>
          <cell r="Y9"/>
          <cell r="Z9"/>
          <cell r="AA9"/>
          <cell r="AB9"/>
          <cell r="AC9"/>
          <cell r="AD9"/>
          <cell r="AE9"/>
          <cell r="AF9"/>
          <cell r="AG9"/>
          <cell r="AH9"/>
          <cell r="AI9"/>
          <cell r="AJ9"/>
          <cell r="AK9"/>
          <cell r="AL9"/>
          <cell r="AM9"/>
          <cell r="AN9"/>
          <cell r="AO9"/>
          <cell r="AP9"/>
          <cell r="AQ9"/>
          <cell r="AR9"/>
          <cell r="AS9"/>
          <cell r="AT9"/>
          <cell r="AU9"/>
          <cell r="AV9"/>
          <cell r="AW9"/>
          <cell r="AX9"/>
          <cell r="AY9"/>
          <cell r="AZ9"/>
          <cell r="BA9"/>
          <cell r="BB9"/>
          <cell r="BC9"/>
          <cell r="BD9"/>
          <cell r="BE9"/>
          <cell r="BF9"/>
          <cell r="BG9"/>
          <cell r="BH9"/>
          <cell r="BI9"/>
          <cell r="BJ9"/>
          <cell r="BK9"/>
          <cell r="BL9"/>
          <cell r="BM9"/>
          <cell r="BN9"/>
          <cell r="BO9"/>
          <cell r="BP9"/>
          <cell r="BQ9"/>
          <cell r="BR9"/>
          <cell r="BS9"/>
          <cell r="BT9"/>
          <cell r="BU9"/>
          <cell r="BV9"/>
          <cell r="BW9"/>
          <cell r="BX9"/>
          <cell r="BY9"/>
          <cell r="BZ9"/>
          <cell r="CA9"/>
          <cell r="CB9"/>
          <cell r="CC9"/>
          <cell r="CD9"/>
        </row>
        <row r="10">
          <cell r="A10" t="str">
            <v>INGRESANTE</v>
          </cell>
          <cell r="B10" t="str">
            <v>D</v>
          </cell>
          <cell r="C10">
            <v>6192</v>
          </cell>
          <cell r="D10">
            <v>11455</v>
          </cell>
          <cell r="E10">
            <v>6192</v>
          </cell>
          <cell r="F10">
            <v>8793</v>
          </cell>
          <cell r="G10">
            <v>10093</v>
          </cell>
          <cell r="H10">
            <v>11455</v>
          </cell>
          <cell r="I10">
            <v>12756</v>
          </cell>
          <cell r="J10">
            <v>6192</v>
          </cell>
          <cell r="K10">
            <v>8793</v>
          </cell>
          <cell r="L10">
            <v>10093</v>
          </cell>
          <cell r="M10">
            <v>6756</v>
          </cell>
          <cell r="N10">
            <v>12499</v>
          </cell>
          <cell r="O10">
            <v>6756</v>
          </cell>
          <cell r="P10">
            <v>9594</v>
          </cell>
          <cell r="Q10">
            <v>11012</v>
          </cell>
          <cell r="R10">
            <v>12499</v>
          </cell>
          <cell r="S10">
            <v>13917</v>
          </cell>
          <cell r="T10">
            <v>6756</v>
          </cell>
          <cell r="U10">
            <v>9594</v>
          </cell>
          <cell r="V10">
            <v>11012</v>
          </cell>
          <cell r="W10"/>
          <cell r="X10"/>
          <cell r="Y10"/>
          <cell r="Z10"/>
          <cell r="AA10"/>
          <cell r="AB10"/>
          <cell r="AC10"/>
          <cell r="AD10"/>
          <cell r="AE10"/>
          <cell r="AF10"/>
          <cell r="AG10"/>
          <cell r="AH10"/>
          <cell r="AI10"/>
          <cell r="AJ10"/>
          <cell r="AK10"/>
          <cell r="AL10"/>
          <cell r="AM10"/>
          <cell r="AN10"/>
          <cell r="AO10"/>
          <cell r="AP10"/>
          <cell r="AQ10"/>
          <cell r="AR10"/>
          <cell r="AS10"/>
          <cell r="AT10"/>
          <cell r="AU10"/>
          <cell r="AV10"/>
          <cell r="AW10"/>
          <cell r="AX10"/>
          <cell r="AY10"/>
          <cell r="AZ10"/>
          <cell r="BA10"/>
          <cell r="BB10"/>
          <cell r="BC10"/>
          <cell r="BD10"/>
          <cell r="BE10"/>
          <cell r="BF10"/>
          <cell r="BG10"/>
          <cell r="BH10"/>
          <cell r="BI10"/>
          <cell r="BJ10"/>
          <cell r="BK10"/>
          <cell r="BL10"/>
          <cell r="BM10"/>
          <cell r="BN10"/>
          <cell r="BO10"/>
          <cell r="BP10"/>
          <cell r="BQ10"/>
          <cell r="BR10"/>
          <cell r="BS10"/>
          <cell r="BT10"/>
          <cell r="BU10"/>
          <cell r="BV10"/>
          <cell r="BW10"/>
          <cell r="BX10"/>
          <cell r="BY10"/>
          <cell r="BZ10"/>
          <cell r="CA10"/>
          <cell r="CB10"/>
          <cell r="CC10"/>
          <cell r="CD10"/>
        </row>
        <row r="11">
          <cell r="A11" t="str">
            <v>INGRESANTE</v>
          </cell>
          <cell r="B11" t="str">
            <v>A</v>
          </cell>
          <cell r="C11">
            <v>8235</v>
          </cell>
          <cell r="D11">
            <v>15235</v>
          </cell>
          <cell r="E11">
            <v>8235</v>
          </cell>
          <cell r="F11">
            <v>11695</v>
          </cell>
          <cell r="G11">
            <v>13424</v>
          </cell>
          <cell r="H11">
            <v>15235</v>
          </cell>
          <cell r="I11">
            <v>16965</v>
          </cell>
          <cell r="J11">
            <v>8235</v>
          </cell>
          <cell r="K11">
            <v>11695</v>
          </cell>
          <cell r="L11">
            <v>13424</v>
          </cell>
          <cell r="M11">
            <v>8985</v>
          </cell>
          <cell r="N11">
            <v>16624</v>
          </cell>
          <cell r="O11">
            <v>8985</v>
          </cell>
          <cell r="P11">
            <v>12760</v>
          </cell>
          <cell r="Q11">
            <v>14646</v>
          </cell>
          <cell r="R11">
            <v>16624</v>
          </cell>
          <cell r="S11">
            <v>18510</v>
          </cell>
          <cell r="T11">
            <v>8985</v>
          </cell>
          <cell r="U11">
            <v>12760</v>
          </cell>
          <cell r="V11">
            <v>14646</v>
          </cell>
          <cell r="W11"/>
          <cell r="X11"/>
          <cell r="Y11"/>
          <cell r="Z11"/>
          <cell r="AA11"/>
          <cell r="AB11"/>
          <cell r="AC11"/>
          <cell r="AD11"/>
          <cell r="AE11"/>
          <cell r="AF11"/>
          <cell r="AG11"/>
          <cell r="AH11"/>
          <cell r="AI11"/>
          <cell r="AJ11"/>
          <cell r="AK11"/>
          <cell r="AL11"/>
          <cell r="AM11"/>
          <cell r="AN11"/>
          <cell r="AO11"/>
          <cell r="AP11"/>
          <cell r="AQ11"/>
          <cell r="AR11"/>
          <cell r="AS11"/>
          <cell r="AT11"/>
          <cell r="AU11"/>
          <cell r="AV11"/>
          <cell r="AW11"/>
          <cell r="AX11"/>
          <cell r="AY11"/>
          <cell r="AZ11"/>
          <cell r="BA11"/>
          <cell r="BB11"/>
          <cell r="BC11"/>
          <cell r="BD11"/>
          <cell r="BE11"/>
          <cell r="BF11"/>
          <cell r="BG11"/>
          <cell r="BH11"/>
          <cell r="BI11"/>
          <cell r="BJ11"/>
          <cell r="BK11"/>
          <cell r="BL11"/>
          <cell r="BM11"/>
          <cell r="BN11"/>
          <cell r="BO11"/>
          <cell r="BP11"/>
          <cell r="BQ11"/>
          <cell r="BR11"/>
          <cell r="BS11"/>
          <cell r="BT11"/>
          <cell r="BU11"/>
          <cell r="BV11"/>
          <cell r="BW11"/>
          <cell r="BX11"/>
          <cell r="BY11"/>
          <cell r="BZ11"/>
          <cell r="CA11"/>
          <cell r="CB11"/>
          <cell r="CC11"/>
          <cell r="CD11"/>
        </row>
        <row r="12">
          <cell r="A12" t="str">
            <v>INGRESANTE</v>
          </cell>
          <cell r="B12" t="str">
            <v>B</v>
          </cell>
          <cell r="C12">
            <v>7554</v>
          </cell>
          <cell r="D12">
            <v>13975</v>
          </cell>
          <cell r="E12">
            <v>7554</v>
          </cell>
          <cell r="F12">
            <v>10727</v>
          </cell>
          <cell r="G12">
            <v>12313</v>
          </cell>
          <cell r="H12">
            <v>13975</v>
          </cell>
          <cell r="I12">
            <v>15562</v>
          </cell>
          <cell r="J12">
            <v>7554</v>
          </cell>
          <cell r="K12">
            <v>10727</v>
          </cell>
          <cell r="L12">
            <v>12313</v>
          </cell>
          <cell r="M12">
            <v>8242</v>
          </cell>
          <cell r="N12">
            <v>15249</v>
          </cell>
          <cell r="O12">
            <v>8242</v>
          </cell>
          <cell r="P12">
            <v>11705</v>
          </cell>
          <cell r="Q12">
            <v>13435</v>
          </cell>
          <cell r="R12">
            <v>15249</v>
          </cell>
          <cell r="S12">
            <v>16979</v>
          </cell>
          <cell r="T12">
            <v>8242</v>
          </cell>
          <cell r="U12">
            <v>11705</v>
          </cell>
          <cell r="V12">
            <v>13435</v>
          </cell>
          <cell r="W12"/>
          <cell r="X12"/>
          <cell r="Y12"/>
          <cell r="Z12"/>
          <cell r="AA12"/>
          <cell r="AB12"/>
          <cell r="AC12"/>
          <cell r="AD12"/>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cell r="BF12"/>
          <cell r="BG12"/>
          <cell r="BH12"/>
          <cell r="BI12"/>
          <cell r="BJ12"/>
          <cell r="BK12"/>
          <cell r="BL12"/>
          <cell r="BM12"/>
          <cell r="BN12"/>
          <cell r="BO12"/>
          <cell r="BP12"/>
          <cell r="BQ12"/>
          <cell r="BR12"/>
          <cell r="BS12"/>
          <cell r="BT12"/>
          <cell r="BU12"/>
          <cell r="BV12"/>
          <cell r="BW12"/>
          <cell r="BX12"/>
          <cell r="BY12"/>
          <cell r="BZ12"/>
          <cell r="CA12"/>
          <cell r="CB12"/>
          <cell r="CC12"/>
          <cell r="CD12"/>
        </row>
        <row r="13">
          <cell r="A13" t="str">
            <v>INGRESANTE</v>
          </cell>
          <cell r="B13" t="str">
            <v>Y</v>
          </cell>
          <cell r="C13">
            <v>6502</v>
          </cell>
          <cell r="D13">
            <v>12028</v>
          </cell>
          <cell r="E13">
            <v>6502</v>
          </cell>
          <cell r="F13">
            <v>9233</v>
          </cell>
          <cell r="G13">
            <v>10598</v>
          </cell>
          <cell r="H13">
            <v>12028</v>
          </cell>
          <cell r="I13">
            <v>13394</v>
          </cell>
          <cell r="J13">
            <v>6502</v>
          </cell>
          <cell r="K13">
            <v>9233</v>
          </cell>
          <cell r="L13">
            <v>10598</v>
          </cell>
          <cell r="M13">
            <v>7094</v>
          </cell>
          <cell r="N13">
            <v>13124</v>
          </cell>
          <cell r="O13">
            <v>7094</v>
          </cell>
          <cell r="P13">
            <v>10074</v>
          </cell>
          <cell r="Q13">
            <v>11563</v>
          </cell>
          <cell r="R13">
            <v>13124</v>
          </cell>
          <cell r="S13">
            <v>14613</v>
          </cell>
          <cell r="T13">
            <v>7094</v>
          </cell>
          <cell r="U13">
            <v>10074</v>
          </cell>
          <cell r="V13">
            <v>11563</v>
          </cell>
          <cell r="W13"/>
          <cell r="X13"/>
          <cell r="Y13"/>
          <cell r="Z13"/>
          <cell r="AA13"/>
          <cell r="AB13"/>
          <cell r="AC13"/>
          <cell r="AD13"/>
          <cell r="AE13"/>
          <cell r="AF13"/>
          <cell r="AG13"/>
          <cell r="AH13"/>
          <cell r="AI13"/>
          <cell r="AJ13"/>
          <cell r="AK13"/>
          <cell r="AL13"/>
          <cell r="AM13"/>
          <cell r="AN13"/>
          <cell r="AO13"/>
          <cell r="AP13"/>
          <cell r="AQ13"/>
          <cell r="AR13"/>
          <cell r="AS13"/>
          <cell r="AT13"/>
          <cell r="AU13"/>
          <cell r="AV13"/>
          <cell r="AW13"/>
          <cell r="AX13"/>
          <cell r="AY13"/>
          <cell r="AZ13"/>
          <cell r="BA13"/>
          <cell r="BB13"/>
          <cell r="BC13"/>
          <cell r="BD13"/>
          <cell r="BE13"/>
          <cell r="BF13"/>
          <cell r="BG13"/>
          <cell r="BH13"/>
          <cell r="BI13"/>
          <cell r="BJ13"/>
          <cell r="BK13"/>
          <cell r="BL13"/>
          <cell r="BM13"/>
          <cell r="BN13"/>
          <cell r="BO13"/>
          <cell r="BP13"/>
          <cell r="BQ13"/>
          <cell r="BR13"/>
          <cell r="BS13"/>
          <cell r="BT13"/>
          <cell r="BU13"/>
          <cell r="BV13"/>
          <cell r="BW13"/>
          <cell r="BX13"/>
          <cell r="BY13"/>
          <cell r="BZ13"/>
          <cell r="CA13"/>
          <cell r="CB13"/>
          <cell r="CC13"/>
          <cell r="CD13"/>
        </row>
        <row r="14">
          <cell r="A14" t="str">
            <v>A</v>
          </cell>
          <cell r="B14" t="str">
            <v>D</v>
          </cell>
          <cell r="C14">
            <v>6322</v>
          </cell>
          <cell r="D14">
            <v>11696</v>
          </cell>
          <cell r="E14">
            <v>6322</v>
          </cell>
          <cell r="F14">
            <v>8977</v>
          </cell>
          <cell r="G14">
            <v>10305</v>
          </cell>
          <cell r="H14">
            <v>11696</v>
          </cell>
          <cell r="I14">
            <v>13023</v>
          </cell>
          <cell r="J14">
            <v>6322</v>
          </cell>
          <cell r="K14">
            <v>8977</v>
          </cell>
          <cell r="L14">
            <v>10305</v>
          </cell>
          <cell r="M14">
            <v>6893</v>
          </cell>
          <cell r="N14">
            <v>12752</v>
          </cell>
          <cell r="O14">
            <v>6893</v>
          </cell>
          <cell r="P14">
            <v>9788</v>
          </cell>
          <cell r="Q14">
            <v>11236</v>
          </cell>
          <cell r="R14">
            <v>12752</v>
          </cell>
          <cell r="S14">
            <v>14200</v>
          </cell>
          <cell r="T14">
            <v>6893</v>
          </cell>
          <cell r="U14">
            <v>9788</v>
          </cell>
          <cell r="V14">
            <v>11236</v>
          </cell>
          <cell r="W14"/>
          <cell r="X14"/>
          <cell r="Y14"/>
          <cell r="Z14"/>
          <cell r="AA14"/>
          <cell r="AB14"/>
          <cell r="AC14"/>
          <cell r="AD14"/>
          <cell r="AE14"/>
          <cell r="AF14"/>
          <cell r="AG14"/>
          <cell r="AH14"/>
          <cell r="AI14"/>
          <cell r="AJ14"/>
          <cell r="AK14"/>
          <cell r="AL14"/>
          <cell r="AM14"/>
          <cell r="AN14"/>
          <cell r="AO14"/>
          <cell r="AP14"/>
          <cell r="AQ14"/>
          <cell r="AR14"/>
          <cell r="AS14"/>
          <cell r="AT14"/>
          <cell r="AU14"/>
          <cell r="AV14"/>
          <cell r="AW14"/>
          <cell r="AX14"/>
          <cell r="AY14"/>
          <cell r="AZ14"/>
          <cell r="BA14"/>
          <cell r="BB14"/>
          <cell r="BC14"/>
          <cell r="BD14"/>
          <cell r="BE14"/>
          <cell r="BF14"/>
          <cell r="BG14"/>
          <cell r="BH14"/>
          <cell r="BI14"/>
          <cell r="BJ14"/>
          <cell r="BK14"/>
          <cell r="BL14"/>
          <cell r="BM14"/>
          <cell r="BN14"/>
          <cell r="BO14"/>
          <cell r="BP14"/>
          <cell r="BQ14"/>
          <cell r="BR14"/>
          <cell r="BS14"/>
          <cell r="BT14"/>
          <cell r="BU14"/>
          <cell r="BV14"/>
          <cell r="BW14"/>
          <cell r="BX14"/>
          <cell r="BY14"/>
          <cell r="BZ14"/>
          <cell r="CA14"/>
          <cell r="CB14"/>
          <cell r="CC14"/>
          <cell r="CD14"/>
        </row>
        <row r="15">
          <cell r="A15" t="str">
            <v>A</v>
          </cell>
          <cell r="B15" t="str">
            <v>A</v>
          </cell>
          <cell r="C15">
            <v>8408</v>
          </cell>
          <cell r="D15">
            <v>15556</v>
          </cell>
          <cell r="E15">
            <v>8408</v>
          </cell>
          <cell r="F15">
            <v>11939</v>
          </cell>
          <cell r="G15">
            <v>13706</v>
          </cell>
          <cell r="H15">
            <v>15556</v>
          </cell>
          <cell r="I15">
            <v>17321</v>
          </cell>
          <cell r="J15">
            <v>8408</v>
          </cell>
          <cell r="K15">
            <v>11939</v>
          </cell>
          <cell r="L15">
            <v>13706</v>
          </cell>
          <cell r="M15">
            <v>9168</v>
          </cell>
          <cell r="N15">
            <v>16960</v>
          </cell>
          <cell r="O15">
            <v>9168</v>
          </cell>
          <cell r="P15">
            <v>13018</v>
          </cell>
          <cell r="Q15">
            <v>14944</v>
          </cell>
          <cell r="R15">
            <v>16960</v>
          </cell>
          <cell r="S15">
            <v>18886</v>
          </cell>
          <cell r="T15">
            <v>9168</v>
          </cell>
          <cell r="U15">
            <v>13018</v>
          </cell>
          <cell r="V15">
            <v>14944</v>
          </cell>
          <cell r="W15"/>
          <cell r="X15"/>
          <cell r="Y15"/>
          <cell r="Z15"/>
          <cell r="AA15"/>
          <cell r="AB15"/>
          <cell r="AC15"/>
          <cell r="AD15"/>
          <cell r="AE15"/>
          <cell r="AF15"/>
          <cell r="AG15"/>
          <cell r="AH15"/>
          <cell r="AI15"/>
          <cell r="AJ15"/>
          <cell r="AK15"/>
          <cell r="AL15"/>
          <cell r="AM15"/>
          <cell r="AN15"/>
          <cell r="AO15"/>
          <cell r="AP15"/>
          <cell r="AQ15"/>
          <cell r="AR15"/>
          <cell r="AS15"/>
          <cell r="AT15"/>
          <cell r="AU15"/>
          <cell r="AV15"/>
          <cell r="AW15"/>
          <cell r="AX15"/>
          <cell r="AY15"/>
          <cell r="AZ15"/>
          <cell r="BA15"/>
          <cell r="BB15"/>
          <cell r="BC15"/>
          <cell r="BD15"/>
          <cell r="BE15"/>
          <cell r="BF15"/>
          <cell r="BG15"/>
          <cell r="BH15"/>
          <cell r="BI15"/>
          <cell r="BJ15"/>
          <cell r="BK15"/>
          <cell r="BL15"/>
          <cell r="BM15"/>
          <cell r="BN15"/>
          <cell r="BO15"/>
          <cell r="BP15"/>
          <cell r="BQ15"/>
          <cell r="BR15"/>
          <cell r="BS15"/>
          <cell r="BT15"/>
          <cell r="BU15"/>
          <cell r="BV15"/>
          <cell r="BW15"/>
          <cell r="BX15"/>
          <cell r="BY15"/>
          <cell r="BZ15"/>
          <cell r="CA15"/>
          <cell r="CB15"/>
          <cell r="CC15"/>
          <cell r="CD15"/>
        </row>
        <row r="16">
          <cell r="A16" t="str">
            <v>A</v>
          </cell>
          <cell r="B16" t="str">
            <v>B</v>
          </cell>
          <cell r="C16">
            <v>7713</v>
          </cell>
          <cell r="D16">
            <v>14269</v>
          </cell>
          <cell r="E16">
            <v>7713</v>
          </cell>
          <cell r="F16">
            <v>10952</v>
          </cell>
          <cell r="G16">
            <v>12572</v>
          </cell>
          <cell r="H16">
            <v>14269</v>
          </cell>
          <cell r="I16">
            <v>15888</v>
          </cell>
          <cell r="J16">
            <v>7713</v>
          </cell>
          <cell r="K16">
            <v>10952</v>
          </cell>
          <cell r="L16">
            <v>12572</v>
          </cell>
          <cell r="M16">
            <v>8409</v>
          </cell>
          <cell r="N16">
            <v>15557</v>
          </cell>
          <cell r="O16">
            <v>8409</v>
          </cell>
          <cell r="P16">
            <v>11941</v>
          </cell>
          <cell r="Q16">
            <v>13708</v>
          </cell>
          <cell r="R16">
            <v>15557</v>
          </cell>
          <cell r="S16">
            <v>17324</v>
          </cell>
          <cell r="T16">
            <v>8409</v>
          </cell>
          <cell r="U16">
            <v>11941</v>
          </cell>
          <cell r="V16">
            <v>13708</v>
          </cell>
          <cell r="W16"/>
          <cell r="X16"/>
          <cell r="Y16"/>
          <cell r="Z16"/>
          <cell r="AA16"/>
          <cell r="AB16"/>
          <cell r="AC16"/>
          <cell r="AD16"/>
          <cell r="AE16"/>
          <cell r="AF16"/>
          <cell r="AG16"/>
          <cell r="AH16"/>
          <cell r="AI16"/>
          <cell r="AJ16"/>
          <cell r="AK16"/>
          <cell r="AL16"/>
          <cell r="AM16"/>
          <cell r="AN16"/>
          <cell r="AO16"/>
          <cell r="AP16"/>
          <cell r="AQ16"/>
          <cell r="AR16"/>
          <cell r="AS16"/>
          <cell r="AT16"/>
          <cell r="AU16"/>
          <cell r="AV16"/>
          <cell r="AW16"/>
          <cell r="AX16"/>
          <cell r="AY16"/>
          <cell r="AZ16"/>
          <cell r="BA16"/>
          <cell r="BB16"/>
          <cell r="BC16"/>
          <cell r="BD16"/>
          <cell r="BE16"/>
          <cell r="BF16"/>
          <cell r="BG16"/>
          <cell r="BH16"/>
          <cell r="BI16"/>
          <cell r="BJ16"/>
          <cell r="BK16"/>
          <cell r="BL16"/>
          <cell r="BM16"/>
          <cell r="BN16"/>
          <cell r="BO16"/>
          <cell r="BP16"/>
          <cell r="BQ16"/>
          <cell r="BR16"/>
          <cell r="BS16"/>
          <cell r="BT16"/>
          <cell r="BU16"/>
          <cell r="BV16"/>
          <cell r="BW16"/>
          <cell r="BX16"/>
          <cell r="BY16"/>
          <cell r="BZ16"/>
          <cell r="CA16"/>
          <cell r="CB16"/>
          <cell r="CC16"/>
          <cell r="CD16"/>
        </row>
        <row r="17">
          <cell r="A17" t="str">
            <v>A</v>
          </cell>
          <cell r="B17" t="str">
            <v>Y</v>
          </cell>
          <cell r="C17">
            <v>6638</v>
          </cell>
          <cell r="D17">
            <v>12281</v>
          </cell>
          <cell r="E17">
            <v>6638</v>
          </cell>
          <cell r="F17">
            <v>9426</v>
          </cell>
          <cell r="G17">
            <v>10820</v>
          </cell>
          <cell r="H17">
            <v>12281</v>
          </cell>
          <cell r="I17">
            <v>13674</v>
          </cell>
          <cell r="J17">
            <v>6638</v>
          </cell>
          <cell r="K17">
            <v>9426</v>
          </cell>
          <cell r="L17">
            <v>10820</v>
          </cell>
          <cell r="M17">
            <v>7238</v>
          </cell>
          <cell r="N17">
            <v>13390</v>
          </cell>
          <cell r="O17">
            <v>7238</v>
          </cell>
          <cell r="P17">
            <v>10277</v>
          </cell>
          <cell r="Q17">
            <v>11798</v>
          </cell>
          <cell r="R17">
            <v>13390</v>
          </cell>
          <cell r="S17">
            <v>14910</v>
          </cell>
          <cell r="T17">
            <v>7238</v>
          </cell>
          <cell r="U17">
            <v>10277</v>
          </cell>
          <cell r="V17">
            <v>11798</v>
          </cell>
          <cell r="W17"/>
          <cell r="X17"/>
          <cell r="Y17"/>
          <cell r="Z17"/>
          <cell r="AA17"/>
          <cell r="AB17"/>
          <cell r="AC17"/>
          <cell r="AD17"/>
          <cell r="AE17"/>
          <cell r="AF17"/>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cell r="BI17"/>
          <cell r="BJ17"/>
          <cell r="BK17"/>
          <cell r="BL17"/>
          <cell r="BM17"/>
          <cell r="BN17"/>
          <cell r="BO17"/>
          <cell r="BP17"/>
          <cell r="BQ17"/>
          <cell r="BR17"/>
          <cell r="BS17"/>
          <cell r="BT17"/>
          <cell r="BU17"/>
          <cell r="BV17"/>
          <cell r="BW17"/>
          <cell r="BX17"/>
          <cell r="BY17"/>
          <cell r="BZ17"/>
          <cell r="CA17"/>
          <cell r="CB17"/>
          <cell r="CC17"/>
          <cell r="CD17"/>
        </row>
        <row r="18">
          <cell r="A18" t="str">
            <v>B</v>
          </cell>
          <cell r="B18" t="str">
            <v>D</v>
          </cell>
          <cell r="C18">
            <v>6450</v>
          </cell>
          <cell r="D18">
            <v>11933</v>
          </cell>
          <cell r="E18">
            <v>6450</v>
          </cell>
          <cell r="F18">
            <v>9159</v>
          </cell>
          <cell r="G18">
            <v>10514</v>
          </cell>
          <cell r="H18">
            <v>11933</v>
          </cell>
          <cell r="I18">
            <v>13287</v>
          </cell>
          <cell r="J18">
            <v>6450</v>
          </cell>
          <cell r="K18">
            <v>9159</v>
          </cell>
          <cell r="L18">
            <v>10514</v>
          </cell>
          <cell r="M18">
            <v>7037</v>
          </cell>
          <cell r="N18">
            <v>13018</v>
          </cell>
          <cell r="O18">
            <v>7037</v>
          </cell>
          <cell r="P18">
            <v>9993</v>
          </cell>
          <cell r="Q18">
            <v>11470</v>
          </cell>
          <cell r="R18">
            <v>13018</v>
          </cell>
          <cell r="S18">
            <v>14496</v>
          </cell>
          <cell r="T18">
            <v>7037</v>
          </cell>
          <cell r="U18">
            <v>9993</v>
          </cell>
          <cell r="V18">
            <v>11470</v>
          </cell>
          <cell r="W18"/>
          <cell r="X18"/>
          <cell r="Y18"/>
          <cell r="Z18"/>
          <cell r="AA18"/>
          <cell r="AB18"/>
          <cell r="AC18"/>
          <cell r="AD18"/>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cell r="BF18"/>
          <cell r="BG18"/>
          <cell r="BH18"/>
          <cell r="BI18"/>
          <cell r="BJ18"/>
          <cell r="BK18"/>
          <cell r="BL18"/>
          <cell r="BM18"/>
          <cell r="BN18"/>
          <cell r="BO18"/>
          <cell r="BP18"/>
          <cell r="BQ18"/>
          <cell r="BR18"/>
          <cell r="BS18"/>
          <cell r="BT18"/>
          <cell r="BU18"/>
          <cell r="BV18"/>
          <cell r="BW18"/>
          <cell r="BX18"/>
          <cell r="BY18"/>
          <cell r="BZ18"/>
          <cell r="CA18"/>
          <cell r="CB18"/>
          <cell r="CC18"/>
          <cell r="CD18"/>
        </row>
        <row r="19">
          <cell r="A19" t="str">
            <v>B</v>
          </cell>
          <cell r="B19" t="str">
            <v>A</v>
          </cell>
          <cell r="C19">
            <v>8579</v>
          </cell>
          <cell r="D19">
            <v>15871</v>
          </cell>
          <cell r="E19">
            <v>8579</v>
          </cell>
          <cell r="F19">
            <v>12181</v>
          </cell>
          <cell r="G19">
            <v>13984</v>
          </cell>
          <cell r="H19">
            <v>15871</v>
          </cell>
          <cell r="I19">
            <v>17672</v>
          </cell>
          <cell r="J19">
            <v>8579</v>
          </cell>
          <cell r="K19">
            <v>12181</v>
          </cell>
          <cell r="L19">
            <v>13984</v>
          </cell>
          <cell r="M19">
            <v>9359</v>
          </cell>
          <cell r="N19">
            <v>17314</v>
          </cell>
          <cell r="O19">
            <v>9359</v>
          </cell>
          <cell r="P19">
            <v>13291</v>
          </cell>
          <cell r="Q19">
            <v>15255</v>
          </cell>
          <cell r="R19">
            <v>17314</v>
          </cell>
          <cell r="S19">
            <v>19280</v>
          </cell>
          <cell r="T19">
            <v>9359</v>
          </cell>
          <cell r="U19">
            <v>13291</v>
          </cell>
          <cell r="V19">
            <v>15255</v>
          </cell>
          <cell r="W19"/>
          <cell r="X19"/>
          <cell r="Y19"/>
          <cell r="Z19"/>
          <cell r="AA19"/>
          <cell r="AB19"/>
          <cell r="AC19"/>
          <cell r="AD19"/>
          <cell r="AE19"/>
          <cell r="AF19"/>
          <cell r="AG19"/>
          <cell r="AH19"/>
          <cell r="AI19"/>
          <cell r="AJ19"/>
          <cell r="AK19"/>
          <cell r="AL19"/>
          <cell r="AM19"/>
          <cell r="AN19"/>
          <cell r="AO19"/>
          <cell r="AP19"/>
          <cell r="AQ19"/>
          <cell r="AR19"/>
          <cell r="AS19"/>
          <cell r="AT19"/>
          <cell r="AU19"/>
          <cell r="AV19"/>
          <cell r="AW19"/>
          <cell r="AX19"/>
          <cell r="AY19"/>
          <cell r="AZ19"/>
          <cell r="BA19"/>
          <cell r="BB19"/>
          <cell r="BC19"/>
          <cell r="BD19"/>
          <cell r="BE19"/>
          <cell r="BF19"/>
          <cell r="BG19"/>
          <cell r="BH19"/>
          <cell r="BI19"/>
          <cell r="BJ19"/>
          <cell r="BK19"/>
          <cell r="BL19"/>
          <cell r="BM19"/>
          <cell r="BN19"/>
          <cell r="BO19"/>
          <cell r="BP19"/>
          <cell r="BQ19"/>
          <cell r="BR19"/>
          <cell r="BS19"/>
          <cell r="BT19"/>
          <cell r="BU19"/>
          <cell r="BV19"/>
          <cell r="BW19"/>
          <cell r="BX19"/>
          <cell r="BY19"/>
          <cell r="BZ19"/>
          <cell r="CA19"/>
          <cell r="CB19"/>
          <cell r="CC19"/>
          <cell r="CD19"/>
        </row>
        <row r="20">
          <cell r="A20" t="str">
            <v>B</v>
          </cell>
          <cell r="B20" t="str">
            <v>B</v>
          </cell>
          <cell r="C20">
            <v>7869</v>
          </cell>
          <cell r="D20">
            <v>14558</v>
          </cell>
          <cell r="E20">
            <v>7869</v>
          </cell>
          <cell r="F20">
            <v>11174</v>
          </cell>
          <cell r="G20">
            <v>12827</v>
          </cell>
          <cell r="H20">
            <v>14558</v>
          </cell>
          <cell r="I20">
            <v>16210</v>
          </cell>
          <cell r="J20">
            <v>7869</v>
          </cell>
          <cell r="K20">
            <v>11174</v>
          </cell>
          <cell r="L20">
            <v>12827</v>
          </cell>
          <cell r="M20">
            <v>8585</v>
          </cell>
          <cell r="N20">
            <v>15882</v>
          </cell>
          <cell r="O20">
            <v>8585</v>
          </cell>
          <cell r="P20">
            <v>12191</v>
          </cell>
          <cell r="Q20">
            <v>13993</v>
          </cell>
          <cell r="R20">
            <v>15882</v>
          </cell>
          <cell r="S20">
            <v>17685</v>
          </cell>
          <cell r="T20">
            <v>8585</v>
          </cell>
          <cell r="U20">
            <v>12191</v>
          </cell>
          <cell r="V20">
            <v>13993</v>
          </cell>
          <cell r="W20"/>
          <cell r="X20"/>
          <cell r="Y20"/>
          <cell r="Z20"/>
          <cell r="AA20"/>
          <cell r="AB20"/>
          <cell r="AC20"/>
          <cell r="AD20"/>
          <cell r="AE20"/>
          <cell r="AF20"/>
          <cell r="AG20"/>
          <cell r="AH20"/>
          <cell r="AI20"/>
          <cell r="AJ20"/>
          <cell r="AK20"/>
          <cell r="AL20"/>
          <cell r="AM20"/>
          <cell r="AN20"/>
          <cell r="AO20"/>
          <cell r="AP20"/>
          <cell r="AQ20"/>
          <cell r="AR20"/>
          <cell r="AS20"/>
          <cell r="AT20"/>
          <cell r="AU20"/>
          <cell r="AV20"/>
          <cell r="AW20"/>
          <cell r="AX20"/>
          <cell r="AY20"/>
          <cell r="AZ20"/>
          <cell r="BA20"/>
          <cell r="BB20"/>
          <cell r="BC20"/>
          <cell r="BD20"/>
          <cell r="BE20"/>
          <cell r="BF20"/>
          <cell r="BG20"/>
          <cell r="BH20"/>
          <cell r="BI20"/>
          <cell r="BJ20"/>
          <cell r="BK20"/>
          <cell r="BL20"/>
          <cell r="BM20"/>
          <cell r="BN20"/>
          <cell r="BO20"/>
          <cell r="BP20"/>
          <cell r="BQ20"/>
          <cell r="BR20"/>
          <cell r="BS20"/>
          <cell r="BT20"/>
          <cell r="BU20"/>
          <cell r="BV20"/>
          <cell r="BW20"/>
          <cell r="BX20"/>
          <cell r="BY20"/>
          <cell r="BZ20"/>
          <cell r="CA20"/>
          <cell r="CB20"/>
          <cell r="CC20"/>
          <cell r="CD20"/>
        </row>
        <row r="21">
          <cell r="A21" t="str">
            <v>B</v>
          </cell>
          <cell r="B21" t="str">
            <v>Y</v>
          </cell>
          <cell r="C21">
            <v>6773</v>
          </cell>
          <cell r="D21">
            <v>12530</v>
          </cell>
          <cell r="E21">
            <v>6773</v>
          </cell>
          <cell r="F21">
            <v>9617</v>
          </cell>
          <cell r="G21">
            <v>11040</v>
          </cell>
          <cell r="H21">
            <v>12530</v>
          </cell>
          <cell r="I21">
            <v>13951</v>
          </cell>
          <cell r="J21">
            <v>6773</v>
          </cell>
          <cell r="K21">
            <v>9617</v>
          </cell>
          <cell r="L21">
            <v>11040</v>
          </cell>
          <cell r="M21">
            <v>7389</v>
          </cell>
          <cell r="N21">
            <v>13669</v>
          </cell>
          <cell r="O21">
            <v>7389</v>
          </cell>
          <cell r="P21">
            <v>10493</v>
          </cell>
          <cell r="Q21">
            <v>12044</v>
          </cell>
          <cell r="R21">
            <v>13669</v>
          </cell>
          <cell r="S21">
            <v>15221</v>
          </cell>
          <cell r="T21">
            <v>7389</v>
          </cell>
          <cell r="U21">
            <v>10493</v>
          </cell>
          <cell r="V21">
            <v>12044</v>
          </cell>
          <cell r="W21"/>
          <cell r="X21"/>
          <cell r="Y21"/>
          <cell r="Z21"/>
          <cell r="AA21"/>
          <cell r="AB21"/>
          <cell r="AC21"/>
          <cell r="AD21"/>
          <cell r="AE21"/>
          <cell r="AF21"/>
          <cell r="AG21"/>
          <cell r="AH21"/>
          <cell r="AI21"/>
          <cell r="AJ21"/>
          <cell r="AK21"/>
          <cell r="AL21"/>
          <cell r="AM21"/>
          <cell r="AN21"/>
          <cell r="AO21"/>
          <cell r="AP21"/>
          <cell r="AQ21"/>
          <cell r="AR21"/>
          <cell r="AS21"/>
          <cell r="AT21"/>
          <cell r="AU21"/>
          <cell r="AV21"/>
          <cell r="AW21"/>
          <cell r="AX21"/>
          <cell r="AY21"/>
          <cell r="AZ21"/>
          <cell r="BA21"/>
          <cell r="BB21"/>
          <cell r="BC21"/>
          <cell r="BD21"/>
          <cell r="BE21"/>
          <cell r="BF21"/>
          <cell r="BG21"/>
          <cell r="BH21"/>
          <cell r="BI21"/>
          <cell r="BJ21"/>
          <cell r="BK21"/>
          <cell r="BL21"/>
          <cell r="BM21"/>
          <cell r="BN21"/>
          <cell r="BO21"/>
          <cell r="BP21"/>
          <cell r="BQ21"/>
          <cell r="BR21"/>
          <cell r="BS21"/>
          <cell r="BT21"/>
          <cell r="BU21"/>
          <cell r="BV21"/>
          <cell r="BW21"/>
          <cell r="BX21"/>
          <cell r="BY21"/>
          <cell r="BZ21"/>
          <cell r="CA21"/>
          <cell r="CB21"/>
          <cell r="CC21"/>
          <cell r="CD21"/>
        </row>
        <row r="22">
          <cell r="A22" t="str">
            <v>C</v>
          </cell>
          <cell r="B22" t="str">
            <v>D</v>
          </cell>
          <cell r="C22">
            <v>6589</v>
          </cell>
          <cell r="D22">
            <v>12190</v>
          </cell>
          <cell r="E22">
            <v>6589</v>
          </cell>
          <cell r="F22">
            <v>9356</v>
          </cell>
          <cell r="G22">
            <v>10740</v>
          </cell>
          <cell r="H22">
            <v>12190</v>
          </cell>
          <cell r="I22">
            <v>13573</v>
          </cell>
          <cell r="J22">
            <v>6589</v>
          </cell>
          <cell r="K22">
            <v>9356</v>
          </cell>
          <cell r="L22">
            <v>10740</v>
          </cell>
          <cell r="M22">
            <v>7189</v>
          </cell>
          <cell r="N22">
            <v>13300</v>
          </cell>
          <cell r="O22">
            <v>7189</v>
          </cell>
          <cell r="P22">
            <v>10208</v>
          </cell>
          <cell r="Q22">
            <v>11718</v>
          </cell>
          <cell r="R22">
            <v>13300</v>
          </cell>
          <cell r="S22">
            <v>14809</v>
          </cell>
          <cell r="T22">
            <v>7189</v>
          </cell>
          <cell r="U22">
            <v>10208</v>
          </cell>
          <cell r="V22">
            <v>11718</v>
          </cell>
          <cell r="W22"/>
          <cell r="X22"/>
          <cell r="Y22"/>
          <cell r="Z22"/>
          <cell r="AA22"/>
          <cell r="AB22"/>
          <cell r="AC22"/>
          <cell r="AD22"/>
          <cell r="AE22"/>
          <cell r="AF22"/>
          <cell r="AG22"/>
          <cell r="AH22"/>
          <cell r="AI22"/>
          <cell r="AJ22"/>
          <cell r="AK22"/>
          <cell r="AL22"/>
          <cell r="AM22"/>
          <cell r="AN22"/>
          <cell r="AO22"/>
          <cell r="AP22"/>
          <cell r="AQ22"/>
          <cell r="AR22"/>
          <cell r="AS22"/>
          <cell r="AT22"/>
          <cell r="AU22"/>
          <cell r="AV22"/>
          <cell r="AW22"/>
          <cell r="AX22"/>
          <cell r="AY22"/>
          <cell r="AZ22"/>
          <cell r="BA22"/>
          <cell r="BB22"/>
          <cell r="BC22"/>
          <cell r="BD22"/>
          <cell r="BE22"/>
          <cell r="BF22"/>
          <cell r="BG22"/>
          <cell r="BH22"/>
          <cell r="BI22"/>
          <cell r="BJ22"/>
          <cell r="BK22"/>
          <cell r="BL22"/>
          <cell r="BM22"/>
          <cell r="BN22"/>
          <cell r="BO22"/>
          <cell r="BP22"/>
          <cell r="BQ22"/>
          <cell r="BR22"/>
          <cell r="BS22"/>
          <cell r="BT22"/>
          <cell r="BU22"/>
          <cell r="BV22"/>
          <cell r="BW22"/>
          <cell r="BX22"/>
          <cell r="BY22"/>
          <cell r="BZ22"/>
          <cell r="CA22"/>
          <cell r="CB22"/>
          <cell r="CC22"/>
          <cell r="CD22"/>
        </row>
        <row r="23">
          <cell r="A23" t="str">
            <v>C</v>
          </cell>
          <cell r="B23" t="str">
            <v>A</v>
          </cell>
          <cell r="C23">
            <v>8763</v>
          </cell>
          <cell r="D23">
            <v>16213</v>
          </cell>
          <cell r="E23">
            <v>8763</v>
          </cell>
          <cell r="F23">
            <v>12443</v>
          </cell>
          <cell r="G23">
            <v>14284</v>
          </cell>
          <cell r="H23">
            <v>16213</v>
          </cell>
          <cell r="I23">
            <v>18052</v>
          </cell>
          <cell r="J23">
            <v>8763</v>
          </cell>
          <cell r="K23">
            <v>12443</v>
          </cell>
          <cell r="L23">
            <v>14284</v>
          </cell>
          <cell r="M23">
            <v>9561</v>
          </cell>
          <cell r="N23">
            <v>17689</v>
          </cell>
          <cell r="O23">
            <v>9561</v>
          </cell>
          <cell r="P23">
            <v>13577</v>
          </cell>
          <cell r="Q23">
            <v>15585</v>
          </cell>
          <cell r="R23">
            <v>17689</v>
          </cell>
          <cell r="S23">
            <v>19696</v>
          </cell>
          <cell r="T23">
            <v>9561</v>
          </cell>
          <cell r="U23">
            <v>13577</v>
          </cell>
          <cell r="V23">
            <v>15585</v>
          </cell>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cell r="AW23"/>
          <cell r="AX23"/>
          <cell r="AY23"/>
          <cell r="AZ23"/>
          <cell r="BA23"/>
          <cell r="BB23"/>
          <cell r="BC23"/>
          <cell r="BD23"/>
          <cell r="BE23"/>
          <cell r="BF23"/>
          <cell r="BG23"/>
          <cell r="BH23"/>
          <cell r="BI23"/>
          <cell r="BJ23"/>
          <cell r="BK23"/>
          <cell r="BL23"/>
          <cell r="BM23"/>
          <cell r="BN23"/>
          <cell r="BO23"/>
          <cell r="BP23"/>
          <cell r="BQ23"/>
          <cell r="BR23"/>
          <cell r="BS23"/>
          <cell r="BT23"/>
          <cell r="BU23"/>
          <cell r="BV23"/>
          <cell r="BW23"/>
          <cell r="BX23"/>
          <cell r="BY23"/>
          <cell r="BZ23"/>
          <cell r="CA23"/>
          <cell r="CB23"/>
          <cell r="CC23"/>
          <cell r="CD23"/>
        </row>
        <row r="24">
          <cell r="A24" t="str">
            <v>C</v>
          </cell>
          <cell r="B24" t="str">
            <v>B</v>
          </cell>
          <cell r="C24">
            <v>8039</v>
          </cell>
          <cell r="D24">
            <v>14872</v>
          </cell>
          <cell r="E24">
            <v>8039</v>
          </cell>
          <cell r="F24">
            <v>11414</v>
          </cell>
          <cell r="G24">
            <v>13103</v>
          </cell>
          <cell r="H24">
            <v>14872</v>
          </cell>
          <cell r="I24">
            <v>16559</v>
          </cell>
          <cell r="J24">
            <v>8039</v>
          </cell>
          <cell r="K24">
            <v>11414</v>
          </cell>
          <cell r="L24">
            <v>13103</v>
          </cell>
          <cell r="M24">
            <v>8771</v>
          </cell>
          <cell r="N24">
            <v>16226</v>
          </cell>
          <cell r="O24">
            <v>8771</v>
          </cell>
          <cell r="P24">
            <v>12454</v>
          </cell>
          <cell r="Q24">
            <v>14296</v>
          </cell>
          <cell r="R24">
            <v>16226</v>
          </cell>
          <cell r="S24">
            <v>18067</v>
          </cell>
          <cell r="T24">
            <v>8771</v>
          </cell>
          <cell r="U24">
            <v>12454</v>
          </cell>
          <cell r="V24">
            <v>14296</v>
          </cell>
          <cell r="W24"/>
          <cell r="X24"/>
          <cell r="Y24"/>
          <cell r="Z24"/>
          <cell r="AA24"/>
          <cell r="AB24"/>
          <cell r="AC24"/>
          <cell r="AD24"/>
          <cell r="AE24"/>
          <cell r="AF24"/>
          <cell r="AG24"/>
          <cell r="AH24"/>
          <cell r="AI24"/>
          <cell r="AJ24"/>
          <cell r="AK24"/>
          <cell r="AL24"/>
          <cell r="AM24"/>
          <cell r="AN24"/>
          <cell r="AO24"/>
          <cell r="AP24"/>
          <cell r="AQ24"/>
          <cell r="AR24"/>
          <cell r="AS24"/>
          <cell r="AT24"/>
          <cell r="AU24"/>
          <cell r="AV24"/>
          <cell r="AW24"/>
          <cell r="AX24"/>
          <cell r="AY24"/>
          <cell r="AZ24"/>
          <cell r="BA24"/>
          <cell r="BB24"/>
          <cell r="BC24"/>
          <cell r="BD24"/>
          <cell r="BE24"/>
          <cell r="BF24"/>
          <cell r="BG24"/>
          <cell r="BH24"/>
          <cell r="BI24"/>
          <cell r="BJ24"/>
          <cell r="BK24"/>
          <cell r="BL24"/>
          <cell r="BM24"/>
          <cell r="BN24"/>
          <cell r="BO24"/>
          <cell r="BP24"/>
          <cell r="BQ24"/>
          <cell r="BR24"/>
          <cell r="BS24"/>
          <cell r="BT24"/>
          <cell r="BU24"/>
          <cell r="BV24"/>
          <cell r="BW24"/>
          <cell r="BX24"/>
          <cell r="BY24"/>
          <cell r="BZ24"/>
          <cell r="CA24"/>
          <cell r="CB24"/>
          <cell r="CC24"/>
          <cell r="CD24"/>
        </row>
        <row r="25">
          <cell r="A25" t="str">
            <v>C</v>
          </cell>
          <cell r="B25" t="str">
            <v>Y</v>
          </cell>
          <cell r="C25">
            <v>6918</v>
          </cell>
          <cell r="D25">
            <v>12800</v>
          </cell>
          <cell r="E25">
            <v>6918</v>
          </cell>
          <cell r="F25">
            <v>9824</v>
          </cell>
          <cell r="G25">
            <v>11277</v>
          </cell>
          <cell r="H25">
            <v>12800</v>
          </cell>
          <cell r="I25">
            <v>14252</v>
          </cell>
          <cell r="J25">
            <v>6918</v>
          </cell>
          <cell r="K25">
            <v>9824</v>
          </cell>
          <cell r="L25">
            <v>11277</v>
          </cell>
          <cell r="M25">
            <v>7548</v>
          </cell>
          <cell r="N25">
            <v>13965</v>
          </cell>
          <cell r="O25">
            <v>7548</v>
          </cell>
          <cell r="P25">
            <v>10718</v>
          </cell>
          <cell r="Q25">
            <v>12304</v>
          </cell>
          <cell r="R25">
            <v>13965</v>
          </cell>
          <cell r="S25">
            <v>15549</v>
          </cell>
          <cell r="T25">
            <v>7548</v>
          </cell>
          <cell r="U25">
            <v>10718</v>
          </cell>
          <cell r="V25">
            <v>12304</v>
          </cell>
          <cell r="W25"/>
          <cell r="X25"/>
          <cell r="Y25"/>
          <cell r="Z25"/>
          <cell r="AA25"/>
          <cell r="AB25"/>
          <cell r="AC25"/>
          <cell r="AD25"/>
          <cell r="AE25"/>
          <cell r="AF25"/>
          <cell r="AG25"/>
          <cell r="AH25"/>
          <cell r="AI25"/>
          <cell r="AJ25"/>
          <cell r="AK25"/>
          <cell r="AL25"/>
          <cell r="AM25"/>
          <cell r="AN25"/>
          <cell r="AO25"/>
          <cell r="AP25"/>
          <cell r="AQ25"/>
          <cell r="AR25"/>
          <cell r="AS25"/>
          <cell r="AT25"/>
          <cell r="AU25"/>
          <cell r="AV25"/>
          <cell r="AW25"/>
          <cell r="AX25"/>
          <cell r="AY25"/>
          <cell r="AZ25"/>
          <cell r="BA25"/>
          <cell r="BB25"/>
          <cell r="BC25"/>
          <cell r="BD25"/>
          <cell r="BE25"/>
          <cell r="BF25"/>
          <cell r="BG25"/>
          <cell r="BH25"/>
          <cell r="BI25"/>
          <cell r="BJ25"/>
          <cell r="BK25"/>
          <cell r="BL25"/>
          <cell r="BM25"/>
          <cell r="BN25"/>
          <cell r="BO25"/>
          <cell r="BP25"/>
          <cell r="BQ25"/>
          <cell r="BR25"/>
          <cell r="BS25"/>
          <cell r="BT25"/>
          <cell r="BU25"/>
          <cell r="BV25"/>
          <cell r="BW25"/>
          <cell r="BX25"/>
          <cell r="BY25"/>
          <cell r="BZ25"/>
          <cell r="CA25"/>
          <cell r="CB25"/>
          <cell r="CC25"/>
          <cell r="CD25"/>
        </row>
        <row r="26">
          <cell r="A26" t="str">
            <v>D</v>
          </cell>
          <cell r="B26" t="str">
            <v>D</v>
          </cell>
          <cell r="C26">
            <v>6772</v>
          </cell>
          <cell r="D26">
            <v>12528</v>
          </cell>
          <cell r="E26">
            <v>6772</v>
          </cell>
          <cell r="F26">
            <v>9616</v>
          </cell>
          <cell r="G26">
            <v>11038</v>
          </cell>
          <cell r="H26">
            <v>12528</v>
          </cell>
          <cell r="I26">
            <v>13950</v>
          </cell>
          <cell r="J26">
            <v>6772</v>
          </cell>
          <cell r="K26">
            <v>9616</v>
          </cell>
          <cell r="L26">
            <v>11038</v>
          </cell>
          <cell r="M26">
            <v>7386</v>
          </cell>
          <cell r="N26">
            <v>13664</v>
          </cell>
          <cell r="O26">
            <v>7386</v>
          </cell>
          <cell r="P26">
            <v>10488</v>
          </cell>
          <cell r="Q26">
            <v>12039</v>
          </cell>
          <cell r="R26">
            <v>13664</v>
          </cell>
          <cell r="S26">
            <v>15215</v>
          </cell>
          <cell r="T26">
            <v>7386</v>
          </cell>
          <cell r="U26">
            <v>10488</v>
          </cell>
          <cell r="V26">
            <v>12039</v>
          </cell>
          <cell r="W26"/>
          <cell r="X26"/>
          <cell r="Y26"/>
          <cell r="Z26"/>
          <cell r="AA26"/>
          <cell r="AB26"/>
          <cell r="AC26"/>
          <cell r="AD26"/>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cell r="BF26"/>
          <cell r="BG26"/>
          <cell r="BH26"/>
          <cell r="BI26"/>
          <cell r="BJ26"/>
          <cell r="BK26"/>
          <cell r="BL26"/>
          <cell r="BM26"/>
          <cell r="BN26"/>
          <cell r="BO26"/>
          <cell r="BP26"/>
          <cell r="BQ26"/>
          <cell r="BR26"/>
          <cell r="BS26"/>
          <cell r="BT26"/>
          <cell r="BU26"/>
          <cell r="BV26"/>
          <cell r="BW26"/>
          <cell r="BX26"/>
          <cell r="BY26"/>
          <cell r="BZ26"/>
          <cell r="CA26"/>
          <cell r="CB26"/>
          <cell r="CC26"/>
          <cell r="CD26"/>
        </row>
        <row r="27">
          <cell r="A27" t="str">
            <v>D</v>
          </cell>
          <cell r="B27" t="str">
            <v>A</v>
          </cell>
          <cell r="C27">
            <v>9007</v>
          </cell>
          <cell r="D27">
            <v>16662</v>
          </cell>
          <cell r="E27">
            <v>9007</v>
          </cell>
          <cell r="F27">
            <v>12789</v>
          </cell>
          <cell r="G27">
            <v>14681</v>
          </cell>
          <cell r="H27">
            <v>16662</v>
          </cell>
          <cell r="I27">
            <v>18554</v>
          </cell>
          <cell r="J27">
            <v>9007</v>
          </cell>
          <cell r="K27">
            <v>12789</v>
          </cell>
          <cell r="L27">
            <v>14681</v>
          </cell>
          <cell r="M27">
            <v>9823</v>
          </cell>
          <cell r="N27">
            <v>18173</v>
          </cell>
          <cell r="O27">
            <v>9823</v>
          </cell>
          <cell r="P27">
            <v>13949</v>
          </cell>
          <cell r="Q27">
            <v>16012</v>
          </cell>
          <cell r="R27">
            <v>18173</v>
          </cell>
          <cell r="S27">
            <v>20236</v>
          </cell>
          <cell r="T27">
            <v>9823</v>
          </cell>
          <cell r="U27">
            <v>13949</v>
          </cell>
          <cell r="V27">
            <v>16012</v>
          </cell>
          <cell r="W27"/>
          <cell r="X27"/>
          <cell r="Y27"/>
          <cell r="Z27"/>
          <cell r="AA27"/>
          <cell r="AB27"/>
          <cell r="AC27"/>
          <cell r="AD27"/>
          <cell r="AE27"/>
          <cell r="AF27"/>
          <cell r="AG27"/>
          <cell r="AH27"/>
          <cell r="AI27"/>
          <cell r="AJ27"/>
          <cell r="AK27"/>
          <cell r="AL27"/>
          <cell r="AM27"/>
          <cell r="AN27"/>
          <cell r="AO27"/>
          <cell r="AP27"/>
          <cell r="AQ27"/>
          <cell r="AR27"/>
          <cell r="AS27"/>
          <cell r="AT27"/>
          <cell r="AU27"/>
          <cell r="AV27"/>
          <cell r="AW27"/>
          <cell r="AX27"/>
          <cell r="AY27"/>
          <cell r="AZ27"/>
          <cell r="BA27"/>
          <cell r="BB27"/>
          <cell r="BC27"/>
          <cell r="BD27"/>
          <cell r="BE27"/>
          <cell r="BF27"/>
          <cell r="BG27"/>
          <cell r="BH27"/>
          <cell r="BI27"/>
          <cell r="BJ27"/>
          <cell r="BK27"/>
          <cell r="BL27"/>
          <cell r="BM27"/>
          <cell r="BN27"/>
          <cell r="BO27"/>
          <cell r="BP27"/>
          <cell r="BQ27"/>
          <cell r="BR27"/>
          <cell r="BS27"/>
          <cell r="BT27"/>
          <cell r="BU27"/>
          <cell r="BV27"/>
          <cell r="BW27"/>
          <cell r="BX27"/>
          <cell r="BY27"/>
          <cell r="BZ27"/>
          <cell r="CA27"/>
          <cell r="CB27"/>
          <cell r="CC27"/>
          <cell r="CD27"/>
        </row>
        <row r="28">
          <cell r="A28" t="str">
            <v>D</v>
          </cell>
          <cell r="B28" t="str">
            <v>B</v>
          </cell>
          <cell r="C28">
            <v>8262</v>
          </cell>
          <cell r="D28">
            <v>15284</v>
          </cell>
          <cell r="E28">
            <v>8262</v>
          </cell>
          <cell r="F28">
            <v>11732</v>
          </cell>
          <cell r="G28">
            <v>13466</v>
          </cell>
          <cell r="H28">
            <v>15284</v>
          </cell>
          <cell r="I28">
            <v>17019</v>
          </cell>
          <cell r="J28">
            <v>8262</v>
          </cell>
          <cell r="K28">
            <v>11732</v>
          </cell>
          <cell r="L28">
            <v>13466</v>
          </cell>
          <cell r="M28">
            <v>9011</v>
          </cell>
          <cell r="N28">
            <v>16670</v>
          </cell>
          <cell r="O28">
            <v>9011</v>
          </cell>
          <cell r="P28">
            <v>12795</v>
          </cell>
          <cell r="Q28">
            <v>14688</v>
          </cell>
          <cell r="R28">
            <v>16670</v>
          </cell>
          <cell r="S28">
            <v>18562</v>
          </cell>
          <cell r="T28">
            <v>9011</v>
          </cell>
          <cell r="U28">
            <v>12795</v>
          </cell>
          <cell r="V28">
            <v>14688</v>
          </cell>
          <cell r="W28"/>
          <cell r="X28"/>
          <cell r="Y28"/>
          <cell r="Z28"/>
          <cell r="AA28"/>
          <cell r="AB28"/>
          <cell r="AC28"/>
          <cell r="AD28"/>
          <cell r="AE28"/>
          <cell r="AF28"/>
          <cell r="AG28"/>
          <cell r="AH28"/>
          <cell r="AI28"/>
          <cell r="AJ28"/>
          <cell r="AK28"/>
          <cell r="AL28"/>
          <cell r="AM28"/>
          <cell r="AN28"/>
          <cell r="AO28"/>
          <cell r="AP28"/>
          <cell r="AQ28"/>
          <cell r="AR28"/>
          <cell r="AS28"/>
          <cell r="AT28"/>
          <cell r="AU28"/>
          <cell r="AV28"/>
          <cell r="AW28"/>
          <cell r="AX28"/>
          <cell r="AY28"/>
          <cell r="AZ28"/>
          <cell r="BA28"/>
          <cell r="BB28"/>
          <cell r="BC28"/>
          <cell r="BD28"/>
          <cell r="BE28"/>
          <cell r="BF28"/>
          <cell r="BG28"/>
          <cell r="BH28"/>
          <cell r="BI28"/>
          <cell r="BJ28"/>
          <cell r="BK28"/>
          <cell r="BL28"/>
          <cell r="BM28"/>
          <cell r="BN28"/>
          <cell r="BO28"/>
          <cell r="BP28"/>
          <cell r="BQ28"/>
          <cell r="BR28"/>
          <cell r="BS28"/>
          <cell r="BT28"/>
          <cell r="BU28"/>
          <cell r="BV28"/>
          <cell r="BW28"/>
          <cell r="BX28"/>
          <cell r="BY28"/>
          <cell r="BZ28"/>
          <cell r="CA28"/>
          <cell r="CB28"/>
          <cell r="CC28"/>
          <cell r="CD28"/>
        </row>
        <row r="29">
          <cell r="A29" t="str">
            <v>D</v>
          </cell>
          <cell r="B29" t="str">
            <v>Y</v>
          </cell>
          <cell r="C29">
            <v>7111</v>
          </cell>
          <cell r="D29">
            <v>13154</v>
          </cell>
          <cell r="E29">
            <v>7111</v>
          </cell>
          <cell r="F29">
            <v>10097</v>
          </cell>
          <cell r="G29">
            <v>11590</v>
          </cell>
          <cell r="H29">
            <v>13154</v>
          </cell>
          <cell r="I29">
            <v>14648</v>
          </cell>
          <cell r="J29">
            <v>7111</v>
          </cell>
          <cell r="K29">
            <v>10097</v>
          </cell>
          <cell r="L29">
            <v>11590</v>
          </cell>
          <cell r="M29">
            <v>7755</v>
          </cell>
          <cell r="N29">
            <v>14347</v>
          </cell>
          <cell r="O29">
            <v>7755</v>
          </cell>
          <cell r="P29">
            <v>11012</v>
          </cell>
          <cell r="Q29">
            <v>12641</v>
          </cell>
          <cell r="R29">
            <v>14347</v>
          </cell>
          <cell r="S29">
            <v>15976</v>
          </cell>
          <cell r="T29">
            <v>7755</v>
          </cell>
          <cell r="U29">
            <v>11012</v>
          </cell>
          <cell r="V29">
            <v>12641</v>
          </cell>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cell r="AY29"/>
          <cell r="AZ29"/>
          <cell r="BA29"/>
          <cell r="BB29"/>
          <cell r="BC29"/>
          <cell r="BD29"/>
          <cell r="BE29"/>
          <cell r="BF29"/>
          <cell r="BG29"/>
          <cell r="BH29"/>
          <cell r="BI29"/>
          <cell r="BJ29"/>
          <cell r="BK29"/>
          <cell r="BL29"/>
          <cell r="BM29"/>
          <cell r="BN29"/>
          <cell r="BO29"/>
          <cell r="BP29"/>
          <cell r="BQ29"/>
          <cell r="BR29"/>
          <cell r="BS29"/>
          <cell r="BT29"/>
          <cell r="BU29"/>
          <cell r="BV29"/>
          <cell r="BW29"/>
          <cell r="BX29"/>
          <cell r="BY29"/>
          <cell r="BZ29"/>
          <cell r="CA29"/>
          <cell r="CB29"/>
          <cell r="CC29"/>
          <cell r="CD29"/>
        </row>
        <row r="30">
          <cell r="A30" t="str">
            <v>E</v>
          </cell>
          <cell r="B30" t="str">
            <v>D</v>
          </cell>
          <cell r="C30">
            <v>6936</v>
          </cell>
          <cell r="D30">
            <v>12832</v>
          </cell>
          <cell r="E30">
            <v>6936</v>
          </cell>
          <cell r="F30">
            <v>9849</v>
          </cell>
          <cell r="G30">
            <v>11306</v>
          </cell>
          <cell r="H30">
            <v>12832</v>
          </cell>
          <cell r="I30">
            <v>14288</v>
          </cell>
          <cell r="J30">
            <v>6936</v>
          </cell>
          <cell r="K30">
            <v>9849</v>
          </cell>
          <cell r="L30">
            <v>11306</v>
          </cell>
          <cell r="M30">
            <v>7571</v>
          </cell>
          <cell r="N30">
            <v>14006</v>
          </cell>
          <cell r="O30">
            <v>7571</v>
          </cell>
          <cell r="P30">
            <v>10751</v>
          </cell>
          <cell r="Q30">
            <v>12341</v>
          </cell>
          <cell r="R30">
            <v>14006</v>
          </cell>
          <cell r="S30">
            <v>15596</v>
          </cell>
          <cell r="T30">
            <v>7571</v>
          </cell>
          <cell r="U30">
            <v>10751</v>
          </cell>
          <cell r="V30">
            <v>12341</v>
          </cell>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cell r="BF30"/>
          <cell r="BG30"/>
          <cell r="BH30"/>
          <cell r="BI30"/>
          <cell r="BJ30"/>
          <cell r="BK30"/>
          <cell r="BL30"/>
          <cell r="BM30"/>
          <cell r="BN30"/>
          <cell r="BO30"/>
          <cell r="BP30"/>
          <cell r="BQ30"/>
          <cell r="BR30"/>
          <cell r="BS30"/>
          <cell r="BT30"/>
          <cell r="BU30"/>
          <cell r="BV30"/>
          <cell r="BW30"/>
          <cell r="BX30"/>
          <cell r="BY30"/>
          <cell r="BZ30"/>
          <cell r="CA30"/>
          <cell r="CB30"/>
          <cell r="CC30"/>
          <cell r="CD30"/>
        </row>
        <row r="31">
          <cell r="A31" t="str">
            <v>E</v>
          </cell>
          <cell r="B31" t="str">
            <v>A</v>
          </cell>
          <cell r="C31">
            <v>9225</v>
          </cell>
          <cell r="D31">
            <v>17067</v>
          </cell>
          <cell r="E31">
            <v>9225</v>
          </cell>
          <cell r="F31">
            <v>13099</v>
          </cell>
          <cell r="G31">
            <v>15037</v>
          </cell>
          <cell r="H31">
            <v>17067</v>
          </cell>
          <cell r="I31">
            <v>19003</v>
          </cell>
          <cell r="J31">
            <v>9225</v>
          </cell>
          <cell r="K31">
            <v>13099</v>
          </cell>
          <cell r="L31">
            <v>15037</v>
          </cell>
          <cell r="M31">
            <v>10069</v>
          </cell>
          <cell r="N31">
            <v>18628</v>
          </cell>
          <cell r="O31">
            <v>10069</v>
          </cell>
          <cell r="P31">
            <v>14299</v>
          </cell>
          <cell r="Q31">
            <v>16414</v>
          </cell>
          <cell r="R31">
            <v>18628</v>
          </cell>
          <cell r="S31">
            <v>20743</v>
          </cell>
          <cell r="T31">
            <v>10069</v>
          </cell>
          <cell r="U31">
            <v>14299</v>
          </cell>
          <cell r="V31">
            <v>16414</v>
          </cell>
          <cell r="W31"/>
          <cell r="X31"/>
          <cell r="Y31"/>
          <cell r="Z31"/>
          <cell r="AA31"/>
          <cell r="AB31"/>
          <cell r="AC31"/>
          <cell r="AD31"/>
          <cell r="AE31"/>
          <cell r="AF31"/>
          <cell r="AG31"/>
          <cell r="AH31"/>
          <cell r="AI31"/>
          <cell r="AJ31"/>
          <cell r="AK31"/>
          <cell r="AL31"/>
          <cell r="AM31"/>
          <cell r="AN31"/>
          <cell r="AO31"/>
          <cell r="AP31"/>
          <cell r="AQ31"/>
          <cell r="AR31"/>
          <cell r="AS31"/>
          <cell r="AT31"/>
          <cell r="AU31"/>
          <cell r="AV31"/>
          <cell r="AW31"/>
          <cell r="AX31"/>
          <cell r="AY31"/>
          <cell r="AZ31"/>
          <cell r="BA31"/>
          <cell r="BB31"/>
          <cell r="BC31"/>
          <cell r="BD31"/>
          <cell r="BE31"/>
          <cell r="BF31"/>
          <cell r="BG31"/>
          <cell r="BH31"/>
          <cell r="BI31"/>
          <cell r="BJ31"/>
          <cell r="BK31"/>
          <cell r="BL31"/>
          <cell r="BM31"/>
          <cell r="BN31"/>
          <cell r="BO31"/>
          <cell r="BP31"/>
          <cell r="BQ31"/>
          <cell r="BR31"/>
          <cell r="BS31"/>
          <cell r="BT31"/>
          <cell r="BU31"/>
          <cell r="BV31"/>
          <cell r="BW31"/>
          <cell r="BX31"/>
          <cell r="BY31"/>
          <cell r="BZ31"/>
          <cell r="CA31"/>
          <cell r="CB31"/>
          <cell r="CC31"/>
          <cell r="CD31"/>
        </row>
        <row r="32">
          <cell r="A32" t="str">
            <v>E</v>
          </cell>
          <cell r="B32" t="str">
            <v>B</v>
          </cell>
          <cell r="C32">
            <v>8462</v>
          </cell>
          <cell r="D32">
            <v>15655</v>
          </cell>
          <cell r="E32">
            <v>8462</v>
          </cell>
          <cell r="F32">
            <v>12016</v>
          </cell>
          <cell r="G32">
            <v>13793</v>
          </cell>
          <cell r="H32">
            <v>15655</v>
          </cell>
          <cell r="I32">
            <v>17431</v>
          </cell>
          <cell r="J32">
            <v>8462</v>
          </cell>
          <cell r="K32">
            <v>12016</v>
          </cell>
          <cell r="L32">
            <v>13793</v>
          </cell>
          <cell r="M32">
            <v>9237</v>
          </cell>
          <cell r="N32">
            <v>17087</v>
          </cell>
          <cell r="O32">
            <v>9237</v>
          </cell>
          <cell r="P32">
            <v>13116</v>
          </cell>
          <cell r="Q32">
            <v>15056</v>
          </cell>
          <cell r="R32">
            <v>17087</v>
          </cell>
          <cell r="S32">
            <v>19027</v>
          </cell>
          <cell r="T32">
            <v>9237</v>
          </cell>
          <cell r="U32">
            <v>13116</v>
          </cell>
          <cell r="V32">
            <v>15056</v>
          </cell>
          <cell r="W32"/>
          <cell r="X32"/>
          <cell r="Y32"/>
          <cell r="Z32"/>
          <cell r="AA32"/>
          <cell r="AB32"/>
          <cell r="AC32"/>
          <cell r="AD32"/>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cell r="BF32"/>
          <cell r="BG32"/>
          <cell r="BH32"/>
          <cell r="BI32"/>
          <cell r="BJ32"/>
          <cell r="BK32"/>
          <cell r="BL32"/>
          <cell r="BM32"/>
          <cell r="BN32"/>
          <cell r="BO32"/>
          <cell r="BP32"/>
          <cell r="BQ32"/>
          <cell r="BR32"/>
          <cell r="BS32"/>
          <cell r="BT32"/>
          <cell r="BU32"/>
          <cell r="BV32"/>
          <cell r="BW32"/>
          <cell r="BX32"/>
          <cell r="BY32"/>
          <cell r="BZ32"/>
          <cell r="CA32"/>
          <cell r="CB32"/>
          <cell r="CC32"/>
          <cell r="CD32"/>
        </row>
        <row r="33">
          <cell r="A33" t="str">
            <v>E</v>
          </cell>
          <cell r="B33" t="str">
            <v>Y</v>
          </cell>
          <cell r="C33">
            <v>7283</v>
          </cell>
          <cell r="D33">
            <v>13474</v>
          </cell>
          <cell r="E33">
            <v>7283</v>
          </cell>
          <cell r="F33">
            <v>10341</v>
          </cell>
          <cell r="G33">
            <v>11871</v>
          </cell>
          <cell r="H33">
            <v>13474</v>
          </cell>
          <cell r="I33">
            <v>15002</v>
          </cell>
          <cell r="J33">
            <v>7283</v>
          </cell>
          <cell r="K33">
            <v>10341</v>
          </cell>
          <cell r="L33">
            <v>11871</v>
          </cell>
          <cell r="M33">
            <v>7950</v>
          </cell>
          <cell r="N33">
            <v>14706</v>
          </cell>
          <cell r="O33">
            <v>7950</v>
          </cell>
          <cell r="P33">
            <v>11289</v>
          </cell>
          <cell r="Q33">
            <v>12958</v>
          </cell>
          <cell r="R33">
            <v>14706</v>
          </cell>
          <cell r="S33">
            <v>16376</v>
          </cell>
          <cell r="T33">
            <v>7950</v>
          </cell>
          <cell r="U33">
            <v>11289</v>
          </cell>
          <cell r="V33">
            <v>12958</v>
          </cell>
          <cell r="W33"/>
          <cell r="X33"/>
          <cell r="Y33"/>
          <cell r="Z33"/>
          <cell r="AA33"/>
          <cell r="AB33"/>
          <cell r="AC33"/>
          <cell r="AD33"/>
          <cell r="AE33"/>
          <cell r="AF33"/>
          <cell r="AG33"/>
          <cell r="AH33"/>
          <cell r="AI33"/>
          <cell r="AJ33"/>
          <cell r="AK33"/>
          <cell r="AL33"/>
          <cell r="AM33"/>
          <cell r="AN33"/>
          <cell r="AO33"/>
          <cell r="AP33"/>
          <cell r="AQ33"/>
          <cell r="AR33"/>
          <cell r="AS33"/>
          <cell r="AT33"/>
          <cell r="AU33"/>
          <cell r="AV33"/>
          <cell r="AW33"/>
          <cell r="AX33"/>
          <cell r="AY33"/>
          <cell r="AZ33"/>
          <cell r="BA33"/>
          <cell r="BB33"/>
          <cell r="BC33"/>
          <cell r="BD33"/>
          <cell r="BE33"/>
          <cell r="BF33"/>
          <cell r="BG33"/>
          <cell r="BH33"/>
          <cell r="BI33"/>
          <cell r="BJ33"/>
          <cell r="BK33"/>
          <cell r="BL33"/>
          <cell r="BM33"/>
          <cell r="BN33"/>
          <cell r="BO33"/>
          <cell r="BP33"/>
          <cell r="BQ33"/>
          <cell r="BR33"/>
          <cell r="BS33"/>
          <cell r="BT33"/>
          <cell r="BU33"/>
          <cell r="BV33"/>
          <cell r="BW33"/>
          <cell r="BX33"/>
          <cell r="BY33"/>
          <cell r="BZ33"/>
          <cell r="CA33"/>
          <cell r="CB33"/>
          <cell r="CC33"/>
          <cell r="CD33"/>
        </row>
        <row r="34">
          <cell r="A34" t="str">
            <v>F</v>
          </cell>
          <cell r="B34" t="str">
            <v>D</v>
          </cell>
          <cell r="C34">
            <v>7135</v>
          </cell>
          <cell r="D34">
            <v>13200</v>
          </cell>
          <cell r="E34">
            <v>7135</v>
          </cell>
          <cell r="F34">
            <v>10132</v>
          </cell>
          <cell r="G34">
            <v>11630</v>
          </cell>
          <cell r="H34">
            <v>13200</v>
          </cell>
          <cell r="I34">
            <v>14698</v>
          </cell>
          <cell r="J34">
            <v>7135</v>
          </cell>
          <cell r="K34">
            <v>10132</v>
          </cell>
          <cell r="L34">
            <v>11630</v>
          </cell>
          <cell r="M34">
            <v>7789</v>
          </cell>
          <cell r="N34">
            <v>14410</v>
          </cell>
          <cell r="O34">
            <v>7789</v>
          </cell>
          <cell r="P34">
            <v>11060</v>
          </cell>
          <cell r="Q34">
            <v>12696</v>
          </cell>
          <cell r="R34">
            <v>14410</v>
          </cell>
          <cell r="S34">
            <v>16045</v>
          </cell>
          <cell r="T34">
            <v>7789</v>
          </cell>
          <cell r="U34">
            <v>11060</v>
          </cell>
          <cell r="V34">
            <v>12696</v>
          </cell>
          <cell r="W34"/>
          <cell r="X34"/>
          <cell r="Y34"/>
          <cell r="Z34"/>
          <cell r="AA34"/>
          <cell r="AB34"/>
          <cell r="AC34"/>
          <cell r="AD34"/>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cell r="BF34"/>
          <cell r="BG34"/>
          <cell r="BH34"/>
          <cell r="BI34"/>
          <cell r="BJ34"/>
          <cell r="BK34"/>
          <cell r="BL34"/>
          <cell r="BM34"/>
          <cell r="BN34"/>
          <cell r="BO34"/>
          <cell r="BP34"/>
          <cell r="BQ34"/>
          <cell r="BR34"/>
          <cell r="BS34"/>
          <cell r="BT34"/>
          <cell r="BU34"/>
          <cell r="BV34"/>
          <cell r="BW34"/>
          <cell r="BX34"/>
          <cell r="BY34"/>
          <cell r="BZ34"/>
          <cell r="CA34"/>
          <cell r="CB34"/>
          <cell r="CC34"/>
          <cell r="CD34"/>
        </row>
        <row r="35">
          <cell r="A35" t="str">
            <v>F</v>
          </cell>
          <cell r="B35" t="str">
            <v>A</v>
          </cell>
          <cell r="C35">
            <v>9490</v>
          </cell>
          <cell r="D35">
            <v>17556</v>
          </cell>
          <cell r="E35">
            <v>9490</v>
          </cell>
          <cell r="F35">
            <v>13476</v>
          </cell>
          <cell r="G35">
            <v>15468</v>
          </cell>
          <cell r="H35">
            <v>17556</v>
          </cell>
          <cell r="I35">
            <v>19548</v>
          </cell>
          <cell r="J35">
            <v>9490</v>
          </cell>
          <cell r="K35">
            <v>13476</v>
          </cell>
          <cell r="L35">
            <v>15468</v>
          </cell>
          <cell r="M35">
            <v>10359</v>
          </cell>
          <cell r="N35">
            <v>19165</v>
          </cell>
          <cell r="O35">
            <v>10359</v>
          </cell>
          <cell r="P35">
            <v>14710</v>
          </cell>
          <cell r="Q35">
            <v>16886</v>
          </cell>
          <cell r="R35">
            <v>19165</v>
          </cell>
          <cell r="S35">
            <v>21340</v>
          </cell>
          <cell r="T35">
            <v>10359</v>
          </cell>
          <cell r="U35">
            <v>14710</v>
          </cell>
          <cell r="V35">
            <v>16886</v>
          </cell>
          <cell r="W35"/>
          <cell r="X35"/>
          <cell r="Y35"/>
          <cell r="Z35"/>
          <cell r="AA35"/>
          <cell r="AB35"/>
          <cell r="AC35"/>
          <cell r="AD35"/>
          <cell r="AE35"/>
          <cell r="AF35"/>
          <cell r="AG35"/>
          <cell r="AH35"/>
          <cell r="AI35"/>
          <cell r="AJ35"/>
          <cell r="AK35"/>
          <cell r="AL35"/>
          <cell r="AM35"/>
          <cell r="AN35"/>
          <cell r="AO35"/>
          <cell r="AP35"/>
          <cell r="AQ35"/>
          <cell r="AR35"/>
          <cell r="AS35"/>
          <cell r="AT35"/>
          <cell r="AU35"/>
          <cell r="AV35"/>
          <cell r="AW35"/>
          <cell r="AX35"/>
          <cell r="AY35"/>
          <cell r="AZ35"/>
          <cell r="BA35"/>
          <cell r="BB35"/>
          <cell r="BC35"/>
          <cell r="BD35"/>
          <cell r="BE35"/>
          <cell r="BF35"/>
          <cell r="BG35"/>
          <cell r="BH35"/>
          <cell r="BI35"/>
          <cell r="BJ35"/>
          <cell r="BK35"/>
          <cell r="BL35"/>
          <cell r="BM35"/>
          <cell r="BN35"/>
          <cell r="BO35"/>
          <cell r="BP35"/>
          <cell r="BQ35"/>
          <cell r="BR35"/>
          <cell r="BS35"/>
          <cell r="BT35"/>
          <cell r="BU35"/>
          <cell r="BV35"/>
          <cell r="BW35"/>
          <cell r="BX35"/>
          <cell r="BY35"/>
          <cell r="BZ35"/>
          <cell r="CA35"/>
          <cell r="CB35"/>
          <cell r="CC35"/>
          <cell r="CD35"/>
        </row>
        <row r="36">
          <cell r="A36" t="str">
            <v>F</v>
          </cell>
          <cell r="B36" t="str">
            <v>B</v>
          </cell>
          <cell r="C36">
            <v>8705</v>
          </cell>
          <cell r="D36">
            <v>16104</v>
          </cell>
          <cell r="E36">
            <v>8705</v>
          </cell>
          <cell r="F36">
            <v>12361</v>
          </cell>
          <cell r="G36">
            <v>14189</v>
          </cell>
          <cell r="H36">
            <v>16104</v>
          </cell>
          <cell r="I36">
            <v>17932</v>
          </cell>
          <cell r="J36">
            <v>8705</v>
          </cell>
          <cell r="K36">
            <v>12361</v>
          </cell>
          <cell r="L36">
            <v>14189</v>
          </cell>
          <cell r="M36">
            <v>9503</v>
          </cell>
          <cell r="N36">
            <v>17580</v>
          </cell>
          <cell r="O36">
            <v>9503</v>
          </cell>
          <cell r="P36">
            <v>13493</v>
          </cell>
          <cell r="Q36">
            <v>15489</v>
          </cell>
          <cell r="R36">
            <v>17580</v>
          </cell>
          <cell r="S36">
            <v>19575</v>
          </cell>
          <cell r="T36">
            <v>9503</v>
          </cell>
          <cell r="U36">
            <v>13493</v>
          </cell>
          <cell r="V36">
            <v>15489</v>
          </cell>
          <cell r="W36"/>
          <cell r="X36"/>
          <cell r="Y36"/>
          <cell r="Z36"/>
          <cell r="AA36"/>
          <cell r="AB36"/>
          <cell r="AC36"/>
          <cell r="AD36"/>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cell r="BF36"/>
          <cell r="BG36"/>
          <cell r="BH36"/>
          <cell r="BI36"/>
          <cell r="BJ36"/>
          <cell r="BK36"/>
          <cell r="BL36"/>
          <cell r="BM36"/>
          <cell r="BN36"/>
          <cell r="BO36"/>
          <cell r="BP36"/>
          <cell r="BQ36"/>
          <cell r="BR36"/>
          <cell r="BS36"/>
          <cell r="BT36"/>
          <cell r="BU36"/>
          <cell r="BV36"/>
          <cell r="BW36"/>
          <cell r="BX36"/>
          <cell r="BY36"/>
          <cell r="BZ36"/>
          <cell r="CA36"/>
          <cell r="CB36"/>
          <cell r="CC36"/>
          <cell r="CD36"/>
        </row>
        <row r="37">
          <cell r="A37" t="str">
            <v>F</v>
          </cell>
          <cell r="B37" t="str">
            <v>Y</v>
          </cell>
          <cell r="C37">
            <v>7492</v>
          </cell>
          <cell r="D37">
            <v>13860</v>
          </cell>
          <cell r="E37">
            <v>7492</v>
          </cell>
          <cell r="F37">
            <v>10639</v>
          </cell>
          <cell r="G37">
            <v>12212</v>
          </cell>
          <cell r="H37">
            <v>13860</v>
          </cell>
          <cell r="I37">
            <v>15433</v>
          </cell>
          <cell r="J37">
            <v>7492</v>
          </cell>
          <cell r="K37">
            <v>10639</v>
          </cell>
          <cell r="L37">
            <v>12212</v>
          </cell>
          <cell r="M37">
            <v>8178</v>
          </cell>
          <cell r="N37">
            <v>15131</v>
          </cell>
          <cell r="O37">
            <v>8178</v>
          </cell>
          <cell r="P37">
            <v>11613</v>
          </cell>
          <cell r="Q37">
            <v>13331</v>
          </cell>
          <cell r="R37">
            <v>15131</v>
          </cell>
          <cell r="S37">
            <v>16847</v>
          </cell>
          <cell r="T37">
            <v>8178</v>
          </cell>
          <cell r="U37">
            <v>11613</v>
          </cell>
          <cell r="V37">
            <v>13331</v>
          </cell>
          <cell r="W37"/>
          <cell r="X37"/>
          <cell r="Y37"/>
          <cell r="Z37"/>
          <cell r="AA37"/>
          <cell r="AB37"/>
          <cell r="AC37"/>
          <cell r="AD37"/>
          <cell r="AE37"/>
          <cell r="AF37"/>
          <cell r="AG37"/>
          <cell r="AH37"/>
          <cell r="AI37"/>
          <cell r="AJ37"/>
          <cell r="AK37"/>
          <cell r="AL37"/>
          <cell r="AM37"/>
          <cell r="AN37"/>
          <cell r="AO37"/>
          <cell r="AP37"/>
          <cell r="AQ37"/>
          <cell r="AR37"/>
          <cell r="AS37"/>
          <cell r="AT37"/>
          <cell r="AU37"/>
          <cell r="AV37"/>
          <cell r="AW37"/>
          <cell r="AX37"/>
          <cell r="AY37"/>
          <cell r="AZ37"/>
          <cell r="BA37"/>
          <cell r="BB37"/>
          <cell r="BC37"/>
          <cell r="BD37"/>
          <cell r="BE37"/>
          <cell r="BF37"/>
          <cell r="BG37"/>
          <cell r="BH37"/>
          <cell r="BI37"/>
          <cell r="BJ37"/>
          <cell r="BK37"/>
          <cell r="BL37"/>
          <cell r="BM37"/>
          <cell r="BN37"/>
          <cell r="BO37"/>
          <cell r="BP37"/>
          <cell r="BQ37"/>
          <cell r="BR37"/>
          <cell r="BS37"/>
          <cell r="BT37"/>
          <cell r="BU37"/>
          <cell r="BV37"/>
          <cell r="BW37"/>
          <cell r="BX37"/>
          <cell r="BY37"/>
          <cell r="BZ37"/>
          <cell r="CA37"/>
          <cell r="CB37"/>
          <cell r="CC37"/>
          <cell r="CD37"/>
        </row>
        <row r="38">
          <cell r="A38" t="str">
            <v>G</v>
          </cell>
          <cell r="B38" t="str">
            <v>D</v>
          </cell>
          <cell r="C38">
            <v>7421</v>
          </cell>
          <cell r="D38">
            <v>13729</v>
          </cell>
          <cell r="E38">
            <v>7421</v>
          </cell>
          <cell r="F38">
            <v>10538</v>
          </cell>
          <cell r="G38">
            <v>12096</v>
          </cell>
          <cell r="H38">
            <v>13729</v>
          </cell>
          <cell r="I38">
            <v>15287</v>
          </cell>
          <cell r="J38">
            <v>7421</v>
          </cell>
          <cell r="K38">
            <v>10538</v>
          </cell>
          <cell r="L38">
            <v>12096</v>
          </cell>
          <cell r="M38">
            <v>8092</v>
          </cell>
          <cell r="N38">
            <v>14970</v>
          </cell>
          <cell r="O38">
            <v>8092</v>
          </cell>
          <cell r="P38">
            <v>11491</v>
          </cell>
          <cell r="Q38">
            <v>13190</v>
          </cell>
          <cell r="R38">
            <v>14970</v>
          </cell>
          <cell r="S38">
            <v>16670</v>
          </cell>
          <cell r="T38">
            <v>8092</v>
          </cell>
          <cell r="U38">
            <v>11491</v>
          </cell>
          <cell r="V38">
            <v>13190</v>
          </cell>
          <cell r="W38"/>
          <cell r="X38"/>
          <cell r="Y38"/>
          <cell r="Z38"/>
          <cell r="AA38"/>
          <cell r="AB38"/>
          <cell r="AC38"/>
          <cell r="AD38"/>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cell r="BF38"/>
          <cell r="BG38"/>
          <cell r="BH38"/>
          <cell r="BI38"/>
          <cell r="BJ38"/>
          <cell r="BK38"/>
          <cell r="BL38"/>
          <cell r="BM38"/>
          <cell r="BN38"/>
          <cell r="BO38"/>
          <cell r="BP38"/>
          <cell r="BQ38"/>
          <cell r="BR38"/>
          <cell r="BS38"/>
          <cell r="BT38"/>
          <cell r="BU38"/>
          <cell r="BV38"/>
          <cell r="BW38"/>
          <cell r="BX38"/>
          <cell r="BY38"/>
          <cell r="BZ38"/>
          <cell r="CA38"/>
          <cell r="CB38"/>
          <cell r="CC38"/>
          <cell r="CD38"/>
        </row>
        <row r="39">
          <cell r="A39" t="str">
            <v>G</v>
          </cell>
          <cell r="B39" t="str">
            <v>A</v>
          </cell>
          <cell r="C39">
            <v>9870</v>
          </cell>
          <cell r="D39">
            <v>18260</v>
          </cell>
          <cell r="E39">
            <v>9870</v>
          </cell>
          <cell r="F39">
            <v>14016</v>
          </cell>
          <cell r="G39">
            <v>16088</v>
          </cell>
          <cell r="H39">
            <v>18260</v>
          </cell>
          <cell r="I39">
            <v>20332</v>
          </cell>
          <cell r="J39">
            <v>9870</v>
          </cell>
          <cell r="K39">
            <v>14016</v>
          </cell>
          <cell r="L39">
            <v>16088</v>
          </cell>
          <cell r="M39">
            <v>10762</v>
          </cell>
          <cell r="N39">
            <v>19910</v>
          </cell>
          <cell r="O39">
            <v>10762</v>
          </cell>
          <cell r="P39">
            <v>15283</v>
          </cell>
          <cell r="Q39">
            <v>17543</v>
          </cell>
          <cell r="R39">
            <v>19910</v>
          </cell>
          <cell r="S39">
            <v>22171</v>
          </cell>
          <cell r="T39">
            <v>10762</v>
          </cell>
          <cell r="U39">
            <v>15283</v>
          </cell>
          <cell r="V39">
            <v>17543</v>
          </cell>
          <cell r="W39"/>
          <cell r="X39"/>
          <cell r="Y39"/>
          <cell r="Z39"/>
          <cell r="AA39"/>
          <cell r="AB39"/>
          <cell r="AC39"/>
          <cell r="AD39"/>
          <cell r="AE39"/>
          <cell r="AF39"/>
          <cell r="AG39"/>
          <cell r="AH39"/>
          <cell r="AI39"/>
          <cell r="AJ39"/>
          <cell r="AK39"/>
          <cell r="AL39"/>
          <cell r="AM39"/>
          <cell r="AN39"/>
          <cell r="AO39"/>
          <cell r="AP39"/>
          <cell r="AQ39"/>
          <cell r="AR39"/>
          <cell r="AS39"/>
          <cell r="AT39"/>
          <cell r="AU39"/>
          <cell r="AV39"/>
          <cell r="AW39"/>
          <cell r="AX39"/>
          <cell r="AY39"/>
          <cell r="AZ39"/>
          <cell r="BA39"/>
          <cell r="BB39"/>
          <cell r="BC39"/>
          <cell r="BD39"/>
          <cell r="BE39"/>
          <cell r="BF39"/>
          <cell r="BG39"/>
          <cell r="BH39"/>
          <cell r="BI39"/>
          <cell r="BJ39"/>
          <cell r="BK39"/>
          <cell r="BL39"/>
          <cell r="BM39"/>
          <cell r="BN39"/>
          <cell r="BO39"/>
          <cell r="BP39"/>
          <cell r="BQ39"/>
          <cell r="BR39"/>
          <cell r="BS39"/>
          <cell r="BT39"/>
          <cell r="BU39"/>
          <cell r="BV39"/>
          <cell r="BW39"/>
          <cell r="BX39"/>
          <cell r="BY39"/>
          <cell r="BZ39"/>
          <cell r="CA39"/>
          <cell r="CB39"/>
          <cell r="CC39"/>
          <cell r="CD39"/>
        </row>
        <row r="40">
          <cell r="A40" t="str">
            <v>G</v>
          </cell>
          <cell r="B40" t="str">
            <v>B</v>
          </cell>
          <cell r="C40">
            <v>9054</v>
          </cell>
          <cell r="D40">
            <v>16749</v>
          </cell>
          <cell r="E40">
            <v>9054</v>
          </cell>
          <cell r="F40">
            <v>12856</v>
          </cell>
          <cell r="G40">
            <v>14757</v>
          </cell>
          <cell r="H40">
            <v>16749</v>
          </cell>
          <cell r="I40">
            <v>18650</v>
          </cell>
          <cell r="J40">
            <v>9054</v>
          </cell>
          <cell r="K40">
            <v>12856</v>
          </cell>
          <cell r="L40">
            <v>14757</v>
          </cell>
          <cell r="M40">
            <v>9872</v>
          </cell>
          <cell r="N40">
            <v>18263</v>
          </cell>
          <cell r="O40">
            <v>9872</v>
          </cell>
          <cell r="P40">
            <v>14019</v>
          </cell>
          <cell r="Q40">
            <v>16092</v>
          </cell>
          <cell r="R40">
            <v>18263</v>
          </cell>
          <cell r="S40">
            <v>20337</v>
          </cell>
          <cell r="T40">
            <v>9872</v>
          </cell>
          <cell r="U40">
            <v>14019</v>
          </cell>
          <cell r="V40">
            <v>16092</v>
          </cell>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cell r="BF40"/>
          <cell r="BG40"/>
          <cell r="BH40"/>
          <cell r="BI40"/>
          <cell r="BJ40"/>
          <cell r="BK40"/>
          <cell r="BL40"/>
          <cell r="BM40"/>
          <cell r="BN40"/>
          <cell r="BO40"/>
          <cell r="BP40"/>
          <cell r="BQ40"/>
          <cell r="BR40"/>
          <cell r="BS40"/>
          <cell r="BT40"/>
          <cell r="BU40"/>
          <cell r="BV40"/>
          <cell r="BW40"/>
          <cell r="BX40"/>
          <cell r="BY40"/>
          <cell r="BZ40"/>
          <cell r="CA40"/>
          <cell r="CB40"/>
          <cell r="CC40"/>
          <cell r="CD40"/>
        </row>
        <row r="41">
          <cell r="A41" t="str">
            <v>G</v>
          </cell>
          <cell r="B41" t="str">
            <v>Y</v>
          </cell>
          <cell r="C41">
            <v>7792</v>
          </cell>
          <cell r="D41">
            <v>14415</v>
          </cell>
          <cell r="E41">
            <v>7792</v>
          </cell>
          <cell r="F41">
            <v>11065</v>
          </cell>
          <cell r="G41">
            <v>12701</v>
          </cell>
          <cell r="H41">
            <v>14415</v>
          </cell>
          <cell r="I41">
            <v>16051</v>
          </cell>
          <cell r="J41">
            <v>7792</v>
          </cell>
          <cell r="K41">
            <v>11065</v>
          </cell>
          <cell r="L41">
            <v>12701</v>
          </cell>
          <cell r="M41">
            <v>8497</v>
          </cell>
          <cell r="N41">
            <v>15719</v>
          </cell>
          <cell r="O41">
            <v>8497</v>
          </cell>
          <cell r="P41">
            <v>12066</v>
          </cell>
          <cell r="Q41">
            <v>13850</v>
          </cell>
          <cell r="R41">
            <v>15719</v>
          </cell>
          <cell r="S41">
            <v>17504</v>
          </cell>
          <cell r="T41">
            <v>8497</v>
          </cell>
          <cell r="U41">
            <v>12066</v>
          </cell>
          <cell r="V41">
            <v>13850</v>
          </cell>
          <cell r="W41"/>
          <cell r="X41"/>
          <cell r="Y41"/>
          <cell r="Z41"/>
          <cell r="AA41"/>
          <cell r="AB41"/>
          <cell r="AC41"/>
          <cell r="AD41"/>
          <cell r="AE41"/>
          <cell r="AF41"/>
          <cell r="AG41"/>
          <cell r="AH41"/>
          <cell r="AI41"/>
          <cell r="AJ41"/>
          <cell r="AK41"/>
          <cell r="AL41"/>
          <cell r="AM41"/>
          <cell r="AN41"/>
          <cell r="AO41"/>
          <cell r="AP41"/>
          <cell r="AQ41"/>
          <cell r="AR41"/>
          <cell r="AS41"/>
          <cell r="AT41"/>
          <cell r="AU41"/>
          <cell r="AV41"/>
          <cell r="AW41"/>
          <cell r="AX41"/>
          <cell r="AY41"/>
          <cell r="AZ41"/>
          <cell r="BA41"/>
          <cell r="BB41"/>
          <cell r="BC41"/>
          <cell r="BD41"/>
          <cell r="BE41"/>
          <cell r="BF41"/>
          <cell r="BG41"/>
          <cell r="BH41"/>
          <cell r="BI41"/>
          <cell r="BJ41"/>
          <cell r="BK41"/>
          <cell r="BL41"/>
          <cell r="BM41"/>
          <cell r="BN41"/>
          <cell r="BO41"/>
          <cell r="BP41"/>
          <cell r="BQ41"/>
          <cell r="BR41"/>
          <cell r="BS41"/>
          <cell r="BT41"/>
          <cell r="BU41"/>
          <cell r="BV41"/>
          <cell r="BW41"/>
          <cell r="BX41"/>
          <cell r="BY41"/>
          <cell r="BZ41"/>
          <cell r="CA41"/>
          <cell r="CB41"/>
          <cell r="CC41"/>
          <cell r="CD41"/>
        </row>
        <row r="42">
          <cell r="A42" t="str">
            <v>H</v>
          </cell>
          <cell r="B42" t="str">
            <v>D</v>
          </cell>
          <cell r="C42">
            <v>7723</v>
          </cell>
          <cell r="D42">
            <v>14288</v>
          </cell>
          <cell r="E42">
            <v>7723</v>
          </cell>
          <cell r="F42">
            <v>10967</v>
          </cell>
          <cell r="G42">
            <v>12588</v>
          </cell>
          <cell r="H42">
            <v>14288</v>
          </cell>
          <cell r="I42">
            <v>15909</v>
          </cell>
          <cell r="J42">
            <v>7723</v>
          </cell>
          <cell r="K42">
            <v>10967</v>
          </cell>
          <cell r="L42">
            <v>12588</v>
          </cell>
          <cell r="M42">
            <v>8426</v>
          </cell>
          <cell r="N42">
            <v>15588</v>
          </cell>
          <cell r="O42">
            <v>8426</v>
          </cell>
          <cell r="P42">
            <v>11965</v>
          </cell>
          <cell r="Q42">
            <v>13734</v>
          </cell>
          <cell r="R42">
            <v>15588</v>
          </cell>
          <cell r="S42">
            <v>17358</v>
          </cell>
          <cell r="T42">
            <v>8426</v>
          </cell>
          <cell r="U42">
            <v>11965</v>
          </cell>
          <cell r="V42">
            <v>13734</v>
          </cell>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cell r="BP42"/>
          <cell r="BQ42"/>
          <cell r="BR42"/>
          <cell r="BS42"/>
          <cell r="BT42"/>
          <cell r="BU42"/>
          <cell r="BV42"/>
          <cell r="BW42"/>
          <cell r="BX42"/>
          <cell r="BY42"/>
          <cell r="BZ42"/>
          <cell r="CA42"/>
          <cell r="CB42"/>
          <cell r="CC42"/>
          <cell r="CD42"/>
        </row>
        <row r="43">
          <cell r="A43" t="str">
            <v>H</v>
          </cell>
          <cell r="B43" t="str">
            <v>A</v>
          </cell>
          <cell r="C43">
            <v>10272</v>
          </cell>
          <cell r="D43">
            <v>19003</v>
          </cell>
          <cell r="E43">
            <v>10272</v>
          </cell>
          <cell r="F43">
            <v>14586</v>
          </cell>
          <cell r="G43">
            <v>16742</v>
          </cell>
          <cell r="H43">
            <v>19003</v>
          </cell>
          <cell r="I43">
            <v>21159</v>
          </cell>
          <cell r="J43">
            <v>10272</v>
          </cell>
          <cell r="K43">
            <v>14586</v>
          </cell>
          <cell r="L43">
            <v>16742</v>
          </cell>
          <cell r="M43">
            <v>11207</v>
          </cell>
          <cell r="N43">
            <v>20732</v>
          </cell>
          <cell r="O43">
            <v>11207</v>
          </cell>
          <cell r="P43">
            <v>15913</v>
          </cell>
          <cell r="Q43">
            <v>18266</v>
          </cell>
          <cell r="R43">
            <v>20732</v>
          </cell>
          <cell r="S43">
            <v>23086</v>
          </cell>
          <cell r="T43">
            <v>11207</v>
          </cell>
          <cell r="U43">
            <v>15913</v>
          </cell>
          <cell r="V43">
            <v>18266</v>
          </cell>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cell r="BA43"/>
          <cell r="BB43"/>
          <cell r="BC43"/>
          <cell r="BD43"/>
          <cell r="BE43"/>
          <cell r="BF43"/>
          <cell r="BG43"/>
          <cell r="BH43"/>
          <cell r="BI43"/>
          <cell r="BJ43"/>
          <cell r="BK43"/>
          <cell r="BL43"/>
          <cell r="BM43"/>
          <cell r="BN43"/>
          <cell r="BO43"/>
          <cell r="BP43"/>
          <cell r="BQ43"/>
          <cell r="BR43"/>
          <cell r="BS43"/>
          <cell r="BT43"/>
          <cell r="BU43"/>
          <cell r="BV43"/>
          <cell r="BW43"/>
          <cell r="BX43"/>
          <cell r="BY43"/>
          <cell r="BZ43"/>
          <cell r="CA43"/>
          <cell r="CB43"/>
          <cell r="CC43"/>
          <cell r="CD43"/>
        </row>
        <row r="44">
          <cell r="A44" t="str">
            <v>H</v>
          </cell>
          <cell r="B44" t="str">
            <v>B</v>
          </cell>
          <cell r="C44">
            <v>9422</v>
          </cell>
          <cell r="D44">
            <v>17431</v>
          </cell>
          <cell r="E44">
            <v>9422</v>
          </cell>
          <cell r="F44">
            <v>13380</v>
          </cell>
          <cell r="G44">
            <v>15357</v>
          </cell>
          <cell r="H44">
            <v>17431</v>
          </cell>
          <cell r="I44">
            <v>19409</v>
          </cell>
          <cell r="J44">
            <v>9422</v>
          </cell>
          <cell r="K44">
            <v>13380</v>
          </cell>
          <cell r="L44">
            <v>15357</v>
          </cell>
          <cell r="M44">
            <v>10280</v>
          </cell>
          <cell r="N44">
            <v>19017</v>
          </cell>
          <cell r="O44">
            <v>10280</v>
          </cell>
          <cell r="P44">
            <v>14597</v>
          </cell>
          <cell r="Q44">
            <v>16755</v>
          </cell>
          <cell r="R44">
            <v>19017</v>
          </cell>
          <cell r="S44">
            <v>21177</v>
          </cell>
          <cell r="T44">
            <v>10280</v>
          </cell>
          <cell r="U44">
            <v>14597</v>
          </cell>
          <cell r="V44">
            <v>16755</v>
          </cell>
          <cell r="W44"/>
          <cell r="X44"/>
          <cell r="Y44"/>
          <cell r="Z44"/>
          <cell r="AA44"/>
          <cell r="AB44"/>
          <cell r="AC44"/>
          <cell r="AD44"/>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cell r="BU44"/>
          <cell r="BV44"/>
          <cell r="BW44"/>
          <cell r="BX44"/>
          <cell r="BY44"/>
          <cell r="BZ44"/>
          <cell r="CA44"/>
          <cell r="CB44"/>
          <cell r="CC44"/>
          <cell r="CD44"/>
        </row>
        <row r="45">
          <cell r="A45" t="str">
            <v>H</v>
          </cell>
          <cell r="B45" t="str">
            <v>Y</v>
          </cell>
          <cell r="C45">
            <v>8109</v>
          </cell>
          <cell r="D45">
            <v>15002</v>
          </cell>
          <cell r="E45">
            <v>8109</v>
          </cell>
          <cell r="F45">
            <v>11515</v>
          </cell>
          <cell r="G45">
            <v>13217</v>
          </cell>
          <cell r="H45">
            <v>15002</v>
          </cell>
          <cell r="I45">
            <v>16704</v>
          </cell>
          <cell r="J45">
            <v>8109</v>
          </cell>
          <cell r="K45">
            <v>11515</v>
          </cell>
          <cell r="L45">
            <v>13217</v>
          </cell>
          <cell r="M45">
            <v>8847</v>
          </cell>
          <cell r="N45">
            <v>16367</v>
          </cell>
          <cell r="O45">
            <v>8847</v>
          </cell>
          <cell r="P45">
            <v>12563</v>
          </cell>
          <cell r="Q45">
            <v>14421</v>
          </cell>
          <cell r="R45">
            <v>16367</v>
          </cell>
          <cell r="S45">
            <v>18226</v>
          </cell>
          <cell r="T45">
            <v>8847</v>
          </cell>
          <cell r="U45">
            <v>12563</v>
          </cell>
          <cell r="V45">
            <v>14421</v>
          </cell>
          <cell r="W45"/>
          <cell r="X45"/>
          <cell r="Y45"/>
          <cell r="Z45"/>
          <cell r="AA45"/>
          <cell r="AB45"/>
          <cell r="AC45"/>
          <cell r="AD45"/>
          <cell r="AE45"/>
          <cell r="AF45"/>
          <cell r="AG45"/>
          <cell r="AH45"/>
          <cell r="AI45"/>
          <cell r="AJ45"/>
          <cell r="AK45"/>
          <cell r="AL45"/>
          <cell r="AM45"/>
          <cell r="AN45"/>
          <cell r="AO45"/>
          <cell r="AP45"/>
          <cell r="AQ45"/>
          <cell r="AR45"/>
          <cell r="AS45"/>
          <cell r="AT45"/>
          <cell r="AU45"/>
          <cell r="AV45"/>
          <cell r="AW45"/>
          <cell r="AX45"/>
          <cell r="AY45"/>
          <cell r="AZ45"/>
          <cell r="BA45"/>
          <cell r="BB45"/>
          <cell r="BC45"/>
          <cell r="BD45"/>
          <cell r="BE45"/>
          <cell r="BF45"/>
          <cell r="BG45"/>
          <cell r="BH45"/>
          <cell r="BI45"/>
          <cell r="BJ45"/>
          <cell r="BK45"/>
          <cell r="BL45"/>
          <cell r="BM45"/>
          <cell r="BN45"/>
          <cell r="BO45"/>
          <cell r="BP45"/>
          <cell r="BQ45"/>
          <cell r="BR45"/>
          <cell r="BS45"/>
          <cell r="BT45"/>
          <cell r="BU45"/>
          <cell r="BV45"/>
          <cell r="BW45"/>
          <cell r="BX45"/>
          <cell r="BY45"/>
          <cell r="BZ45"/>
          <cell r="CA45"/>
          <cell r="CB45"/>
          <cell r="CC45"/>
          <cell r="CD45"/>
        </row>
        <row r="46">
          <cell r="A46" t="str">
            <v>I</v>
          </cell>
          <cell r="B46" t="str">
            <v>D</v>
          </cell>
          <cell r="C46">
            <v>8154</v>
          </cell>
          <cell r="D46">
            <v>15085</v>
          </cell>
          <cell r="E46">
            <v>8154</v>
          </cell>
          <cell r="F46">
            <v>11579</v>
          </cell>
          <cell r="G46">
            <v>13291</v>
          </cell>
          <cell r="H46">
            <v>15085</v>
          </cell>
          <cell r="I46">
            <v>16797</v>
          </cell>
          <cell r="J46">
            <v>8154</v>
          </cell>
          <cell r="K46">
            <v>11579</v>
          </cell>
          <cell r="L46">
            <v>13291</v>
          </cell>
          <cell r="M46">
            <v>8897</v>
          </cell>
          <cell r="N46">
            <v>16459</v>
          </cell>
          <cell r="O46">
            <v>8897</v>
          </cell>
          <cell r="P46">
            <v>12634</v>
          </cell>
          <cell r="Q46">
            <v>14502</v>
          </cell>
          <cell r="R46">
            <v>16459</v>
          </cell>
          <cell r="S46">
            <v>18328</v>
          </cell>
          <cell r="T46">
            <v>8897</v>
          </cell>
          <cell r="U46">
            <v>12634</v>
          </cell>
          <cell r="V46">
            <v>14502</v>
          </cell>
          <cell r="W46"/>
          <cell r="X46"/>
          <cell r="Y46"/>
          <cell r="Z46"/>
          <cell r="AA46"/>
          <cell r="AB46"/>
          <cell r="AC46"/>
          <cell r="AD46"/>
          <cell r="AE46"/>
          <cell r="AF46"/>
          <cell r="AG46"/>
          <cell r="AH46"/>
          <cell r="AI46"/>
          <cell r="AJ46"/>
          <cell r="AK46"/>
          <cell r="AL46"/>
          <cell r="AM46"/>
          <cell r="AN46"/>
          <cell r="AO46"/>
          <cell r="AP46"/>
          <cell r="AQ46"/>
          <cell r="AR46"/>
          <cell r="AS46"/>
          <cell r="AT46"/>
          <cell r="AU46"/>
          <cell r="AV46"/>
          <cell r="AW46"/>
          <cell r="AX46"/>
          <cell r="AY46"/>
          <cell r="AZ46"/>
          <cell r="BA46"/>
          <cell r="BB46"/>
          <cell r="BC46"/>
          <cell r="BD46"/>
          <cell r="BE46"/>
          <cell r="BF46"/>
          <cell r="BG46"/>
          <cell r="BH46"/>
          <cell r="BI46"/>
          <cell r="BJ46"/>
          <cell r="BK46"/>
          <cell r="BL46"/>
          <cell r="BM46"/>
          <cell r="BN46"/>
          <cell r="BO46"/>
          <cell r="BP46"/>
          <cell r="BQ46"/>
          <cell r="BR46"/>
          <cell r="BS46"/>
          <cell r="BT46"/>
          <cell r="BU46"/>
          <cell r="BV46"/>
          <cell r="BW46"/>
          <cell r="BX46"/>
          <cell r="BY46"/>
          <cell r="BZ46"/>
          <cell r="CA46"/>
          <cell r="CB46"/>
          <cell r="CC46"/>
          <cell r="CD46"/>
        </row>
        <row r="47">
          <cell r="A47" t="str">
            <v>I</v>
          </cell>
          <cell r="B47" t="str">
            <v>A</v>
          </cell>
          <cell r="C47">
            <v>10845</v>
          </cell>
          <cell r="D47">
            <v>20063</v>
          </cell>
          <cell r="E47">
            <v>10845</v>
          </cell>
          <cell r="F47">
            <v>15400</v>
          </cell>
          <cell r="G47">
            <v>17677</v>
          </cell>
          <cell r="H47">
            <v>20063</v>
          </cell>
          <cell r="I47">
            <v>22340</v>
          </cell>
          <cell r="J47">
            <v>10845</v>
          </cell>
          <cell r="K47">
            <v>15400</v>
          </cell>
          <cell r="L47">
            <v>17677</v>
          </cell>
          <cell r="M47">
            <v>11833</v>
          </cell>
          <cell r="N47">
            <v>21890</v>
          </cell>
          <cell r="O47">
            <v>11833</v>
          </cell>
          <cell r="P47">
            <v>16803</v>
          </cell>
          <cell r="Q47">
            <v>19288</v>
          </cell>
          <cell r="R47">
            <v>21890</v>
          </cell>
          <cell r="S47">
            <v>24376</v>
          </cell>
          <cell r="T47">
            <v>11833</v>
          </cell>
          <cell r="U47">
            <v>16803</v>
          </cell>
          <cell r="V47">
            <v>19288</v>
          </cell>
          <cell r="W47"/>
          <cell r="X47"/>
          <cell r="Y47"/>
          <cell r="Z47"/>
          <cell r="AA47"/>
          <cell r="AB47"/>
          <cell r="AC47"/>
          <cell r="AD47"/>
          <cell r="AE47"/>
          <cell r="AF47"/>
          <cell r="AG47"/>
          <cell r="AH47"/>
          <cell r="AI47"/>
          <cell r="AJ47"/>
          <cell r="AK47"/>
          <cell r="AL47"/>
          <cell r="AM47"/>
          <cell r="AN47"/>
          <cell r="AO47"/>
          <cell r="AP47"/>
          <cell r="AQ47"/>
          <cell r="AR47"/>
          <cell r="AS47"/>
          <cell r="AT47"/>
          <cell r="AU47"/>
          <cell r="AV47"/>
          <cell r="AW47"/>
          <cell r="AX47"/>
          <cell r="AY47"/>
          <cell r="AZ47"/>
          <cell r="BA47"/>
          <cell r="BB47"/>
          <cell r="BC47"/>
          <cell r="BD47"/>
          <cell r="BE47"/>
          <cell r="BF47"/>
          <cell r="BG47"/>
          <cell r="BH47"/>
          <cell r="BI47"/>
          <cell r="BJ47"/>
          <cell r="BK47"/>
          <cell r="BL47"/>
          <cell r="BM47"/>
          <cell r="BN47"/>
          <cell r="BO47"/>
          <cell r="BP47"/>
          <cell r="BQ47"/>
          <cell r="BR47"/>
          <cell r="BS47"/>
          <cell r="BT47"/>
          <cell r="BU47"/>
          <cell r="BV47"/>
          <cell r="BW47"/>
          <cell r="BX47"/>
          <cell r="BY47"/>
          <cell r="BZ47"/>
          <cell r="CA47"/>
          <cell r="CB47"/>
          <cell r="CC47"/>
          <cell r="CD47"/>
        </row>
        <row r="48">
          <cell r="A48" t="str">
            <v>I</v>
          </cell>
          <cell r="B48" t="str">
            <v>B</v>
          </cell>
          <cell r="C48">
            <v>9948</v>
          </cell>
          <cell r="D48">
            <v>18404</v>
          </cell>
          <cell r="E48">
            <v>9948</v>
          </cell>
          <cell r="F48">
            <v>14126</v>
          </cell>
          <cell r="G48">
            <v>16215</v>
          </cell>
          <cell r="H48">
            <v>18404</v>
          </cell>
          <cell r="I48">
            <v>20492</v>
          </cell>
          <cell r="J48">
            <v>9948</v>
          </cell>
          <cell r="K48">
            <v>14126</v>
          </cell>
          <cell r="L48">
            <v>16215</v>
          </cell>
          <cell r="M48">
            <v>10854</v>
          </cell>
          <cell r="N48">
            <v>20080</v>
          </cell>
          <cell r="O48">
            <v>10854</v>
          </cell>
          <cell r="P48">
            <v>15413</v>
          </cell>
          <cell r="Q48">
            <v>17692</v>
          </cell>
          <cell r="R48">
            <v>20080</v>
          </cell>
          <cell r="S48">
            <v>22360</v>
          </cell>
          <cell r="T48">
            <v>10854</v>
          </cell>
          <cell r="U48">
            <v>15413</v>
          </cell>
          <cell r="V48">
            <v>17692</v>
          </cell>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cell r="BU48"/>
          <cell r="BV48"/>
          <cell r="BW48"/>
          <cell r="BX48"/>
          <cell r="BY48"/>
          <cell r="BZ48"/>
          <cell r="CA48"/>
          <cell r="CB48"/>
          <cell r="CC48"/>
          <cell r="CD48"/>
        </row>
        <row r="49">
          <cell r="A49" t="str">
            <v>I</v>
          </cell>
          <cell r="B49" t="str">
            <v>Y</v>
          </cell>
          <cell r="C49">
            <v>8562</v>
          </cell>
          <cell r="D49">
            <v>15839</v>
          </cell>
          <cell r="E49">
            <v>8562</v>
          </cell>
          <cell r="F49">
            <v>12158</v>
          </cell>
          <cell r="G49">
            <v>13956</v>
          </cell>
          <cell r="H49">
            <v>15839</v>
          </cell>
          <cell r="I49">
            <v>17637</v>
          </cell>
          <cell r="J49">
            <v>8562</v>
          </cell>
          <cell r="K49">
            <v>12158</v>
          </cell>
          <cell r="L49">
            <v>13956</v>
          </cell>
          <cell r="M49">
            <v>9342</v>
          </cell>
          <cell r="N49">
            <v>17282</v>
          </cell>
          <cell r="O49">
            <v>9342</v>
          </cell>
          <cell r="P49">
            <v>13266</v>
          </cell>
          <cell r="Q49">
            <v>15227</v>
          </cell>
          <cell r="R49">
            <v>17282</v>
          </cell>
          <cell r="S49">
            <v>19244</v>
          </cell>
          <cell r="T49">
            <v>9342</v>
          </cell>
          <cell r="U49">
            <v>13266</v>
          </cell>
          <cell r="V49">
            <v>15227</v>
          </cell>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cell r="BU49"/>
          <cell r="BV49"/>
          <cell r="BW49"/>
          <cell r="BX49"/>
          <cell r="BY49"/>
          <cell r="BZ49"/>
          <cell r="CA49"/>
          <cell r="CB49"/>
          <cell r="CC49"/>
          <cell r="CD49"/>
        </row>
        <row r="50">
          <cell r="A50" t="str">
            <v>J</v>
          </cell>
          <cell r="B50" t="str">
            <v>D</v>
          </cell>
          <cell r="C50">
            <v>8769</v>
          </cell>
          <cell r="D50">
            <v>16223</v>
          </cell>
          <cell r="E50">
            <v>8769</v>
          </cell>
          <cell r="F50">
            <v>12452</v>
          </cell>
          <cell r="G50">
            <v>14293</v>
          </cell>
          <cell r="H50">
            <v>16223</v>
          </cell>
          <cell r="I50">
            <v>18064</v>
          </cell>
          <cell r="J50">
            <v>8769</v>
          </cell>
          <cell r="K50">
            <v>12452</v>
          </cell>
          <cell r="L50">
            <v>14293</v>
          </cell>
          <cell r="M50">
            <v>9565</v>
          </cell>
          <cell r="N50">
            <v>17695</v>
          </cell>
          <cell r="O50">
            <v>9565</v>
          </cell>
          <cell r="P50">
            <v>13582</v>
          </cell>
          <cell r="Q50">
            <v>15591</v>
          </cell>
          <cell r="R50">
            <v>17695</v>
          </cell>
          <cell r="S50">
            <v>19704</v>
          </cell>
          <cell r="T50">
            <v>9565</v>
          </cell>
          <cell r="U50">
            <v>13582</v>
          </cell>
          <cell r="V50">
            <v>15591</v>
          </cell>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cell r="BU50"/>
          <cell r="BV50"/>
          <cell r="BW50"/>
          <cell r="BX50"/>
          <cell r="BY50"/>
          <cell r="BZ50"/>
          <cell r="CA50"/>
          <cell r="CB50"/>
          <cell r="CC50"/>
          <cell r="CD50"/>
        </row>
        <row r="51">
          <cell r="A51" t="str">
            <v>J</v>
          </cell>
          <cell r="B51" t="str">
            <v>A</v>
          </cell>
          <cell r="C51">
            <v>11663</v>
          </cell>
          <cell r="D51">
            <v>21577</v>
          </cell>
          <cell r="E51">
            <v>11663</v>
          </cell>
          <cell r="F51">
            <v>16561</v>
          </cell>
          <cell r="G51">
            <v>19010</v>
          </cell>
          <cell r="H51">
            <v>21577</v>
          </cell>
          <cell r="I51">
            <v>24025</v>
          </cell>
          <cell r="J51">
            <v>11663</v>
          </cell>
          <cell r="K51">
            <v>16561</v>
          </cell>
          <cell r="L51">
            <v>19010</v>
          </cell>
          <cell r="M51">
            <v>12721</v>
          </cell>
          <cell r="N51">
            <v>23534</v>
          </cell>
          <cell r="O51">
            <v>12721</v>
          </cell>
          <cell r="P51">
            <v>18064</v>
          </cell>
          <cell r="Q51">
            <v>20736</v>
          </cell>
          <cell r="R51">
            <v>23534</v>
          </cell>
          <cell r="S51">
            <v>26206</v>
          </cell>
          <cell r="T51">
            <v>12721</v>
          </cell>
          <cell r="U51">
            <v>18064</v>
          </cell>
          <cell r="V51">
            <v>20736</v>
          </cell>
          <cell r="W51"/>
          <cell r="X51"/>
          <cell r="Y51"/>
          <cell r="Z51"/>
          <cell r="AA51"/>
          <cell r="AB51"/>
          <cell r="AC51"/>
          <cell r="AD51"/>
          <cell r="AE51"/>
          <cell r="AF51"/>
          <cell r="AG51"/>
          <cell r="AH51"/>
          <cell r="AI51"/>
          <cell r="AJ51"/>
          <cell r="AK51"/>
          <cell r="AL51"/>
          <cell r="AM51"/>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cell r="BP51"/>
          <cell r="BQ51"/>
          <cell r="BR51"/>
          <cell r="BS51"/>
          <cell r="BT51"/>
          <cell r="BU51"/>
          <cell r="BV51"/>
          <cell r="BW51"/>
          <cell r="BX51"/>
          <cell r="BY51"/>
          <cell r="BZ51"/>
          <cell r="CA51"/>
          <cell r="CB51"/>
          <cell r="CC51"/>
          <cell r="CD51"/>
        </row>
        <row r="52">
          <cell r="A52" t="str">
            <v>J</v>
          </cell>
          <cell r="B52" t="str">
            <v>B</v>
          </cell>
          <cell r="C52">
            <v>10698</v>
          </cell>
          <cell r="D52">
            <v>19792</v>
          </cell>
          <cell r="E52">
            <v>10698</v>
          </cell>
          <cell r="F52">
            <v>15191</v>
          </cell>
          <cell r="G52">
            <v>17437</v>
          </cell>
          <cell r="H52">
            <v>19792</v>
          </cell>
          <cell r="I52">
            <v>22038</v>
          </cell>
          <cell r="J52">
            <v>10698</v>
          </cell>
          <cell r="K52">
            <v>15191</v>
          </cell>
          <cell r="L52">
            <v>17437</v>
          </cell>
          <cell r="M52">
            <v>11669</v>
          </cell>
          <cell r="N52">
            <v>21588</v>
          </cell>
          <cell r="O52">
            <v>11669</v>
          </cell>
          <cell r="P52">
            <v>16570</v>
          </cell>
          <cell r="Q52">
            <v>19021</v>
          </cell>
          <cell r="R52">
            <v>21588</v>
          </cell>
          <cell r="S52">
            <v>24039</v>
          </cell>
          <cell r="T52">
            <v>11669</v>
          </cell>
          <cell r="U52">
            <v>16570</v>
          </cell>
          <cell r="V52">
            <v>19021</v>
          </cell>
          <cell r="W52"/>
          <cell r="X52"/>
          <cell r="Y52"/>
          <cell r="Z52"/>
          <cell r="AA52"/>
          <cell r="AB52"/>
          <cell r="AC52"/>
          <cell r="AD52"/>
          <cell r="AE52"/>
          <cell r="AF52"/>
          <cell r="AG52"/>
          <cell r="AH52"/>
          <cell r="AI52"/>
          <cell r="AJ52"/>
          <cell r="AK52"/>
          <cell r="AL52"/>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cell r="BP52"/>
          <cell r="BQ52"/>
          <cell r="BR52"/>
          <cell r="BS52"/>
          <cell r="BT52"/>
          <cell r="BU52"/>
          <cell r="BV52"/>
          <cell r="BW52"/>
          <cell r="BX52"/>
          <cell r="BY52"/>
          <cell r="BZ52"/>
          <cell r="CA52"/>
          <cell r="CB52"/>
          <cell r="CC52"/>
          <cell r="CD52"/>
        </row>
        <row r="53">
          <cell r="A53" t="str">
            <v>J</v>
          </cell>
          <cell r="B53" t="str">
            <v>Y</v>
          </cell>
          <cell r="C53">
            <v>9207</v>
          </cell>
          <cell r="D53">
            <v>17034</v>
          </cell>
          <cell r="E53">
            <v>9207</v>
          </cell>
          <cell r="F53">
            <v>13075</v>
          </cell>
          <cell r="G53">
            <v>15008</v>
          </cell>
          <cell r="H53">
            <v>17034</v>
          </cell>
          <cell r="I53">
            <v>18967</v>
          </cell>
          <cell r="J53">
            <v>9207</v>
          </cell>
          <cell r="K53">
            <v>13075</v>
          </cell>
          <cell r="L53">
            <v>15008</v>
          </cell>
          <cell r="M53">
            <v>10043</v>
          </cell>
          <cell r="N53">
            <v>18580</v>
          </cell>
          <cell r="O53">
            <v>10043</v>
          </cell>
          <cell r="P53">
            <v>14261</v>
          </cell>
          <cell r="Q53">
            <v>16371</v>
          </cell>
          <cell r="R53">
            <v>18580</v>
          </cell>
          <cell r="S53">
            <v>20689</v>
          </cell>
          <cell r="T53">
            <v>10043</v>
          </cell>
          <cell r="U53">
            <v>14261</v>
          </cell>
          <cell r="V53">
            <v>16371</v>
          </cell>
          <cell r="W53"/>
          <cell r="X53"/>
          <cell r="Y53"/>
          <cell r="Z53"/>
          <cell r="AA53"/>
          <cell r="AB53"/>
          <cell r="AC53"/>
          <cell r="AD53"/>
          <cell r="AE53"/>
          <cell r="AF53"/>
          <cell r="AG53"/>
          <cell r="AH53"/>
          <cell r="AI53"/>
          <cell r="AJ53"/>
          <cell r="AK53"/>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cell r="BU53"/>
          <cell r="BV53"/>
          <cell r="BW53"/>
          <cell r="BX53"/>
          <cell r="BY53"/>
          <cell r="BZ53"/>
          <cell r="CA53"/>
          <cell r="CB53"/>
          <cell r="CC53"/>
          <cell r="CD53"/>
        </row>
        <row r="54">
          <cell r="A54" t="str">
            <v>K</v>
          </cell>
          <cell r="B54" t="str">
            <v>D</v>
          </cell>
          <cell r="C54">
            <v>9296</v>
          </cell>
          <cell r="D54">
            <v>17198</v>
          </cell>
          <cell r="E54">
            <v>9296</v>
          </cell>
          <cell r="F54">
            <v>13200</v>
          </cell>
          <cell r="G54">
            <v>15152</v>
          </cell>
          <cell r="H54">
            <v>17198</v>
          </cell>
          <cell r="I54">
            <v>19150</v>
          </cell>
          <cell r="J54">
            <v>9296</v>
          </cell>
          <cell r="K54">
            <v>13200</v>
          </cell>
          <cell r="L54">
            <v>15152</v>
          </cell>
          <cell r="M54">
            <v>10147</v>
          </cell>
          <cell r="N54">
            <v>18772</v>
          </cell>
          <cell r="O54">
            <v>10147</v>
          </cell>
          <cell r="P54">
            <v>14409</v>
          </cell>
          <cell r="Q54">
            <v>16540</v>
          </cell>
          <cell r="R54">
            <v>18772</v>
          </cell>
          <cell r="S54">
            <v>20903</v>
          </cell>
          <cell r="T54">
            <v>10147</v>
          </cell>
          <cell r="U54">
            <v>14409</v>
          </cell>
          <cell r="V54">
            <v>16540</v>
          </cell>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cell r="BU54"/>
          <cell r="BV54"/>
          <cell r="BW54"/>
          <cell r="BX54"/>
          <cell r="BY54"/>
          <cell r="BZ54"/>
          <cell r="CA54"/>
          <cell r="CB54"/>
          <cell r="CC54"/>
          <cell r="CD54"/>
        </row>
        <row r="55">
          <cell r="A55" t="str">
            <v>K</v>
          </cell>
          <cell r="B55" t="str">
            <v>A</v>
          </cell>
          <cell r="C55">
            <v>12364</v>
          </cell>
          <cell r="D55">
            <v>22873</v>
          </cell>
          <cell r="E55">
            <v>12364</v>
          </cell>
          <cell r="F55">
            <v>17556</v>
          </cell>
          <cell r="G55">
            <v>20152</v>
          </cell>
          <cell r="H55">
            <v>22873</v>
          </cell>
          <cell r="I55">
            <v>25470</v>
          </cell>
          <cell r="J55">
            <v>12364</v>
          </cell>
          <cell r="K55">
            <v>17556</v>
          </cell>
          <cell r="L55">
            <v>20152</v>
          </cell>
          <cell r="M55">
            <v>13496</v>
          </cell>
          <cell r="N55">
            <v>24967</v>
          </cell>
          <cell r="O55">
            <v>13496</v>
          </cell>
          <cell r="P55">
            <v>19164</v>
          </cell>
          <cell r="Q55">
            <v>21998</v>
          </cell>
          <cell r="R55">
            <v>24967</v>
          </cell>
          <cell r="S55">
            <v>27801</v>
          </cell>
          <cell r="T55">
            <v>13496</v>
          </cell>
          <cell r="U55">
            <v>19164</v>
          </cell>
          <cell r="V55">
            <v>21998</v>
          </cell>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cell r="BU55"/>
          <cell r="BV55"/>
          <cell r="BW55"/>
          <cell r="BX55"/>
          <cell r="BY55"/>
          <cell r="BZ55"/>
          <cell r="CA55"/>
          <cell r="CB55"/>
          <cell r="CC55"/>
          <cell r="CD55"/>
        </row>
        <row r="56">
          <cell r="A56" t="str">
            <v>K</v>
          </cell>
          <cell r="B56" t="str">
            <v>B</v>
          </cell>
          <cell r="C56">
            <v>11341</v>
          </cell>
          <cell r="D56">
            <v>20982</v>
          </cell>
          <cell r="E56">
            <v>11341</v>
          </cell>
          <cell r="F56">
            <v>16104</v>
          </cell>
          <cell r="G56">
            <v>18485</v>
          </cell>
          <cell r="H56">
            <v>20982</v>
          </cell>
          <cell r="I56">
            <v>23363</v>
          </cell>
          <cell r="J56">
            <v>11341</v>
          </cell>
          <cell r="K56">
            <v>16104</v>
          </cell>
          <cell r="L56">
            <v>18485</v>
          </cell>
          <cell r="M56">
            <v>12379</v>
          </cell>
          <cell r="N56">
            <v>22902</v>
          </cell>
          <cell r="O56">
            <v>12379</v>
          </cell>
          <cell r="P56">
            <v>17579</v>
          </cell>
          <cell r="Q56">
            <v>20179</v>
          </cell>
          <cell r="R56">
            <v>22902</v>
          </cell>
          <cell r="S56">
            <v>25502</v>
          </cell>
          <cell r="T56">
            <v>12379</v>
          </cell>
          <cell r="U56">
            <v>17579</v>
          </cell>
          <cell r="V56">
            <v>20179</v>
          </cell>
          <cell r="W56"/>
          <cell r="X56"/>
          <cell r="Y56"/>
          <cell r="Z56"/>
          <cell r="AA56"/>
          <cell r="AB56"/>
          <cell r="AC56"/>
          <cell r="AD56"/>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cell r="BU56"/>
          <cell r="BV56"/>
          <cell r="BW56"/>
          <cell r="BX56"/>
          <cell r="BY56"/>
          <cell r="BZ56"/>
          <cell r="CA56"/>
          <cell r="CB56"/>
          <cell r="CC56"/>
          <cell r="CD56"/>
        </row>
        <row r="57">
          <cell r="A57" t="str">
            <v>K</v>
          </cell>
          <cell r="B57" t="str">
            <v>Y</v>
          </cell>
          <cell r="C57">
            <v>9761</v>
          </cell>
          <cell r="D57">
            <v>18058</v>
          </cell>
          <cell r="E57">
            <v>9761</v>
          </cell>
          <cell r="F57">
            <v>13860</v>
          </cell>
          <cell r="G57">
            <v>15910</v>
          </cell>
          <cell r="H57">
            <v>18058</v>
          </cell>
          <cell r="I57">
            <v>20108</v>
          </cell>
          <cell r="J57">
            <v>9761</v>
          </cell>
          <cell r="K57">
            <v>13860</v>
          </cell>
          <cell r="L57">
            <v>15910</v>
          </cell>
          <cell r="M57">
            <v>10654</v>
          </cell>
          <cell r="N57">
            <v>19711</v>
          </cell>
          <cell r="O57">
            <v>10654</v>
          </cell>
          <cell r="P57">
            <v>15129</v>
          </cell>
          <cell r="Q57">
            <v>17367</v>
          </cell>
          <cell r="R57">
            <v>19711</v>
          </cell>
          <cell r="S57">
            <v>21948</v>
          </cell>
          <cell r="T57">
            <v>10654</v>
          </cell>
          <cell r="U57">
            <v>15129</v>
          </cell>
          <cell r="V57">
            <v>17367</v>
          </cell>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cell r="BU57"/>
          <cell r="BV57"/>
          <cell r="BW57"/>
          <cell r="BX57"/>
          <cell r="BY57"/>
          <cell r="BZ57"/>
          <cell r="CA57"/>
          <cell r="CB57"/>
          <cell r="CC57"/>
          <cell r="CD57"/>
        </row>
        <row r="58">
          <cell r="A58" t="str">
            <v>L</v>
          </cell>
          <cell r="B58" t="str">
            <v>D</v>
          </cell>
          <cell r="C58">
            <v>9815</v>
          </cell>
          <cell r="D58">
            <v>18158</v>
          </cell>
          <cell r="E58">
            <v>9815</v>
          </cell>
          <cell r="F58">
            <v>13937</v>
          </cell>
          <cell r="G58">
            <v>15998</v>
          </cell>
          <cell r="H58">
            <v>18158</v>
          </cell>
          <cell r="I58">
            <v>20219</v>
          </cell>
          <cell r="J58">
            <v>9815</v>
          </cell>
          <cell r="K58">
            <v>13937</v>
          </cell>
          <cell r="L58">
            <v>15998</v>
          </cell>
          <cell r="M58">
            <v>10714</v>
          </cell>
          <cell r="N58">
            <v>19821</v>
          </cell>
          <cell r="O58">
            <v>10714</v>
          </cell>
          <cell r="P58">
            <v>15214</v>
          </cell>
          <cell r="Q58">
            <v>17464</v>
          </cell>
          <cell r="R58">
            <v>19821</v>
          </cell>
          <cell r="S58">
            <v>22071</v>
          </cell>
          <cell r="T58">
            <v>10714</v>
          </cell>
          <cell r="U58">
            <v>15214</v>
          </cell>
          <cell r="V58">
            <v>17464</v>
          </cell>
          <cell r="W58"/>
          <cell r="X58"/>
          <cell r="Y58"/>
          <cell r="Z58"/>
          <cell r="AA58"/>
          <cell r="AB58"/>
          <cell r="AC58"/>
          <cell r="AD58"/>
          <cell r="AE58"/>
          <cell r="AF58"/>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cell r="BU58"/>
          <cell r="BV58"/>
          <cell r="BW58"/>
          <cell r="BX58"/>
          <cell r="BY58"/>
          <cell r="BZ58"/>
          <cell r="CA58"/>
          <cell r="CB58"/>
          <cell r="CC58"/>
          <cell r="CD58"/>
        </row>
        <row r="59">
          <cell r="A59" t="str">
            <v>L</v>
          </cell>
          <cell r="B59" t="str">
            <v>A</v>
          </cell>
          <cell r="C59">
            <v>13054</v>
          </cell>
          <cell r="D59">
            <v>24150</v>
          </cell>
          <cell r="E59">
            <v>13054</v>
          </cell>
          <cell r="F59">
            <v>18536</v>
          </cell>
          <cell r="G59">
            <v>21277</v>
          </cell>
          <cell r="H59">
            <v>24150</v>
          </cell>
          <cell r="I59">
            <v>26891</v>
          </cell>
          <cell r="J59">
            <v>13054</v>
          </cell>
          <cell r="K59">
            <v>18536</v>
          </cell>
          <cell r="L59">
            <v>21277</v>
          </cell>
          <cell r="M59">
            <v>14250</v>
          </cell>
          <cell r="N59">
            <v>26362</v>
          </cell>
          <cell r="O59">
            <v>14250</v>
          </cell>
          <cell r="P59">
            <v>20235</v>
          </cell>
          <cell r="Q59">
            <v>23227</v>
          </cell>
          <cell r="R59">
            <v>26362</v>
          </cell>
          <cell r="S59">
            <v>29354</v>
          </cell>
          <cell r="T59">
            <v>14250</v>
          </cell>
          <cell r="U59">
            <v>20235</v>
          </cell>
          <cell r="V59">
            <v>23227</v>
          </cell>
          <cell r="W59"/>
          <cell r="X59"/>
          <cell r="Y59"/>
          <cell r="Z59"/>
          <cell r="AA59"/>
          <cell r="AB59"/>
          <cell r="AC59"/>
          <cell r="AD59"/>
          <cell r="AE59"/>
          <cell r="AF59"/>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cell r="BI59"/>
          <cell r="BJ59"/>
          <cell r="BK59"/>
          <cell r="BL59"/>
          <cell r="BM59"/>
          <cell r="BN59"/>
          <cell r="BO59"/>
          <cell r="BP59"/>
          <cell r="BQ59"/>
          <cell r="BR59"/>
          <cell r="BS59"/>
          <cell r="BT59"/>
          <cell r="BU59"/>
          <cell r="BV59"/>
          <cell r="BW59"/>
          <cell r="BX59"/>
          <cell r="BY59"/>
          <cell r="BZ59"/>
          <cell r="CA59"/>
          <cell r="CB59"/>
          <cell r="CC59"/>
          <cell r="CD59"/>
        </row>
        <row r="60">
          <cell r="A60" t="str">
            <v>L</v>
          </cell>
          <cell r="B60" t="str">
            <v>B</v>
          </cell>
          <cell r="C60">
            <v>11974</v>
          </cell>
          <cell r="D60">
            <v>22153</v>
          </cell>
          <cell r="E60">
            <v>11974</v>
          </cell>
          <cell r="F60">
            <v>17003</v>
          </cell>
          <cell r="G60">
            <v>19518</v>
          </cell>
          <cell r="H60">
            <v>22153</v>
          </cell>
          <cell r="I60">
            <v>24667</v>
          </cell>
          <cell r="J60">
            <v>11974</v>
          </cell>
          <cell r="K60">
            <v>17003</v>
          </cell>
          <cell r="L60">
            <v>19518</v>
          </cell>
          <cell r="M60">
            <v>13071</v>
          </cell>
          <cell r="N60">
            <v>24182</v>
          </cell>
          <cell r="O60">
            <v>13071</v>
          </cell>
          <cell r="P60">
            <v>18561</v>
          </cell>
          <cell r="Q60">
            <v>21306</v>
          </cell>
          <cell r="R60">
            <v>24182</v>
          </cell>
          <cell r="S60">
            <v>26927</v>
          </cell>
          <cell r="T60">
            <v>13071</v>
          </cell>
          <cell r="U60">
            <v>18561</v>
          </cell>
          <cell r="V60">
            <v>21306</v>
          </cell>
          <cell r="W60"/>
          <cell r="X60"/>
          <cell r="Y60"/>
          <cell r="Z60"/>
          <cell r="AA60"/>
          <cell r="AB60"/>
          <cell r="AC60"/>
          <cell r="AD60"/>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cell r="BU60"/>
          <cell r="BV60"/>
          <cell r="BW60"/>
          <cell r="BX60"/>
          <cell r="BY60"/>
          <cell r="BZ60"/>
          <cell r="CA60"/>
          <cell r="CB60"/>
          <cell r="CC60"/>
          <cell r="CD60"/>
        </row>
        <row r="61">
          <cell r="A61" t="str">
            <v>L</v>
          </cell>
          <cell r="B61" t="str">
            <v>Y</v>
          </cell>
          <cell r="C61">
            <v>10306</v>
          </cell>
          <cell r="D61">
            <v>19066</v>
          </cell>
          <cell r="E61">
            <v>10306</v>
          </cell>
          <cell r="F61">
            <v>14634</v>
          </cell>
          <cell r="G61">
            <v>16798</v>
          </cell>
          <cell r="H61">
            <v>19066</v>
          </cell>
          <cell r="I61">
            <v>21230</v>
          </cell>
          <cell r="J61">
            <v>10306</v>
          </cell>
          <cell r="K61">
            <v>14634</v>
          </cell>
          <cell r="L61">
            <v>16798</v>
          </cell>
          <cell r="M61">
            <v>11250</v>
          </cell>
          <cell r="N61">
            <v>20812</v>
          </cell>
          <cell r="O61">
            <v>11250</v>
          </cell>
          <cell r="P61">
            <v>15975</v>
          </cell>
          <cell r="Q61">
            <v>18337</v>
          </cell>
          <cell r="R61">
            <v>20812</v>
          </cell>
          <cell r="S61">
            <v>23175</v>
          </cell>
          <cell r="T61">
            <v>11250</v>
          </cell>
          <cell r="U61">
            <v>15975</v>
          </cell>
          <cell r="V61">
            <v>18337</v>
          </cell>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cell r="BU61"/>
          <cell r="BV61"/>
          <cell r="BW61"/>
          <cell r="BX61"/>
          <cell r="BY61"/>
          <cell r="BZ61"/>
          <cell r="CA61"/>
          <cell r="CB61"/>
          <cell r="CC61"/>
          <cell r="CD61"/>
        </row>
        <row r="62">
          <cell r="A62" t="str">
            <v>M</v>
          </cell>
          <cell r="B62" t="str">
            <v>D</v>
          </cell>
          <cell r="C62">
            <v>10306</v>
          </cell>
          <cell r="D62">
            <v>19066</v>
          </cell>
          <cell r="E62">
            <v>10306</v>
          </cell>
          <cell r="F62">
            <v>14635</v>
          </cell>
          <cell r="G62">
            <v>16799</v>
          </cell>
          <cell r="H62">
            <v>19066</v>
          </cell>
          <cell r="I62">
            <v>21230</v>
          </cell>
          <cell r="J62">
            <v>10306</v>
          </cell>
          <cell r="K62">
            <v>14635</v>
          </cell>
          <cell r="L62">
            <v>16799</v>
          </cell>
          <cell r="M62">
            <v>11245</v>
          </cell>
          <cell r="N62">
            <v>20803</v>
          </cell>
          <cell r="O62">
            <v>11245</v>
          </cell>
          <cell r="P62">
            <v>15968</v>
          </cell>
          <cell r="Q62">
            <v>18329</v>
          </cell>
          <cell r="R62">
            <v>20803</v>
          </cell>
          <cell r="S62">
            <v>23165</v>
          </cell>
          <cell r="T62">
            <v>11245</v>
          </cell>
          <cell r="U62">
            <v>15968</v>
          </cell>
          <cell r="V62">
            <v>18329</v>
          </cell>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cell r="BU62"/>
          <cell r="BV62"/>
          <cell r="BW62"/>
          <cell r="BX62"/>
          <cell r="BY62"/>
          <cell r="BZ62"/>
          <cell r="CA62"/>
          <cell r="CB62"/>
          <cell r="CC62"/>
          <cell r="CD62"/>
        </row>
        <row r="63">
          <cell r="A63" t="str">
            <v>M</v>
          </cell>
          <cell r="B63" t="str">
            <v>A</v>
          </cell>
          <cell r="C63">
            <v>13707</v>
          </cell>
          <cell r="D63">
            <v>25358</v>
          </cell>
          <cell r="E63">
            <v>13707</v>
          </cell>
          <cell r="F63">
            <v>19465</v>
          </cell>
          <cell r="G63">
            <v>22343</v>
          </cell>
          <cell r="H63">
            <v>25358</v>
          </cell>
          <cell r="I63">
            <v>28236</v>
          </cell>
          <cell r="J63">
            <v>13707</v>
          </cell>
          <cell r="K63">
            <v>19465</v>
          </cell>
          <cell r="L63">
            <v>22343</v>
          </cell>
          <cell r="M63">
            <v>14956</v>
          </cell>
          <cell r="N63">
            <v>27668</v>
          </cell>
          <cell r="O63">
            <v>14956</v>
          </cell>
          <cell r="P63">
            <v>21237</v>
          </cell>
          <cell r="Q63">
            <v>24378</v>
          </cell>
          <cell r="R63">
            <v>27668</v>
          </cell>
          <cell r="S63">
            <v>30809</v>
          </cell>
          <cell r="T63">
            <v>14956</v>
          </cell>
          <cell r="U63">
            <v>21237</v>
          </cell>
          <cell r="V63">
            <v>24378</v>
          </cell>
          <cell r="W63"/>
          <cell r="X63"/>
          <cell r="Y63"/>
          <cell r="Z63"/>
          <cell r="AA63"/>
          <cell r="AB63"/>
          <cell r="AC63"/>
          <cell r="AD63"/>
          <cell r="AE63"/>
          <cell r="AF63"/>
          <cell r="AG63"/>
          <cell r="AH63"/>
          <cell r="AI63"/>
          <cell r="AJ63"/>
          <cell r="AK63"/>
          <cell r="AL63"/>
          <cell r="AM63"/>
          <cell r="AN63"/>
          <cell r="AO63"/>
          <cell r="AP63"/>
          <cell r="AQ63"/>
          <cell r="AR63"/>
          <cell r="AS63"/>
          <cell r="AT63"/>
          <cell r="AU63"/>
          <cell r="AV63"/>
          <cell r="AW63"/>
          <cell r="AX63"/>
          <cell r="AY63"/>
          <cell r="AZ63"/>
          <cell r="BA63"/>
          <cell r="BB63"/>
          <cell r="BC63"/>
          <cell r="BD63"/>
          <cell r="BE63"/>
          <cell r="BF63"/>
          <cell r="BG63"/>
          <cell r="BH63"/>
          <cell r="BI63"/>
          <cell r="BJ63"/>
          <cell r="BK63"/>
          <cell r="BL63"/>
          <cell r="BM63"/>
          <cell r="BN63"/>
          <cell r="BO63"/>
          <cell r="BP63"/>
          <cell r="BQ63"/>
          <cell r="BR63"/>
          <cell r="BS63"/>
          <cell r="BT63"/>
          <cell r="BU63"/>
          <cell r="BV63"/>
          <cell r="BW63"/>
          <cell r="BX63"/>
          <cell r="BY63"/>
          <cell r="BZ63"/>
          <cell r="CA63"/>
          <cell r="CB63"/>
          <cell r="CC63"/>
          <cell r="CD63"/>
        </row>
        <row r="64">
          <cell r="A64" t="str">
            <v>M</v>
          </cell>
          <cell r="B64" t="str">
            <v>B</v>
          </cell>
          <cell r="C64">
            <v>12573</v>
          </cell>
          <cell r="D64">
            <v>23261</v>
          </cell>
          <cell r="E64">
            <v>12573</v>
          </cell>
          <cell r="F64">
            <v>17855</v>
          </cell>
          <cell r="G64">
            <v>20495</v>
          </cell>
          <cell r="H64">
            <v>23261</v>
          </cell>
          <cell r="I64">
            <v>25901</v>
          </cell>
          <cell r="J64">
            <v>12573</v>
          </cell>
          <cell r="K64">
            <v>17855</v>
          </cell>
          <cell r="L64">
            <v>20495</v>
          </cell>
          <cell r="M64">
            <v>13719</v>
          </cell>
          <cell r="N64">
            <v>25380</v>
          </cell>
          <cell r="O64">
            <v>13719</v>
          </cell>
          <cell r="P64">
            <v>19481</v>
          </cell>
          <cell r="Q64">
            <v>22361</v>
          </cell>
          <cell r="R64">
            <v>25380</v>
          </cell>
          <cell r="S64">
            <v>28261</v>
          </cell>
          <cell r="T64">
            <v>13719</v>
          </cell>
          <cell r="U64">
            <v>19481</v>
          </cell>
          <cell r="V64">
            <v>22361</v>
          </cell>
          <cell r="W64"/>
          <cell r="X64"/>
          <cell r="Y64"/>
          <cell r="Z64"/>
          <cell r="AA64"/>
          <cell r="AB64"/>
          <cell r="AC64"/>
          <cell r="AD64"/>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cell r="BF64"/>
          <cell r="BG64"/>
          <cell r="BH64"/>
          <cell r="BI64"/>
          <cell r="BJ64"/>
          <cell r="BK64"/>
          <cell r="BL64"/>
          <cell r="BM64"/>
          <cell r="BN64"/>
          <cell r="BO64"/>
          <cell r="BP64"/>
          <cell r="BQ64"/>
          <cell r="BR64"/>
          <cell r="BS64"/>
          <cell r="BT64"/>
          <cell r="BU64"/>
          <cell r="BV64"/>
          <cell r="BW64"/>
          <cell r="BX64"/>
          <cell r="BY64"/>
          <cell r="BZ64"/>
          <cell r="CA64"/>
          <cell r="CB64"/>
          <cell r="CC64"/>
          <cell r="CD64"/>
        </row>
        <row r="65">
          <cell r="A65" t="str">
            <v>M</v>
          </cell>
          <cell r="B65" t="str">
            <v>Y</v>
          </cell>
          <cell r="C65">
            <v>10821</v>
          </cell>
          <cell r="D65">
            <v>20019</v>
          </cell>
          <cell r="E65">
            <v>10821</v>
          </cell>
          <cell r="F65">
            <v>15367</v>
          </cell>
          <cell r="G65">
            <v>17639</v>
          </cell>
          <cell r="H65">
            <v>20019</v>
          </cell>
          <cell r="I65">
            <v>22292</v>
          </cell>
          <cell r="J65">
            <v>10821</v>
          </cell>
          <cell r="K65">
            <v>15367</v>
          </cell>
          <cell r="L65">
            <v>17639</v>
          </cell>
          <cell r="M65">
            <v>11807</v>
          </cell>
          <cell r="N65">
            <v>21843</v>
          </cell>
          <cell r="O65">
            <v>11807</v>
          </cell>
          <cell r="P65">
            <v>16766</v>
          </cell>
          <cell r="Q65">
            <v>19245</v>
          </cell>
          <cell r="R65">
            <v>21843</v>
          </cell>
          <cell r="S65">
            <v>24323</v>
          </cell>
          <cell r="T65">
            <v>11807</v>
          </cell>
          <cell r="U65">
            <v>16766</v>
          </cell>
          <cell r="V65">
            <v>19245</v>
          </cell>
          <cell r="W65"/>
          <cell r="X65"/>
          <cell r="Y65"/>
          <cell r="Z65"/>
          <cell r="AA65"/>
          <cell r="AB65"/>
          <cell r="AC65"/>
          <cell r="AD65"/>
          <cell r="AE65"/>
          <cell r="AF65"/>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cell r="BI65"/>
          <cell r="BJ65"/>
          <cell r="BK65"/>
          <cell r="BL65"/>
          <cell r="BM65"/>
          <cell r="BN65"/>
          <cell r="BO65"/>
          <cell r="BP65"/>
          <cell r="BQ65"/>
          <cell r="BR65"/>
          <cell r="BS65"/>
          <cell r="BT65"/>
          <cell r="BU65"/>
          <cell r="BV65"/>
          <cell r="BW65"/>
          <cell r="BX65"/>
          <cell r="BY65"/>
          <cell r="BZ65"/>
          <cell r="CA65"/>
          <cell r="CB65"/>
          <cell r="CC65"/>
          <cell r="CD65"/>
        </row>
        <row r="66">
          <cell r="A66" t="str">
            <v>N</v>
          </cell>
          <cell r="B66" t="str">
            <v>D</v>
          </cell>
          <cell r="C66">
            <v>11290</v>
          </cell>
          <cell r="D66">
            <v>20887</v>
          </cell>
          <cell r="E66">
            <v>11290</v>
          </cell>
          <cell r="F66">
            <v>16032</v>
          </cell>
          <cell r="G66">
            <v>18403</v>
          </cell>
          <cell r="H66">
            <v>20887</v>
          </cell>
          <cell r="I66">
            <v>23257</v>
          </cell>
          <cell r="J66">
            <v>0</v>
          </cell>
          <cell r="K66">
            <v>0</v>
          </cell>
          <cell r="L66">
            <v>0</v>
          </cell>
          <cell r="M66">
            <v>12318</v>
          </cell>
          <cell r="N66">
            <v>22788</v>
          </cell>
          <cell r="O66">
            <v>12318</v>
          </cell>
          <cell r="P66">
            <v>17492</v>
          </cell>
          <cell r="Q66">
            <v>20078</v>
          </cell>
          <cell r="R66">
            <v>22788</v>
          </cell>
          <cell r="S66">
            <v>25375</v>
          </cell>
          <cell r="T66">
            <v>0</v>
          </cell>
          <cell r="U66">
            <v>0</v>
          </cell>
          <cell r="V66">
            <v>0</v>
          </cell>
          <cell r="W66"/>
          <cell r="X66"/>
          <cell r="Y66"/>
          <cell r="Z66"/>
          <cell r="AA66"/>
          <cell r="AB66"/>
          <cell r="AC66"/>
          <cell r="AD66"/>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cell r="BI66"/>
          <cell r="BJ66"/>
          <cell r="BK66"/>
          <cell r="BL66"/>
          <cell r="BM66"/>
          <cell r="BN66"/>
          <cell r="BO66"/>
          <cell r="BP66"/>
          <cell r="BQ66"/>
          <cell r="BR66"/>
          <cell r="BS66"/>
          <cell r="BT66"/>
          <cell r="BU66"/>
          <cell r="BV66"/>
          <cell r="BW66"/>
          <cell r="BX66"/>
          <cell r="BY66"/>
          <cell r="BZ66"/>
          <cell r="CA66"/>
          <cell r="CB66"/>
          <cell r="CC66"/>
          <cell r="CD66"/>
        </row>
        <row r="67">
          <cell r="A67" t="str">
            <v>N</v>
          </cell>
          <cell r="B67" t="str">
            <v>A</v>
          </cell>
          <cell r="C67">
            <v>15016</v>
          </cell>
          <cell r="D67">
            <v>27780</v>
          </cell>
          <cell r="E67">
            <v>15016</v>
          </cell>
          <cell r="F67">
            <v>21323</v>
          </cell>
          <cell r="G67">
            <v>24476</v>
          </cell>
          <cell r="H67">
            <v>27780</v>
          </cell>
          <cell r="I67">
            <v>30932</v>
          </cell>
          <cell r="J67">
            <v>0</v>
          </cell>
          <cell r="K67">
            <v>0</v>
          </cell>
          <cell r="L67">
            <v>0</v>
          </cell>
          <cell r="M67">
            <v>16383</v>
          </cell>
          <cell r="N67">
            <v>30308</v>
          </cell>
          <cell r="O67">
            <v>16383</v>
          </cell>
          <cell r="P67">
            <v>23264</v>
          </cell>
          <cell r="Q67">
            <v>26704</v>
          </cell>
          <cell r="R67">
            <v>30308</v>
          </cell>
          <cell r="S67">
            <v>33749</v>
          </cell>
          <cell r="T67">
            <v>0</v>
          </cell>
          <cell r="U67">
            <v>0</v>
          </cell>
          <cell r="V67">
            <v>0</v>
          </cell>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cell r="BI67"/>
          <cell r="BJ67"/>
          <cell r="BK67"/>
          <cell r="BL67"/>
          <cell r="BM67"/>
          <cell r="BN67"/>
          <cell r="BO67"/>
          <cell r="BP67"/>
          <cell r="BQ67"/>
          <cell r="BR67"/>
          <cell r="BS67"/>
          <cell r="BT67"/>
          <cell r="BU67"/>
          <cell r="BV67"/>
          <cell r="BW67"/>
          <cell r="BX67"/>
          <cell r="BY67"/>
          <cell r="BZ67"/>
          <cell r="CA67"/>
          <cell r="CB67"/>
          <cell r="CC67"/>
          <cell r="CD67"/>
        </row>
        <row r="68">
          <cell r="A68" t="str">
            <v>N</v>
          </cell>
          <cell r="B68" t="str">
            <v>B</v>
          </cell>
          <cell r="C68">
            <v>13774</v>
          </cell>
          <cell r="D68">
            <v>25482</v>
          </cell>
          <cell r="E68">
            <v>13774</v>
          </cell>
          <cell r="F68">
            <v>19559</v>
          </cell>
          <cell r="G68">
            <v>22452</v>
          </cell>
          <cell r="H68">
            <v>25482</v>
          </cell>
          <cell r="I68">
            <v>28374</v>
          </cell>
          <cell r="J68">
            <v>0</v>
          </cell>
          <cell r="K68">
            <v>0</v>
          </cell>
          <cell r="L68">
            <v>0</v>
          </cell>
          <cell r="M68">
            <v>15028</v>
          </cell>
          <cell r="N68">
            <v>27801</v>
          </cell>
          <cell r="O68">
            <v>15028</v>
          </cell>
          <cell r="P68">
            <v>21340</v>
          </cell>
          <cell r="Q68">
            <v>24495</v>
          </cell>
          <cell r="R68">
            <v>27801</v>
          </cell>
          <cell r="S68">
            <v>30958</v>
          </cell>
          <cell r="T68">
            <v>0</v>
          </cell>
          <cell r="U68">
            <v>0</v>
          </cell>
          <cell r="V68">
            <v>0</v>
          </cell>
          <cell r="W68"/>
          <cell r="X68"/>
          <cell r="Y68"/>
          <cell r="Z68"/>
          <cell r="AA68"/>
          <cell r="AB68"/>
          <cell r="AC68"/>
          <cell r="AD68"/>
          <cell r="AE68"/>
          <cell r="AF68"/>
          <cell r="AG68"/>
          <cell r="AH68"/>
          <cell r="AI68"/>
          <cell r="AJ68"/>
          <cell r="AK68"/>
          <cell r="AL68"/>
          <cell r="AM68"/>
          <cell r="AN68"/>
          <cell r="AO68"/>
          <cell r="AP68"/>
          <cell r="AQ68"/>
          <cell r="AR68"/>
          <cell r="AS68"/>
          <cell r="AT68"/>
          <cell r="AU68"/>
          <cell r="AV68"/>
          <cell r="AW68"/>
          <cell r="AX68"/>
          <cell r="AY68"/>
          <cell r="AZ68"/>
          <cell r="BA68"/>
          <cell r="BB68"/>
          <cell r="BC68"/>
          <cell r="BD68"/>
          <cell r="BE68"/>
          <cell r="BF68"/>
          <cell r="BG68"/>
          <cell r="BH68"/>
          <cell r="BI68"/>
          <cell r="BJ68"/>
          <cell r="BK68"/>
          <cell r="BL68"/>
          <cell r="BM68"/>
          <cell r="BN68"/>
          <cell r="BO68"/>
          <cell r="BP68"/>
          <cell r="BQ68"/>
          <cell r="BR68"/>
          <cell r="BS68"/>
          <cell r="BT68"/>
          <cell r="BU68"/>
          <cell r="BV68"/>
          <cell r="BW68"/>
          <cell r="BX68"/>
          <cell r="BY68"/>
          <cell r="BZ68"/>
          <cell r="CA68"/>
          <cell r="CB68"/>
          <cell r="CC68"/>
          <cell r="CD68"/>
        </row>
        <row r="69">
          <cell r="A69" t="str">
            <v>N</v>
          </cell>
          <cell r="B69" t="str">
            <v>Y</v>
          </cell>
          <cell r="C69">
            <v>11855</v>
          </cell>
          <cell r="D69">
            <v>21931</v>
          </cell>
          <cell r="E69">
            <v>11855</v>
          </cell>
          <cell r="F69">
            <v>16834</v>
          </cell>
          <cell r="G69">
            <v>19323</v>
          </cell>
          <cell r="H69">
            <v>21931</v>
          </cell>
          <cell r="I69">
            <v>24420</v>
          </cell>
          <cell r="J69">
            <v>0</v>
          </cell>
          <cell r="K69">
            <v>0</v>
          </cell>
          <cell r="L69">
            <v>0</v>
          </cell>
          <cell r="M69">
            <v>12934</v>
          </cell>
          <cell r="N69">
            <v>23927</v>
          </cell>
          <cell r="O69">
            <v>12934</v>
          </cell>
          <cell r="P69">
            <v>18367</v>
          </cell>
          <cell r="Q69">
            <v>21082</v>
          </cell>
          <cell r="R69">
            <v>23927</v>
          </cell>
          <cell r="S69">
            <v>26644</v>
          </cell>
          <cell r="T69">
            <v>0</v>
          </cell>
          <cell r="U69">
            <v>0</v>
          </cell>
          <cell r="V69">
            <v>0</v>
          </cell>
          <cell r="W69"/>
          <cell r="X69"/>
          <cell r="Y69"/>
          <cell r="Z69"/>
          <cell r="AA69"/>
          <cell r="AB69"/>
          <cell r="AC69"/>
          <cell r="AD69"/>
          <cell r="AE69"/>
          <cell r="AF69"/>
          <cell r="AG69"/>
          <cell r="AH69"/>
          <cell r="AI69"/>
          <cell r="AJ69"/>
          <cell r="AK69"/>
          <cell r="AL69"/>
          <cell r="AM69"/>
          <cell r="AN69"/>
          <cell r="AO69"/>
          <cell r="AP69"/>
          <cell r="AQ69"/>
          <cell r="AR69"/>
          <cell r="AS69"/>
          <cell r="AT69"/>
          <cell r="AU69"/>
          <cell r="AV69"/>
          <cell r="AW69"/>
          <cell r="AX69"/>
          <cell r="AY69"/>
          <cell r="AZ69"/>
          <cell r="BA69"/>
          <cell r="BB69"/>
          <cell r="BC69"/>
          <cell r="BD69"/>
          <cell r="BE69"/>
          <cell r="BF69"/>
          <cell r="BG69"/>
          <cell r="BH69"/>
          <cell r="BI69"/>
          <cell r="BJ69"/>
          <cell r="BK69"/>
          <cell r="BL69"/>
          <cell r="BM69"/>
          <cell r="BN69"/>
          <cell r="BO69"/>
          <cell r="BP69"/>
          <cell r="BQ69"/>
          <cell r="BR69"/>
          <cell r="BS69"/>
          <cell r="BT69"/>
          <cell r="BU69"/>
          <cell r="BV69"/>
          <cell r="BW69"/>
          <cell r="BX69"/>
          <cell r="BY69"/>
          <cell r="BZ69"/>
          <cell r="CA69"/>
          <cell r="CB69"/>
          <cell r="CC69"/>
          <cell r="CD69"/>
        </row>
        <row r="70">
          <cell r="A70" t="str">
            <v>I</v>
          </cell>
          <cell r="B70" t="str">
            <v>D</v>
          </cell>
          <cell r="C70">
            <v>5188</v>
          </cell>
          <cell r="D70">
            <v>9598</v>
          </cell>
          <cell r="E70">
            <v>5188</v>
          </cell>
          <cell r="F70">
            <v>7367</v>
          </cell>
          <cell r="G70">
            <v>8456</v>
          </cell>
          <cell r="H70">
            <v>9598</v>
          </cell>
          <cell r="I70">
            <v>10687</v>
          </cell>
          <cell r="J70">
            <v>5188</v>
          </cell>
          <cell r="K70">
            <v>7367</v>
          </cell>
          <cell r="L70">
            <v>8456</v>
          </cell>
          <cell r="M70">
            <v>5686</v>
          </cell>
          <cell r="N70">
            <v>10519</v>
          </cell>
          <cell r="O70">
            <v>5686</v>
          </cell>
          <cell r="P70">
            <v>8074</v>
          </cell>
          <cell r="Q70">
            <v>9268</v>
          </cell>
          <cell r="R70">
            <v>10519</v>
          </cell>
          <cell r="S70">
            <v>11713</v>
          </cell>
          <cell r="T70">
            <v>5686</v>
          </cell>
          <cell r="U70">
            <v>8074</v>
          </cell>
          <cell r="V70">
            <v>9268</v>
          </cell>
          <cell r="W70"/>
          <cell r="X70"/>
          <cell r="Y70"/>
          <cell r="Z70"/>
          <cell r="AA70"/>
          <cell r="AB70"/>
          <cell r="AC70"/>
          <cell r="AD70"/>
          <cell r="AE70"/>
          <cell r="AF70"/>
          <cell r="AG70"/>
          <cell r="AH70"/>
          <cell r="AI70"/>
          <cell r="AJ70"/>
          <cell r="AK70"/>
          <cell r="AL70"/>
          <cell r="AM70"/>
          <cell r="AN70"/>
          <cell r="AO70"/>
          <cell r="AP70"/>
          <cell r="AQ70"/>
          <cell r="AR70"/>
          <cell r="AS70"/>
          <cell r="AT70"/>
          <cell r="AU70"/>
          <cell r="AV70"/>
          <cell r="AW70"/>
          <cell r="AX70"/>
          <cell r="AY70"/>
          <cell r="AZ70"/>
          <cell r="BA70"/>
          <cell r="BB70"/>
          <cell r="BC70"/>
          <cell r="BD70"/>
          <cell r="BE70"/>
          <cell r="BF70"/>
          <cell r="BG70"/>
          <cell r="BH70"/>
          <cell r="BI70"/>
          <cell r="BJ70"/>
          <cell r="BK70"/>
          <cell r="BL70"/>
          <cell r="BM70"/>
          <cell r="BN70"/>
          <cell r="BO70"/>
          <cell r="BP70"/>
          <cell r="BQ70"/>
          <cell r="BR70"/>
          <cell r="BS70"/>
          <cell r="BT70"/>
          <cell r="BU70"/>
          <cell r="BV70"/>
          <cell r="BW70"/>
          <cell r="BX70"/>
          <cell r="BY70"/>
          <cell r="BZ70"/>
          <cell r="CA70"/>
          <cell r="CB70"/>
          <cell r="CC70"/>
          <cell r="CD70"/>
        </row>
        <row r="71">
          <cell r="A71" t="str">
            <v>I</v>
          </cell>
          <cell r="B71" t="str">
            <v>B</v>
          </cell>
          <cell r="C71">
            <v>6329</v>
          </cell>
          <cell r="D71">
            <v>11710</v>
          </cell>
          <cell r="E71">
            <v>6329</v>
          </cell>
          <cell r="F71">
            <v>8988</v>
          </cell>
          <cell r="G71">
            <v>10316</v>
          </cell>
          <cell r="H71">
            <v>11710</v>
          </cell>
          <cell r="I71">
            <v>13038</v>
          </cell>
          <cell r="J71">
            <v>6329</v>
          </cell>
          <cell r="K71">
            <v>8988</v>
          </cell>
          <cell r="L71">
            <v>10316</v>
          </cell>
          <cell r="M71">
            <v>6937</v>
          </cell>
          <cell r="N71">
            <v>12833</v>
          </cell>
          <cell r="O71">
            <v>6937</v>
          </cell>
          <cell r="P71">
            <v>9850</v>
          </cell>
          <cell r="Q71">
            <v>11307</v>
          </cell>
          <cell r="R71">
            <v>12833</v>
          </cell>
          <cell r="S71">
            <v>14290</v>
          </cell>
          <cell r="T71">
            <v>6937</v>
          </cell>
          <cell r="U71">
            <v>9850</v>
          </cell>
          <cell r="V71">
            <v>11307</v>
          </cell>
          <cell r="W71"/>
          <cell r="X71"/>
          <cell r="Y71"/>
          <cell r="Z71"/>
          <cell r="AA71"/>
          <cell r="AB71"/>
          <cell r="AC71"/>
          <cell r="AD71"/>
          <cell r="AE71"/>
          <cell r="AF71"/>
          <cell r="AG71"/>
          <cell r="AH71"/>
          <cell r="AI71"/>
          <cell r="AJ71"/>
          <cell r="AK71"/>
          <cell r="AL71"/>
          <cell r="AM71"/>
          <cell r="AN71"/>
          <cell r="AO71"/>
          <cell r="AP71"/>
          <cell r="AQ71"/>
          <cell r="AR71"/>
          <cell r="AS71"/>
          <cell r="AT71"/>
          <cell r="AU71"/>
          <cell r="AV71"/>
          <cell r="AW71"/>
          <cell r="AX71"/>
          <cell r="AY71"/>
          <cell r="AZ71"/>
          <cell r="BA71"/>
          <cell r="BB71"/>
          <cell r="BC71"/>
          <cell r="BD71"/>
          <cell r="BE71"/>
          <cell r="BF71"/>
          <cell r="BG71"/>
          <cell r="BH71"/>
          <cell r="BI71"/>
          <cell r="BJ71"/>
          <cell r="BK71"/>
          <cell r="BL71"/>
          <cell r="BM71"/>
          <cell r="BN71"/>
          <cell r="BO71"/>
          <cell r="BP71"/>
          <cell r="BQ71"/>
          <cell r="BR71"/>
          <cell r="BS71"/>
          <cell r="BT71"/>
          <cell r="BU71"/>
          <cell r="BV71"/>
          <cell r="BW71"/>
          <cell r="BX71"/>
          <cell r="BY71"/>
          <cell r="BZ71"/>
          <cell r="CA71"/>
          <cell r="CB71"/>
          <cell r="CC71"/>
          <cell r="CD71"/>
        </row>
        <row r="72">
          <cell r="A72" t="str">
            <v>I</v>
          </cell>
          <cell r="B72" t="str">
            <v>A-S</v>
          </cell>
          <cell r="C72">
            <v>6900</v>
          </cell>
          <cell r="D72">
            <v>12765</v>
          </cell>
          <cell r="E72">
            <v>6900</v>
          </cell>
          <cell r="F72">
            <v>9798</v>
          </cell>
          <cell r="G72">
            <v>11246</v>
          </cell>
          <cell r="H72">
            <v>12765</v>
          </cell>
          <cell r="I72">
            <v>14214</v>
          </cell>
          <cell r="J72">
            <v>6900</v>
          </cell>
          <cell r="K72">
            <v>9798</v>
          </cell>
          <cell r="L72">
            <v>11246</v>
          </cell>
          <cell r="M72">
            <v>7562</v>
          </cell>
          <cell r="N72">
            <v>13990</v>
          </cell>
          <cell r="O72">
            <v>7562</v>
          </cell>
          <cell r="P72">
            <v>10738</v>
          </cell>
          <cell r="Q72">
            <v>12326</v>
          </cell>
          <cell r="R72">
            <v>13990</v>
          </cell>
          <cell r="S72">
            <v>15578</v>
          </cell>
          <cell r="T72">
            <v>7562</v>
          </cell>
          <cell r="U72">
            <v>10738</v>
          </cell>
          <cell r="V72">
            <v>12326</v>
          </cell>
          <cell r="W72"/>
          <cell r="X72"/>
          <cell r="Y72"/>
          <cell r="Z72"/>
          <cell r="AA72"/>
          <cell r="AB72"/>
          <cell r="AC72"/>
          <cell r="AD72"/>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cell r="BI72"/>
          <cell r="BJ72"/>
          <cell r="BK72"/>
          <cell r="BL72"/>
          <cell r="BM72"/>
          <cell r="BN72"/>
          <cell r="BO72"/>
          <cell r="BP72"/>
          <cell r="BQ72"/>
          <cell r="BR72"/>
          <cell r="BS72"/>
          <cell r="BT72"/>
          <cell r="BU72"/>
          <cell r="BV72"/>
          <cell r="BW72"/>
          <cell r="BX72"/>
          <cell r="BY72"/>
          <cell r="BZ72"/>
          <cell r="CA72"/>
          <cell r="CB72"/>
          <cell r="CC72"/>
          <cell r="CD72"/>
        </row>
        <row r="73">
          <cell r="A73" t="str">
            <v>II</v>
          </cell>
          <cell r="B73" t="str">
            <v>D</v>
          </cell>
          <cell r="C73">
            <v>5390</v>
          </cell>
          <cell r="D73">
            <v>9972</v>
          </cell>
          <cell r="E73">
            <v>5390</v>
          </cell>
          <cell r="F73">
            <v>7654</v>
          </cell>
          <cell r="G73">
            <v>8786</v>
          </cell>
          <cell r="H73">
            <v>9972</v>
          </cell>
          <cell r="I73">
            <v>11103</v>
          </cell>
          <cell r="J73">
            <v>5390</v>
          </cell>
          <cell r="K73">
            <v>7654</v>
          </cell>
          <cell r="L73">
            <v>8786</v>
          </cell>
          <cell r="M73">
            <v>5903</v>
          </cell>
          <cell r="N73">
            <v>10921</v>
          </cell>
          <cell r="O73">
            <v>5903</v>
          </cell>
          <cell r="P73">
            <v>8382</v>
          </cell>
          <cell r="Q73">
            <v>9622</v>
          </cell>
          <cell r="R73">
            <v>10921</v>
          </cell>
          <cell r="S73">
            <v>12160</v>
          </cell>
          <cell r="T73">
            <v>5903</v>
          </cell>
          <cell r="U73">
            <v>8382</v>
          </cell>
          <cell r="V73">
            <v>9622</v>
          </cell>
          <cell r="W73"/>
          <cell r="X73"/>
          <cell r="Y73"/>
          <cell r="Z73"/>
          <cell r="AA73"/>
          <cell r="AB73"/>
          <cell r="AC73"/>
          <cell r="AD73"/>
          <cell r="AE73"/>
          <cell r="AF73"/>
          <cell r="AG73"/>
          <cell r="AH73"/>
          <cell r="AI73"/>
          <cell r="AJ73"/>
          <cell r="AK73"/>
          <cell r="AL73"/>
          <cell r="AM73"/>
          <cell r="AN73"/>
          <cell r="AO73"/>
          <cell r="AP73"/>
          <cell r="AQ73"/>
          <cell r="AR73"/>
          <cell r="AS73"/>
          <cell r="AT73"/>
          <cell r="AU73"/>
          <cell r="AV73"/>
          <cell r="AW73"/>
          <cell r="AX73"/>
          <cell r="AY73"/>
          <cell r="AZ73"/>
          <cell r="BA73"/>
          <cell r="BB73"/>
          <cell r="BC73"/>
          <cell r="BD73"/>
          <cell r="BE73"/>
          <cell r="BF73"/>
          <cell r="BG73"/>
          <cell r="BH73"/>
          <cell r="BI73"/>
          <cell r="BJ73"/>
          <cell r="BK73"/>
          <cell r="BL73"/>
          <cell r="BM73"/>
          <cell r="BN73"/>
          <cell r="BO73"/>
          <cell r="BP73"/>
          <cell r="BQ73"/>
          <cell r="BR73"/>
          <cell r="BS73"/>
          <cell r="BT73"/>
          <cell r="BU73"/>
          <cell r="BV73"/>
          <cell r="BW73"/>
          <cell r="BX73"/>
          <cell r="BY73"/>
          <cell r="BZ73"/>
          <cell r="CA73"/>
          <cell r="CB73"/>
          <cell r="CC73"/>
          <cell r="CD73"/>
        </row>
        <row r="74">
          <cell r="A74" t="str">
            <v>II</v>
          </cell>
          <cell r="B74" t="str">
            <v>B</v>
          </cell>
          <cell r="C74">
            <v>6576</v>
          </cell>
          <cell r="D74">
            <v>12166</v>
          </cell>
          <cell r="E74">
            <v>6576</v>
          </cell>
          <cell r="F74">
            <v>9338</v>
          </cell>
          <cell r="G74">
            <v>10719</v>
          </cell>
          <cell r="H74">
            <v>12166</v>
          </cell>
          <cell r="I74">
            <v>13546</v>
          </cell>
          <cell r="J74">
            <v>6576</v>
          </cell>
          <cell r="K74">
            <v>9338</v>
          </cell>
          <cell r="L74">
            <v>10719</v>
          </cell>
          <cell r="M74">
            <v>7202</v>
          </cell>
          <cell r="N74">
            <v>13324</v>
          </cell>
          <cell r="O74">
            <v>7202</v>
          </cell>
          <cell r="P74">
            <v>10226</v>
          </cell>
          <cell r="Q74">
            <v>11739</v>
          </cell>
          <cell r="R74">
            <v>13324</v>
          </cell>
          <cell r="S74">
            <v>14835</v>
          </cell>
          <cell r="T74">
            <v>7202</v>
          </cell>
          <cell r="U74">
            <v>10226</v>
          </cell>
          <cell r="V74">
            <v>11739</v>
          </cell>
          <cell r="W74"/>
          <cell r="X74"/>
          <cell r="Y74"/>
          <cell r="Z74"/>
          <cell r="AA74"/>
          <cell r="AB74"/>
          <cell r="AC74"/>
          <cell r="AD74"/>
          <cell r="AE74"/>
          <cell r="AF74"/>
          <cell r="AG74"/>
          <cell r="AH74"/>
          <cell r="AI74"/>
          <cell r="AJ74"/>
          <cell r="AK74"/>
          <cell r="AL74"/>
          <cell r="AM74"/>
          <cell r="AN74"/>
          <cell r="AO74"/>
          <cell r="AP74"/>
          <cell r="AQ74"/>
          <cell r="AR74"/>
          <cell r="AS74"/>
          <cell r="AT74"/>
          <cell r="AU74"/>
          <cell r="AV74"/>
          <cell r="AW74"/>
          <cell r="AX74"/>
          <cell r="AY74"/>
          <cell r="AZ74"/>
          <cell r="BA74"/>
          <cell r="BB74"/>
          <cell r="BC74"/>
          <cell r="BD74"/>
          <cell r="BE74"/>
          <cell r="BF74"/>
          <cell r="BG74"/>
          <cell r="BH74"/>
          <cell r="BI74"/>
          <cell r="BJ74"/>
          <cell r="BK74"/>
          <cell r="BL74"/>
          <cell r="BM74"/>
          <cell r="BN74"/>
          <cell r="BO74"/>
          <cell r="BP74"/>
          <cell r="BQ74"/>
          <cell r="BR74"/>
          <cell r="BS74"/>
          <cell r="BT74"/>
          <cell r="BU74"/>
          <cell r="BV74"/>
          <cell r="BW74"/>
          <cell r="BX74"/>
          <cell r="BY74"/>
          <cell r="BZ74"/>
          <cell r="CA74"/>
          <cell r="CB74"/>
          <cell r="CC74"/>
          <cell r="CD74"/>
        </row>
        <row r="75">
          <cell r="A75" t="str">
            <v>II</v>
          </cell>
          <cell r="B75" t="str">
            <v>A-S</v>
          </cell>
          <cell r="C75">
            <v>7169</v>
          </cell>
          <cell r="D75">
            <v>13263</v>
          </cell>
          <cell r="E75">
            <v>7169</v>
          </cell>
          <cell r="F75">
            <v>10180</v>
          </cell>
          <cell r="G75">
            <v>11685</v>
          </cell>
          <cell r="H75">
            <v>13263</v>
          </cell>
          <cell r="I75">
            <v>14767</v>
          </cell>
          <cell r="J75">
            <v>7169</v>
          </cell>
          <cell r="K75">
            <v>10180</v>
          </cell>
          <cell r="L75">
            <v>11685</v>
          </cell>
          <cell r="M75">
            <v>7851</v>
          </cell>
          <cell r="N75">
            <v>14525</v>
          </cell>
          <cell r="O75">
            <v>7851</v>
          </cell>
          <cell r="P75">
            <v>11148</v>
          </cell>
          <cell r="Q75">
            <v>12797</v>
          </cell>
          <cell r="R75">
            <v>14525</v>
          </cell>
          <cell r="S75">
            <v>16173</v>
          </cell>
          <cell r="T75">
            <v>7851</v>
          </cell>
          <cell r="U75">
            <v>11148</v>
          </cell>
          <cell r="V75">
            <v>12797</v>
          </cell>
          <cell r="W75"/>
          <cell r="X75"/>
          <cell r="Y75"/>
          <cell r="Z75"/>
          <cell r="AA75"/>
          <cell r="AB75"/>
          <cell r="AC75"/>
          <cell r="AD75"/>
          <cell r="AE75"/>
          <cell r="AF75"/>
          <cell r="AG75"/>
          <cell r="AH75"/>
          <cell r="AI75"/>
          <cell r="AJ75"/>
          <cell r="AK75"/>
          <cell r="AL75"/>
          <cell r="AM75"/>
          <cell r="AN75"/>
          <cell r="AO75"/>
          <cell r="AP75"/>
          <cell r="AQ75"/>
          <cell r="AR75"/>
          <cell r="AS75"/>
          <cell r="AT75"/>
          <cell r="AU75"/>
          <cell r="AV75"/>
          <cell r="AW75"/>
          <cell r="AX75"/>
          <cell r="AY75"/>
          <cell r="AZ75"/>
          <cell r="BA75"/>
          <cell r="BB75"/>
          <cell r="BC75"/>
          <cell r="BD75"/>
          <cell r="BE75"/>
          <cell r="BF75"/>
          <cell r="BG75"/>
          <cell r="BH75"/>
          <cell r="BI75"/>
          <cell r="BJ75"/>
          <cell r="BK75"/>
          <cell r="BL75"/>
          <cell r="BM75"/>
          <cell r="BN75"/>
          <cell r="BO75"/>
          <cell r="BP75"/>
          <cell r="BQ75"/>
          <cell r="BR75"/>
          <cell r="BS75"/>
          <cell r="BT75"/>
          <cell r="BU75"/>
          <cell r="BV75"/>
          <cell r="BW75"/>
          <cell r="BX75"/>
          <cell r="BY75"/>
          <cell r="BZ75"/>
          <cell r="CA75"/>
          <cell r="CB75"/>
          <cell r="CC75"/>
          <cell r="CD75"/>
        </row>
        <row r="76">
          <cell r="A76" t="str">
            <v>III</v>
          </cell>
          <cell r="B76" t="str">
            <v>D</v>
          </cell>
          <cell r="C76">
            <v>5619</v>
          </cell>
          <cell r="D76">
            <v>10395</v>
          </cell>
          <cell r="E76">
            <v>5619</v>
          </cell>
          <cell r="F76">
            <v>7979</v>
          </cell>
          <cell r="G76">
            <v>9159</v>
          </cell>
          <cell r="H76">
            <v>10395</v>
          </cell>
          <cell r="I76">
            <v>11575</v>
          </cell>
          <cell r="J76">
            <v>5619</v>
          </cell>
          <cell r="K76">
            <v>7979</v>
          </cell>
          <cell r="L76">
            <v>9159</v>
          </cell>
          <cell r="M76">
            <v>6149</v>
          </cell>
          <cell r="N76">
            <v>11376</v>
          </cell>
          <cell r="O76">
            <v>6149</v>
          </cell>
          <cell r="P76">
            <v>8732</v>
          </cell>
          <cell r="Q76">
            <v>10023</v>
          </cell>
          <cell r="R76">
            <v>11376</v>
          </cell>
          <cell r="S76">
            <v>12667</v>
          </cell>
          <cell r="T76">
            <v>6149</v>
          </cell>
          <cell r="U76">
            <v>8732</v>
          </cell>
          <cell r="V76">
            <v>10023</v>
          </cell>
          <cell r="W76"/>
          <cell r="X76"/>
          <cell r="Y76"/>
          <cell r="Z76"/>
          <cell r="AA76"/>
          <cell r="AB76"/>
          <cell r="AC76"/>
          <cell r="AD76"/>
          <cell r="AE76"/>
          <cell r="AF76"/>
          <cell r="AG76"/>
          <cell r="AH76"/>
          <cell r="AI76"/>
          <cell r="AJ76"/>
          <cell r="AK76"/>
          <cell r="AL76"/>
          <cell r="AM76"/>
          <cell r="AN76"/>
          <cell r="AO76"/>
          <cell r="AP76"/>
          <cell r="AQ76"/>
          <cell r="AR76"/>
          <cell r="AS76"/>
          <cell r="AT76"/>
          <cell r="AU76"/>
          <cell r="AV76"/>
          <cell r="AW76"/>
          <cell r="AX76"/>
          <cell r="AY76"/>
          <cell r="AZ76"/>
          <cell r="BA76"/>
          <cell r="BB76"/>
          <cell r="BC76"/>
          <cell r="BD76"/>
          <cell r="BE76"/>
          <cell r="BF76"/>
          <cell r="BG76"/>
          <cell r="BH76"/>
          <cell r="BI76"/>
          <cell r="BJ76"/>
          <cell r="BK76"/>
          <cell r="BL76"/>
          <cell r="BM76"/>
          <cell r="BN76"/>
          <cell r="BO76"/>
          <cell r="BP76"/>
          <cell r="BQ76"/>
          <cell r="BR76"/>
          <cell r="BS76"/>
          <cell r="BT76"/>
          <cell r="BU76"/>
          <cell r="BV76"/>
          <cell r="BW76"/>
          <cell r="BX76"/>
          <cell r="BY76"/>
          <cell r="BZ76"/>
          <cell r="CA76"/>
          <cell r="CB76"/>
          <cell r="CC76"/>
          <cell r="CD76"/>
        </row>
        <row r="77">
          <cell r="A77" t="str">
            <v>III</v>
          </cell>
          <cell r="B77" t="str">
            <v>B</v>
          </cell>
          <cell r="C77">
            <v>6855</v>
          </cell>
          <cell r="D77">
            <v>12682</v>
          </cell>
          <cell r="E77">
            <v>6855</v>
          </cell>
          <cell r="F77">
            <v>9734</v>
          </cell>
          <cell r="G77">
            <v>11174</v>
          </cell>
          <cell r="H77">
            <v>12682</v>
          </cell>
          <cell r="I77">
            <v>14122</v>
          </cell>
          <cell r="J77">
            <v>6855</v>
          </cell>
          <cell r="K77">
            <v>9734</v>
          </cell>
          <cell r="L77">
            <v>11174</v>
          </cell>
          <cell r="M77">
            <v>7502</v>
          </cell>
          <cell r="N77">
            <v>13879</v>
          </cell>
          <cell r="O77">
            <v>7502</v>
          </cell>
          <cell r="P77">
            <v>10653</v>
          </cell>
          <cell r="Q77">
            <v>12228</v>
          </cell>
          <cell r="R77">
            <v>13879</v>
          </cell>
          <cell r="S77">
            <v>15454</v>
          </cell>
          <cell r="T77">
            <v>7502</v>
          </cell>
          <cell r="U77">
            <v>10653</v>
          </cell>
          <cell r="V77">
            <v>12228</v>
          </cell>
          <cell r="W77"/>
          <cell r="X77"/>
          <cell r="Y77"/>
          <cell r="Z77"/>
          <cell r="AA77"/>
          <cell r="AB77"/>
          <cell r="AC77"/>
          <cell r="AD77"/>
          <cell r="AE77"/>
          <cell r="AF77"/>
          <cell r="AG77"/>
          <cell r="AH77"/>
          <cell r="AI77"/>
          <cell r="AJ77"/>
          <cell r="AK77"/>
          <cell r="AL77"/>
          <cell r="AM77"/>
          <cell r="AN77"/>
          <cell r="AO77"/>
          <cell r="AP77"/>
          <cell r="AQ77"/>
          <cell r="AR77"/>
          <cell r="AS77"/>
          <cell r="AT77"/>
          <cell r="AU77"/>
          <cell r="AV77"/>
          <cell r="AW77"/>
          <cell r="AX77"/>
          <cell r="AY77"/>
          <cell r="AZ77"/>
          <cell r="BA77"/>
          <cell r="BB77"/>
          <cell r="BC77"/>
          <cell r="BD77"/>
          <cell r="BE77"/>
          <cell r="BF77"/>
          <cell r="BG77"/>
          <cell r="BH77"/>
          <cell r="BI77"/>
          <cell r="BJ77"/>
          <cell r="BK77"/>
          <cell r="BL77"/>
          <cell r="BM77"/>
          <cell r="BN77"/>
          <cell r="BO77"/>
          <cell r="BP77"/>
          <cell r="BQ77"/>
          <cell r="BR77"/>
          <cell r="BS77"/>
          <cell r="BT77"/>
          <cell r="BU77"/>
          <cell r="BV77"/>
          <cell r="BW77"/>
          <cell r="BX77"/>
          <cell r="BY77"/>
          <cell r="BZ77"/>
          <cell r="CA77"/>
          <cell r="CB77"/>
          <cell r="CC77"/>
          <cell r="CD77"/>
        </row>
        <row r="78">
          <cell r="A78" t="str">
            <v>III</v>
          </cell>
          <cell r="B78" t="str">
            <v>A-S</v>
          </cell>
          <cell r="C78">
            <v>7473</v>
          </cell>
          <cell r="D78">
            <v>13825</v>
          </cell>
          <cell r="E78">
            <v>7473</v>
          </cell>
          <cell r="F78">
            <v>10612</v>
          </cell>
          <cell r="G78">
            <v>12181</v>
          </cell>
          <cell r="H78">
            <v>13825</v>
          </cell>
          <cell r="I78">
            <v>15395</v>
          </cell>
          <cell r="J78">
            <v>7473</v>
          </cell>
          <cell r="K78">
            <v>10612</v>
          </cell>
          <cell r="L78">
            <v>12181</v>
          </cell>
          <cell r="M78">
            <v>8178</v>
          </cell>
          <cell r="N78">
            <v>15130</v>
          </cell>
          <cell r="O78">
            <v>8178</v>
          </cell>
          <cell r="P78">
            <v>11614</v>
          </cell>
          <cell r="Q78">
            <v>13331</v>
          </cell>
          <cell r="R78">
            <v>15130</v>
          </cell>
          <cell r="S78">
            <v>16847</v>
          </cell>
          <cell r="T78">
            <v>8178</v>
          </cell>
          <cell r="U78">
            <v>11614</v>
          </cell>
          <cell r="V78">
            <v>13331</v>
          </cell>
          <cell r="W78"/>
          <cell r="X78"/>
          <cell r="Y78"/>
          <cell r="Z78"/>
          <cell r="AA78"/>
          <cell r="AB78"/>
          <cell r="AC78"/>
          <cell r="AD78"/>
          <cell r="AE78"/>
          <cell r="AF78"/>
          <cell r="AG78"/>
          <cell r="AH78"/>
          <cell r="AI78"/>
          <cell r="AJ78"/>
          <cell r="AK78"/>
          <cell r="AL78"/>
          <cell r="AM78"/>
          <cell r="AN78"/>
          <cell r="AO78"/>
          <cell r="AP78"/>
          <cell r="AQ78"/>
          <cell r="AR78"/>
          <cell r="AS78"/>
          <cell r="AT78"/>
          <cell r="AU78"/>
          <cell r="AV78"/>
          <cell r="AW78"/>
          <cell r="AX78"/>
          <cell r="AY78"/>
          <cell r="AZ78"/>
          <cell r="BA78"/>
          <cell r="BB78"/>
          <cell r="BC78"/>
          <cell r="BD78"/>
          <cell r="BE78"/>
          <cell r="BF78"/>
          <cell r="BG78"/>
          <cell r="BH78"/>
          <cell r="BI78"/>
          <cell r="BJ78"/>
          <cell r="BK78"/>
          <cell r="BL78"/>
          <cell r="BM78"/>
          <cell r="BN78"/>
          <cell r="BO78"/>
          <cell r="BP78"/>
          <cell r="BQ78"/>
          <cell r="BR78"/>
          <cell r="BS78"/>
          <cell r="BT78"/>
          <cell r="BU78"/>
          <cell r="BV78"/>
          <cell r="BW78"/>
          <cell r="BX78"/>
          <cell r="BY78"/>
          <cell r="BZ78"/>
          <cell r="CA78"/>
          <cell r="CB78"/>
          <cell r="CC78"/>
          <cell r="CD78"/>
        </row>
        <row r="79">
          <cell r="A79" t="str">
            <v>IV</v>
          </cell>
          <cell r="B79" t="str">
            <v>D</v>
          </cell>
          <cell r="C79">
            <v>5878</v>
          </cell>
          <cell r="D79">
            <v>10874</v>
          </cell>
          <cell r="E79">
            <v>5878</v>
          </cell>
          <cell r="F79">
            <v>8347</v>
          </cell>
          <cell r="G79">
            <v>9581</v>
          </cell>
          <cell r="H79">
            <v>10874</v>
          </cell>
          <cell r="I79">
            <v>12109</v>
          </cell>
          <cell r="J79">
            <v>5878</v>
          </cell>
          <cell r="K79">
            <v>8347</v>
          </cell>
          <cell r="L79">
            <v>9581</v>
          </cell>
          <cell r="M79">
            <v>6450</v>
          </cell>
          <cell r="N79">
            <v>11933</v>
          </cell>
          <cell r="O79">
            <v>6450</v>
          </cell>
          <cell r="P79">
            <v>9159</v>
          </cell>
          <cell r="Q79">
            <v>10514</v>
          </cell>
          <cell r="R79">
            <v>11933</v>
          </cell>
          <cell r="S79">
            <v>13287</v>
          </cell>
          <cell r="T79">
            <v>6450</v>
          </cell>
          <cell r="U79">
            <v>9159</v>
          </cell>
          <cell r="V79">
            <v>10514</v>
          </cell>
          <cell r="W79"/>
          <cell r="X79"/>
          <cell r="Y79"/>
          <cell r="Z79"/>
          <cell r="AA79"/>
          <cell r="AB79"/>
          <cell r="AC79"/>
          <cell r="AD79"/>
          <cell r="AE79"/>
          <cell r="AF79"/>
          <cell r="AG79"/>
          <cell r="AH79"/>
          <cell r="AI79"/>
          <cell r="AJ79"/>
          <cell r="AK79"/>
          <cell r="AL79"/>
          <cell r="AM79"/>
          <cell r="AN79"/>
          <cell r="AO79"/>
          <cell r="AP79"/>
          <cell r="AQ79"/>
          <cell r="AR79"/>
          <cell r="AS79"/>
          <cell r="AT79"/>
          <cell r="AU79"/>
          <cell r="AV79"/>
          <cell r="AW79"/>
          <cell r="AX79"/>
          <cell r="AY79"/>
          <cell r="AZ79"/>
          <cell r="BA79"/>
          <cell r="BB79"/>
          <cell r="BC79"/>
          <cell r="BD79"/>
          <cell r="BE79"/>
          <cell r="BF79"/>
          <cell r="BG79"/>
          <cell r="BH79"/>
          <cell r="BI79"/>
          <cell r="BJ79"/>
          <cell r="BK79"/>
          <cell r="BL79"/>
          <cell r="BM79"/>
          <cell r="BN79"/>
          <cell r="BO79"/>
          <cell r="BP79"/>
          <cell r="BQ79"/>
          <cell r="BR79"/>
          <cell r="BS79"/>
          <cell r="BT79"/>
          <cell r="BU79"/>
          <cell r="BV79"/>
          <cell r="BW79"/>
          <cell r="BX79"/>
          <cell r="BY79"/>
          <cell r="BZ79"/>
          <cell r="CA79"/>
          <cell r="CB79"/>
          <cell r="CC79"/>
          <cell r="CD79"/>
        </row>
        <row r="80">
          <cell r="A80" t="str">
            <v>IV</v>
          </cell>
          <cell r="B80" t="str">
            <v>B</v>
          </cell>
          <cell r="C80">
            <v>7171</v>
          </cell>
          <cell r="D80">
            <v>13266</v>
          </cell>
          <cell r="E80">
            <v>7171</v>
          </cell>
          <cell r="F80">
            <v>10183</v>
          </cell>
          <cell r="G80">
            <v>11689</v>
          </cell>
          <cell r="H80">
            <v>13266</v>
          </cell>
          <cell r="I80">
            <v>14773</v>
          </cell>
          <cell r="J80">
            <v>7171</v>
          </cell>
          <cell r="K80">
            <v>10183</v>
          </cell>
          <cell r="L80">
            <v>11689</v>
          </cell>
          <cell r="M80">
            <v>7869</v>
          </cell>
          <cell r="N80">
            <v>14558</v>
          </cell>
          <cell r="O80">
            <v>7869</v>
          </cell>
          <cell r="P80">
            <v>11174</v>
          </cell>
          <cell r="Q80">
            <v>12827</v>
          </cell>
          <cell r="R80">
            <v>14558</v>
          </cell>
          <cell r="S80">
            <v>16210</v>
          </cell>
          <cell r="T80">
            <v>7869</v>
          </cell>
          <cell r="U80">
            <v>11174</v>
          </cell>
          <cell r="V80">
            <v>12827</v>
          </cell>
          <cell r="W80"/>
          <cell r="X80"/>
          <cell r="Y80"/>
          <cell r="Z80"/>
          <cell r="AA80"/>
          <cell r="AB80"/>
          <cell r="AC80"/>
          <cell r="AD80"/>
          <cell r="AE80"/>
          <cell r="AF80"/>
          <cell r="AG80"/>
          <cell r="AH80"/>
          <cell r="AI80"/>
          <cell r="AJ80"/>
          <cell r="AK80"/>
          <cell r="AL80"/>
          <cell r="AM80"/>
          <cell r="AN80"/>
          <cell r="AO80"/>
          <cell r="AP80"/>
          <cell r="AQ80"/>
          <cell r="AR80"/>
          <cell r="AS80"/>
          <cell r="AT80"/>
          <cell r="AU80"/>
          <cell r="AV80"/>
          <cell r="AW80"/>
          <cell r="AX80"/>
          <cell r="AY80"/>
          <cell r="AZ80"/>
          <cell r="BA80"/>
          <cell r="BB80"/>
          <cell r="BC80"/>
          <cell r="BD80"/>
          <cell r="BE80"/>
          <cell r="BF80"/>
          <cell r="BG80"/>
          <cell r="BH80"/>
          <cell r="BI80"/>
          <cell r="BJ80"/>
          <cell r="BK80"/>
          <cell r="BL80"/>
          <cell r="BM80"/>
          <cell r="BN80"/>
          <cell r="BO80"/>
          <cell r="BP80"/>
          <cell r="BQ80"/>
          <cell r="BR80"/>
          <cell r="BS80"/>
          <cell r="BT80"/>
          <cell r="BU80"/>
          <cell r="BV80"/>
          <cell r="BW80"/>
          <cell r="BX80"/>
          <cell r="BY80"/>
          <cell r="BZ80"/>
          <cell r="CA80"/>
          <cell r="CB80"/>
          <cell r="CC80"/>
          <cell r="CD80"/>
        </row>
        <row r="81">
          <cell r="A81" t="str">
            <v>IV</v>
          </cell>
          <cell r="B81" t="str">
            <v>A-S</v>
          </cell>
          <cell r="C81">
            <v>7818</v>
          </cell>
          <cell r="D81">
            <v>14462</v>
          </cell>
          <cell r="E81">
            <v>7818</v>
          </cell>
          <cell r="F81">
            <v>11102</v>
          </cell>
          <cell r="G81">
            <v>12743</v>
          </cell>
          <cell r="H81">
            <v>14462</v>
          </cell>
          <cell r="I81">
            <v>16105</v>
          </cell>
          <cell r="J81">
            <v>7818</v>
          </cell>
          <cell r="K81">
            <v>11102</v>
          </cell>
          <cell r="L81">
            <v>12743</v>
          </cell>
          <cell r="M81">
            <v>8579</v>
          </cell>
          <cell r="N81">
            <v>15871</v>
          </cell>
          <cell r="O81">
            <v>8579</v>
          </cell>
          <cell r="P81">
            <v>12181</v>
          </cell>
          <cell r="Q81">
            <v>13984</v>
          </cell>
          <cell r="R81">
            <v>15871</v>
          </cell>
          <cell r="S81">
            <v>17672</v>
          </cell>
          <cell r="T81">
            <v>8579</v>
          </cell>
          <cell r="U81">
            <v>12181</v>
          </cell>
          <cell r="V81">
            <v>13984</v>
          </cell>
          <cell r="W81"/>
          <cell r="X81"/>
          <cell r="Y81"/>
          <cell r="Z81"/>
          <cell r="AA81"/>
          <cell r="AB81"/>
          <cell r="AC81"/>
          <cell r="AD81"/>
          <cell r="AE81"/>
          <cell r="AF81"/>
          <cell r="AG81"/>
          <cell r="AH81"/>
          <cell r="AI81"/>
          <cell r="AJ81"/>
          <cell r="AK81"/>
          <cell r="AL81"/>
          <cell r="AM81"/>
          <cell r="AN81"/>
          <cell r="AO81"/>
          <cell r="AP81"/>
          <cell r="AQ81"/>
          <cell r="AR81"/>
          <cell r="AS81"/>
          <cell r="AT81"/>
          <cell r="AU81"/>
          <cell r="AV81"/>
          <cell r="AW81"/>
          <cell r="AX81"/>
          <cell r="AY81"/>
          <cell r="AZ81"/>
          <cell r="BA81"/>
          <cell r="BB81"/>
          <cell r="BC81"/>
          <cell r="BD81"/>
          <cell r="BE81"/>
          <cell r="BF81"/>
          <cell r="BG81"/>
          <cell r="BH81"/>
          <cell r="BI81"/>
          <cell r="BJ81"/>
          <cell r="BK81"/>
          <cell r="BL81"/>
          <cell r="BM81"/>
          <cell r="BN81"/>
          <cell r="BO81"/>
          <cell r="BP81"/>
          <cell r="BQ81"/>
          <cell r="BR81"/>
          <cell r="BS81"/>
          <cell r="BT81"/>
          <cell r="BU81"/>
          <cell r="BV81"/>
          <cell r="BW81"/>
          <cell r="BX81"/>
          <cell r="BY81"/>
          <cell r="BZ81"/>
          <cell r="CA81"/>
          <cell r="CB81"/>
          <cell r="CC81"/>
          <cell r="CD81"/>
        </row>
        <row r="82">
          <cell r="A82" t="str">
            <v>V</v>
          </cell>
          <cell r="B82" t="str">
            <v>D</v>
          </cell>
          <cell r="C82">
            <v>6211</v>
          </cell>
          <cell r="D82">
            <v>11490</v>
          </cell>
          <cell r="E82">
            <v>6211</v>
          </cell>
          <cell r="F82">
            <v>8820</v>
          </cell>
          <cell r="G82">
            <v>10124</v>
          </cell>
          <cell r="H82">
            <v>11490</v>
          </cell>
          <cell r="I82">
            <v>12795</v>
          </cell>
          <cell r="J82">
            <v>6211</v>
          </cell>
          <cell r="K82">
            <v>8820</v>
          </cell>
          <cell r="L82">
            <v>10124</v>
          </cell>
          <cell r="M82">
            <v>6800</v>
          </cell>
          <cell r="N82">
            <v>12580</v>
          </cell>
          <cell r="O82">
            <v>6800</v>
          </cell>
          <cell r="P82">
            <v>9656</v>
          </cell>
          <cell r="Q82">
            <v>11084</v>
          </cell>
          <cell r="R82">
            <v>12580</v>
          </cell>
          <cell r="S82">
            <v>14008</v>
          </cell>
          <cell r="T82">
            <v>6800</v>
          </cell>
          <cell r="U82">
            <v>9656</v>
          </cell>
          <cell r="V82">
            <v>11084</v>
          </cell>
          <cell r="W82"/>
          <cell r="X82"/>
          <cell r="Y82"/>
          <cell r="Z82"/>
          <cell r="AA82"/>
          <cell r="AB82"/>
          <cell r="AC82"/>
          <cell r="AD82"/>
          <cell r="AE82"/>
          <cell r="AF82"/>
          <cell r="AG82"/>
          <cell r="AH82"/>
          <cell r="AI82"/>
          <cell r="AJ82"/>
          <cell r="AK82"/>
          <cell r="AL82"/>
          <cell r="AM82"/>
          <cell r="AN82"/>
          <cell r="AO82"/>
          <cell r="AP82"/>
          <cell r="AQ82"/>
          <cell r="AR82"/>
          <cell r="AS82"/>
          <cell r="AT82"/>
          <cell r="AU82"/>
          <cell r="AV82"/>
          <cell r="AW82"/>
          <cell r="AX82"/>
          <cell r="AY82"/>
          <cell r="AZ82"/>
          <cell r="BA82"/>
          <cell r="BB82"/>
          <cell r="BC82"/>
          <cell r="BD82"/>
          <cell r="BE82"/>
          <cell r="BF82"/>
          <cell r="BG82"/>
          <cell r="BH82"/>
          <cell r="BI82"/>
          <cell r="BJ82"/>
          <cell r="BK82"/>
          <cell r="BL82"/>
          <cell r="BM82"/>
          <cell r="BN82"/>
          <cell r="BO82"/>
          <cell r="BP82"/>
          <cell r="BQ82"/>
          <cell r="BR82"/>
          <cell r="BS82"/>
          <cell r="BT82"/>
          <cell r="BU82"/>
          <cell r="BV82"/>
          <cell r="BW82"/>
          <cell r="BX82"/>
          <cell r="BY82"/>
          <cell r="BZ82"/>
          <cell r="CA82"/>
          <cell r="CB82"/>
          <cell r="CC82"/>
          <cell r="CD82"/>
        </row>
        <row r="83">
          <cell r="A83" t="str">
            <v>V</v>
          </cell>
          <cell r="B83" t="str">
            <v>B</v>
          </cell>
          <cell r="C83">
            <v>7577</v>
          </cell>
          <cell r="D83">
            <v>14018</v>
          </cell>
          <cell r="E83">
            <v>7577</v>
          </cell>
          <cell r="F83">
            <v>10760</v>
          </cell>
          <cell r="G83">
            <v>12351</v>
          </cell>
          <cell r="H83">
            <v>14018</v>
          </cell>
          <cell r="I83">
            <v>15610</v>
          </cell>
          <cell r="J83">
            <v>7577</v>
          </cell>
          <cell r="K83">
            <v>10760</v>
          </cell>
          <cell r="L83">
            <v>12351</v>
          </cell>
          <cell r="M83">
            <v>8296</v>
          </cell>
          <cell r="N83">
            <v>15348</v>
          </cell>
          <cell r="O83">
            <v>8296</v>
          </cell>
          <cell r="P83">
            <v>11780</v>
          </cell>
          <cell r="Q83">
            <v>13522</v>
          </cell>
          <cell r="R83">
            <v>15348</v>
          </cell>
          <cell r="S83">
            <v>17090</v>
          </cell>
          <cell r="T83">
            <v>8296</v>
          </cell>
          <cell r="U83">
            <v>11780</v>
          </cell>
          <cell r="V83">
            <v>13522</v>
          </cell>
          <cell r="W83"/>
          <cell r="X83"/>
          <cell r="Y83"/>
          <cell r="Z83"/>
          <cell r="AA83"/>
          <cell r="AB83"/>
          <cell r="AC83"/>
          <cell r="AD83"/>
          <cell r="AE83"/>
          <cell r="AF83"/>
          <cell r="AG83"/>
          <cell r="AH83"/>
          <cell r="AI83"/>
          <cell r="AJ83"/>
          <cell r="AK83"/>
          <cell r="AL83"/>
          <cell r="AM83"/>
          <cell r="AN83"/>
          <cell r="AO83"/>
          <cell r="AP83"/>
          <cell r="AQ83"/>
          <cell r="AR83"/>
          <cell r="AS83"/>
          <cell r="AT83"/>
          <cell r="AU83"/>
          <cell r="AV83"/>
          <cell r="AW83"/>
          <cell r="AX83"/>
          <cell r="AY83"/>
          <cell r="AZ83"/>
          <cell r="BA83"/>
          <cell r="BB83"/>
          <cell r="BC83"/>
          <cell r="BD83"/>
          <cell r="BE83"/>
          <cell r="BF83"/>
          <cell r="BG83"/>
          <cell r="BH83"/>
          <cell r="BI83"/>
          <cell r="BJ83"/>
          <cell r="BK83"/>
          <cell r="BL83"/>
          <cell r="BM83"/>
          <cell r="BN83"/>
          <cell r="BO83"/>
          <cell r="BP83"/>
          <cell r="BQ83"/>
          <cell r="BR83"/>
          <cell r="BS83"/>
          <cell r="BT83"/>
          <cell r="BU83"/>
          <cell r="BV83"/>
          <cell r="BW83"/>
          <cell r="BX83"/>
          <cell r="BY83"/>
          <cell r="BZ83"/>
          <cell r="CA83"/>
          <cell r="CB83"/>
          <cell r="CC83"/>
          <cell r="CD83"/>
        </row>
        <row r="84">
          <cell r="A84" t="str">
            <v>V</v>
          </cell>
          <cell r="B84" t="str">
            <v>A-S</v>
          </cell>
          <cell r="C84">
            <v>8261</v>
          </cell>
          <cell r="D84">
            <v>15282</v>
          </cell>
          <cell r="E84">
            <v>8261</v>
          </cell>
          <cell r="F84">
            <v>11731</v>
          </cell>
          <cell r="G84">
            <v>13465</v>
          </cell>
          <cell r="H84">
            <v>15282</v>
          </cell>
          <cell r="I84">
            <v>17017</v>
          </cell>
          <cell r="J84">
            <v>8261</v>
          </cell>
          <cell r="K84">
            <v>11731</v>
          </cell>
          <cell r="L84">
            <v>13465</v>
          </cell>
          <cell r="M84">
            <v>9044</v>
          </cell>
          <cell r="N84">
            <v>16731</v>
          </cell>
          <cell r="O84">
            <v>9044</v>
          </cell>
          <cell r="P84">
            <v>12842</v>
          </cell>
          <cell r="Q84">
            <v>14742</v>
          </cell>
          <cell r="R84">
            <v>16731</v>
          </cell>
          <cell r="S84">
            <v>18631</v>
          </cell>
          <cell r="T84">
            <v>9044</v>
          </cell>
          <cell r="U84">
            <v>12842</v>
          </cell>
          <cell r="V84">
            <v>14742</v>
          </cell>
          <cell r="W84"/>
          <cell r="X84"/>
          <cell r="Y84"/>
          <cell r="Z84"/>
          <cell r="AA84"/>
          <cell r="AB84"/>
          <cell r="AC84"/>
          <cell r="AD84"/>
          <cell r="AE84"/>
          <cell r="AF84"/>
          <cell r="AG84"/>
          <cell r="AH84"/>
          <cell r="AI84"/>
          <cell r="AJ84"/>
          <cell r="AK84"/>
          <cell r="AL84"/>
          <cell r="AM84"/>
          <cell r="AN84"/>
          <cell r="AO84"/>
          <cell r="AP84"/>
          <cell r="AQ84"/>
          <cell r="AR84"/>
          <cell r="AS84"/>
          <cell r="AT84"/>
          <cell r="AU84"/>
          <cell r="AV84"/>
          <cell r="AW84"/>
          <cell r="AX84"/>
          <cell r="AY84"/>
          <cell r="AZ84"/>
          <cell r="BA84"/>
          <cell r="BB84"/>
          <cell r="BC84"/>
          <cell r="BD84"/>
          <cell r="BE84"/>
          <cell r="BF84"/>
          <cell r="BG84"/>
          <cell r="BH84"/>
          <cell r="BI84"/>
          <cell r="BJ84"/>
          <cell r="BK84"/>
          <cell r="BL84"/>
          <cell r="BM84"/>
          <cell r="BN84"/>
          <cell r="BO84"/>
          <cell r="BP84"/>
          <cell r="BQ84"/>
          <cell r="BR84"/>
          <cell r="BS84"/>
          <cell r="BT84"/>
          <cell r="BU84"/>
          <cell r="BV84"/>
          <cell r="BW84"/>
          <cell r="BX84"/>
          <cell r="BY84"/>
          <cell r="BZ84"/>
          <cell r="CA84"/>
          <cell r="CB84"/>
          <cell r="CC84"/>
          <cell r="CD84"/>
        </row>
        <row r="85">
          <cell r="A85" t="str">
            <v>VI</v>
          </cell>
          <cell r="B85" t="str">
            <v>D</v>
          </cell>
          <cell r="C85">
            <v>6536</v>
          </cell>
          <cell r="D85">
            <v>12092</v>
          </cell>
          <cell r="E85">
            <v>6536</v>
          </cell>
          <cell r="F85">
            <v>9281</v>
          </cell>
          <cell r="G85">
            <v>10654</v>
          </cell>
          <cell r="H85">
            <v>12092</v>
          </cell>
          <cell r="I85">
            <v>13464</v>
          </cell>
          <cell r="J85">
            <v>6536</v>
          </cell>
          <cell r="K85">
            <v>9281</v>
          </cell>
          <cell r="L85">
            <v>10654</v>
          </cell>
          <cell r="M85">
            <v>7163</v>
          </cell>
          <cell r="N85">
            <v>13252</v>
          </cell>
          <cell r="O85">
            <v>7163</v>
          </cell>
          <cell r="P85">
            <v>10171</v>
          </cell>
          <cell r="Q85">
            <v>11676</v>
          </cell>
          <cell r="R85">
            <v>13252</v>
          </cell>
          <cell r="S85">
            <v>14756</v>
          </cell>
          <cell r="T85">
            <v>7163</v>
          </cell>
          <cell r="U85">
            <v>10171</v>
          </cell>
          <cell r="V85">
            <v>11676</v>
          </cell>
          <cell r="W85"/>
          <cell r="X85"/>
          <cell r="Y85"/>
          <cell r="Z85"/>
          <cell r="AA85"/>
          <cell r="AB85"/>
          <cell r="AC85"/>
          <cell r="AD85"/>
          <cell r="AE85"/>
          <cell r="AF85"/>
          <cell r="AG85"/>
          <cell r="AH85"/>
          <cell r="AI85"/>
          <cell r="AJ85"/>
          <cell r="AK85"/>
          <cell r="AL85"/>
          <cell r="AM85"/>
          <cell r="AN85"/>
          <cell r="AO85"/>
          <cell r="AP85"/>
          <cell r="AQ85"/>
          <cell r="AR85"/>
          <cell r="AS85"/>
          <cell r="AT85"/>
          <cell r="AU85"/>
          <cell r="AV85"/>
          <cell r="AW85"/>
          <cell r="AX85"/>
          <cell r="AY85"/>
          <cell r="AZ85"/>
          <cell r="BA85"/>
          <cell r="BB85"/>
          <cell r="BC85"/>
          <cell r="BD85"/>
          <cell r="BE85"/>
          <cell r="BF85"/>
          <cell r="BG85"/>
          <cell r="BH85"/>
          <cell r="BI85"/>
          <cell r="BJ85"/>
          <cell r="BK85"/>
          <cell r="BL85"/>
          <cell r="BM85"/>
          <cell r="BN85"/>
          <cell r="BO85"/>
          <cell r="BP85"/>
          <cell r="BQ85"/>
          <cell r="BR85"/>
          <cell r="BS85"/>
          <cell r="BT85"/>
          <cell r="BU85"/>
          <cell r="BV85"/>
          <cell r="BW85"/>
          <cell r="BX85"/>
          <cell r="BY85"/>
          <cell r="BZ85"/>
          <cell r="CA85"/>
          <cell r="CB85"/>
          <cell r="CC85"/>
          <cell r="CD85"/>
        </row>
        <row r="86">
          <cell r="A86" t="str">
            <v>VI</v>
          </cell>
          <cell r="B86" t="str">
            <v>B</v>
          </cell>
          <cell r="C86">
            <v>7974</v>
          </cell>
          <cell r="D86">
            <v>14752</v>
          </cell>
          <cell r="E86">
            <v>7974</v>
          </cell>
          <cell r="F86">
            <v>11323</v>
          </cell>
          <cell r="G86">
            <v>12998</v>
          </cell>
          <cell r="H86">
            <v>14752</v>
          </cell>
          <cell r="I86">
            <v>16426</v>
          </cell>
          <cell r="J86">
            <v>7974</v>
          </cell>
          <cell r="K86">
            <v>11323</v>
          </cell>
          <cell r="L86">
            <v>12998</v>
          </cell>
          <cell r="M86">
            <v>8739</v>
          </cell>
          <cell r="N86">
            <v>16167</v>
          </cell>
          <cell r="O86">
            <v>8739</v>
          </cell>
          <cell r="P86">
            <v>12409</v>
          </cell>
          <cell r="Q86">
            <v>14245</v>
          </cell>
          <cell r="R86">
            <v>16167</v>
          </cell>
          <cell r="S86">
            <v>18002</v>
          </cell>
          <cell r="T86">
            <v>8739</v>
          </cell>
          <cell r="U86">
            <v>12409</v>
          </cell>
          <cell r="V86">
            <v>14245</v>
          </cell>
          <cell r="W86"/>
          <cell r="X86"/>
          <cell r="Y86"/>
          <cell r="Z86"/>
          <cell r="AA86"/>
          <cell r="AB86"/>
          <cell r="AC86"/>
          <cell r="AD86"/>
          <cell r="AE86"/>
          <cell r="AF86"/>
          <cell r="AG86"/>
          <cell r="AH86"/>
          <cell r="AI86"/>
          <cell r="AJ86"/>
          <cell r="AK86"/>
          <cell r="AL86"/>
          <cell r="AM86"/>
          <cell r="AN86"/>
          <cell r="AO86"/>
          <cell r="AP86"/>
          <cell r="AQ86"/>
          <cell r="AR86"/>
          <cell r="AS86"/>
          <cell r="AT86"/>
          <cell r="AU86"/>
          <cell r="AV86"/>
          <cell r="AW86"/>
          <cell r="AX86"/>
          <cell r="AY86"/>
          <cell r="AZ86"/>
          <cell r="BA86"/>
          <cell r="BB86"/>
          <cell r="BC86"/>
          <cell r="BD86"/>
          <cell r="BE86"/>
          <cell r="BF86"/>
          <cell r="BG86"/>
          <cell r="BH86"/>
          <cell r="BI86"/>
          <cell r="BJ86"/>
          <cell r="BK86"/>
          <cell r="BL86"/>
          <cell r="BM86"/>
          <cell r="BN86"/>
          <cell r="BO86"/>
          <cell r="BP86"/>
          <cell r="BQ86"/>
          <cell r="BR86"/>
          <cell r="BS86"/>
          <cell r="BT86"/>
          <cell r="BU86"/>
          <cell r="BV86"/>
          <cell r="BW86"/>
          <cell r="BX86"/>
          <cell r="BY86"/>
          <cell r="BZ86"/>
          <cell r="CA86"/>
          <cell r="CB86"/>
          <cell r="CC86"/>
          <cell r="CD86"/>
        </row>
        <row r="87">
          <cell r="A87" t="str">
            <v>VI</v>
          </cell>
          <cell r="B87" t="str">
            <v>A-S</v>
          </cell>
          <cell r="C87">
            <v>8693</v>
          </cell>
          <cell r="D87">
            <v>16082</v>
          </cell>
          <cell r="E87">
            <v>8693</v>
          </cell>
          <cell r="F87">
            <v>12344</v>
          </cell>
          <cell r="G87">
            <v>14170</v>
          </cell>
          <cell r="H87">
            <v>16082</v>
          </cell>
          <cell r="I87">
            <v>17907</v>
          </cell>
          <cell r="J87">
            <v>8693</v>
          </cell>
          <cell r="K87">
            <v>12344</v>
          </cell>
          <cell r="L87">
            <v>14170</v>
          </cell>
          <cell r="M87">
            <v>9527</v>
          </cell>
          <cell r="N87">
            <v>17625</v>
          </cell>
          <cell r="O87">
            <v>9527</v>
          </cell>
          <cell r="P87">
            <v>13527</v>
          </cell>
          <cell r="Q87">
            <v>15529</v>
          </cell>
          <cell r="R87">
            <v>17625</v>
          </cell>
          <cell r="S87">
            <v>19625</v>
          </cell>
          <cell r="T87">
            <v>9527</v>
          </cell>
          <cell r="U87">
            <v>13527</v>
          </cell>
          <cell r="V87">
            <v>15529</v>
          </cell>
          <cell r="W87"/>
          <cell r="X87"/>
          <cell r="Y87"/>
          <cell r="Z87"/>
          <cell r="AA87"/>
          <cell r="AB87"/>
          <cell r="AC87"/>
          <cell r="AD87"/>
          <cell r="AE87"/>
          <cell r="AF87"/>
          <cell r="AG87"/>
          <cell r="AH87"/>
          <cell r="AI87"/>
          <cell r="AJ87"/>
          <cell r="AK87"/>
          <cell r="AL87"/>
          <cell r="AM87"/>
          <cell r="AN87"/>
          <cell r="AO87"/>
          <cell r="AP87"/>
          <cell r="AQ87"/>
          <cell r="AR87"/>
          <cell r="AS87"/>
          <cell r="AT87"/>
          <cell r="AU87"/>
          <cell r="AV87"/>
          <cell r="AW87"/>
          <cell r="AX87"/>
          <cell r="AY87"/>
          <cell r="AZ87"/>
          <cell r="BA87"/>
          <cell r="BB87"/>
          <cell r="BC87"/>
          <cell r="BD87"/>
          <cell r="BE87"/>
          <cell r="BF87"/>
          <cell r="BG87"/>
          <cell r="BH87"/>
          <cell r="BI87"/>
          <cell r="BJ87"/>
          <cell r="BK87"/>
          <cell r="BL87"/>
          <cell r="BM87"/>
          <cell r="BN87"/>
          <cell r="BO87"/>
          <cell r="BP87"/>
          <cell r="BQ87"/>
          <cell r="BR87"/>
          <cell r="BS87"/>
          <cell r="BT87"/>
          <cell r="BU87"/>
          <cell r="BV87"/>
          <cell r="BW87"/>
          <cell r="BX87"/>
          <cell r="BY87"/>
          <cell r="BZ87"/>
          <cell r="CA87"/>
          <cell r="CB87"/>
          <cell r="CC87"/>
          <cell r="CD87"/>
        </row>
        <row r="88">
          <cell r="A88" t="str">
            <v>VII</v>
          </cell>
          <cell r="B88" t="str">
            <v>D</v>
          </cell>
          <cell r="C88">
            <v>7135</v>
          </cell>
          <cell r="D88">
            <v>13200</v>
          </cell>
          <cell r="E88">
            <v>7135</v>
          </cell>
          <cell r="F88">
            <v>10132</v>
          </cell>
          <cell r="G88">
            <v>11630</v>
          </cell>
          <cell r="H88">
            <v>13200</v>
          </cell>
          <cell r="I88">
            <v>14698</v>
          </cell>
          <cell r="J88">
            <v>7135</v>
          </cell>
          <cell r="K88">
            <v>10132</v>
          </cell>
          <cell r="L88">
            <v>11630</v>
          </cell>
          <cell r="M88">
            <v>7819</v>
          </cell>
          <cell r="N88">
            <v>14465</v>
          </cell>
          <cell r="O88">
            <v>7819</v>
          </cell>
          <cell r="P88">
            <v>11103</v>
          </cell>
          <cell r="Q88">
            <v>12745</v>
          </cell>
          <cell r="R88">
            <v>14465</v>
          </cell>
          <cell r="S88">
            <v>16107</v>
          </cell>
          <cell r="T88">
            <v>7819</v>
          </cell>
          <cell r="U88">
            <v>11103</v>
          </cell>
          <cell r="V88">
            <v>12745</v>
          </cell>
          <cell r="W88"/>
          <cell r="X88"/>
          <cell r="Y88"/>
          <cell r="Z88"/>
          <cell r="AA88"/>
          <cell r="AB88"/>
          <cell r="AC88"/>
          <cell r="AD88"/>
          <cell r="AE88"/>
          <cell r="AF88"/>
          <cell r="AG88"/>
          <cell r="AH88"/>
          <cell r="AI88"/>
          <cell r="AJ88"/>
          <cell r="AK88"/>
          <cell r="AL88"/>
          <cell r="AM88"/>
          <cell r="AN88"/>
          <cell r="AO88"/>
          <cell r="AP88"/>
          <cell r="AQ88"/>
          <cell r="AR88"/>
          <cell r="AS88"/>
          <cell r="AT88"/>
          <cell r="AU88"/>
          <cell r="AV88"/>
          <cell r="AW88"/>
          <cell r="AX88"/>
          <cell r="AY88"/>
          <cell r="AZ88"/>
          <cell r="BA88"/>
          <cell r="BB88"/>
          <cell r="BC88"/>
          <cell r="BD88"/>
          <cell r="BE88"/>
          <cell r="BF88"/>
          <cell r="BG88"/>
          <cell r="BH88"/>
          <cell r="BI88"/>
          <cell r="BJ88"/>
          <cell r="BK88"/>
          <cell r="BL88"/>
          <cell r="BM88"/>
          <cell r="BN88"/>
          <cell r="BO88"/>
          <cell r="BP88"/>
          <cell r="BQ88"/>
          <cell r="BR88"/>
          <cell r="BS88"/>
          <cell r="BT88"/>
          <cell r="BU88"/>
          <cell r="BV88"/>
          <cell r="BW88"/>
          <cell r="BX88"/>
          <cell r="BY88"/>
          <cell r="BZ88"/>
          <cell r="CA88"/>
          <cell r="CB88"/>
          <cell r="CC88"/>
          <cell r="CD88"/>
        </row>
        <row r="89">
          <cell r="A89" t="str">
            <v>VII</v>
          </cell>
          <cell r="B89" t="str">
            <v>B</v>
          </cell>
          <cell r="C89">
            <v>8705</v>
          </cell>
          <cell r="D89">
            <v>16104</v>
          </cell>
          <cell r="E89">
            <v>8705</v>
          </cell>
          <cell r="F89">
            <v>12361</v>
          </cell>
          <cell r="G89">
            <v>14189</v>
          </cell>
          <cell r="H89">
            <v>16104</v>
          </cell>
          <cell r="I89">
            <v>17932</v>
          </cell>
          <cell r="J89">
            <v>8705</v>
          </cell>
          <cell r="K89">
            <v>12361</v>
          </cell>
          <cell r="L89">
            <v>14189</v>
          </cell>
          <cell r="M89">
            <v>9539</v>
          </cell>
          <cell r="N89">
            <v>17647</v>
          </cell>
          <cell r="O89">
            <v>9539</v>
          </cell>
          <cell r="P89">
            <v>13546</v>
          </cell>
          <cell r="Q89">
            <v>15549</v>
          </cell>
          <cell r="R89">
            <v>17647</v>
          </cell>
          <cell r="S89">
            <v>19651</v>
          </cell>
          <cell r="T89">
            <v>9539</v>
          </cell>
          <cell r="U89">
            <v>13546</v>
          </cell>
          <cell r="V89">
            <v>15549</v>
          </cell>
          <cell r="W89"/>
          <cell r="X89"/>
          <cell r="Y89"/>
          <cell r="Z89"/>
          <cell r="AA89"/>
          <cell r="AB89"/>
          <cell r="AC89"/>
          <cell r="AD89"/>
          <cell r="AE89"/>
          <cell r="AF89"/>
          <cell r="AG89"/>
          <cell r="AH89"/>
          <cell r="AI89"/>
          <cell r="AJ89"/>
          <cell r="AK89"/>
          <cell r="AL89"/>
          <cell r="AM89"/>
          <cell r="AN89"/>
          <cell r="AO89"/>
          <cell r="AP89"/>
          <cell r="AQ89"/>
          <cell r="AR89"/>
          <cell r="AS89"/>
          <cell r="AT89"/>
          <cell r="AU89"/>
          <cell r="AV89"/>
          <cell r="AW89"/>
          <cell r="AX89"/>
          <cell r="AY89"/>
          <cell r="AZ89"/>
          <cell r="BA89"/>
          <cell r="BB89"/>
          <cell r="BC89"/>
          <cell r="BD89"/>
          <cell r="BE89"/>
          <cell r="BF89"/>
          <cell r="BG89"/>
          <cell r="BH89"/>
          <cell r="BI89"/>
          <cell r="BJ89"/>
          <cell r="BK89"/>
          <cell r="BL89"/>
          <cell r="BM89"/>
          <cell r="BN89"/>
          <cell r="BO89"/>
          <cell r="BP89"/>
          <cell r="BQ89"/>
          <cell r="BR89"/>
          <cell r="BS89"/>
          <cell r="BT89"/>
          <cell r="BU89"/>
          <cell r="BV89"/>
          <cell r="BW89"/>
          <cell r="BX89"/>
          <cell r="BY89"/>
          <cell r="BZ89"/>
          <cell r="CA89"/>
          <cell r="CB89"/>
          <cell r="CC89"/>
          <cell r="CD89"/>
        </row>
        <row r="90">
          <cell r="A90" t="str">
            <v>VII</v>
          </cell>
          <cell r="B90" t="str">
            <v>A-S</v>
          </cell>
          <cell r="C90">
            <v>9490</v>
          </cell>
          <cell r="D90">
            <v>17556</v>
          </cell>
          <cell r="E90">
            <v>9490</v>
          </cell>
          <cell r="F90">
            <v>13476</v>
          </cell>
          <cell r="G90">
            <v>15468</v>
          </cell>
          <cell r="H90">
            <v>17556</v>
          </cell>
          <cell r="I90">
            <v>19548</v>
          </cell>
          <cell r="J90">
            <v>9490</v>
          </cell>
          <cell r="K90">
            <v>13476</v>
          </cell>
          <cell r="L90">
            <v>15468</v>
          </cell>
          <cell r="M90">
            <v>10399</v>
          </cell>
          <cell r="N90">
            <v>19238</v>
          </cell>
          <cell r="O90">
            <v>10399</v>
          </cell>
          <cell r="P90">
            <v>14767</v>
          </cell>
          <cell r="Q90">
            <v>16951</v>
          </cell>
          <cell r="R90">
            <v>19238</v>
          </cell>
          <cell r="S90">
            <v>21422</v>
          </cell>
          <cell r="T90">
            <v>10399</v>
          </cell>
          <cell r="U90">
            <v>14767</v>
          </cell>
          <cell r="V90">
            <v>16951</v>
          </cell>
          <cell r="W90"/>
          <cell r="X90"/>
          <cell r="Y90"/>
          <cell r="Z90"/>
          <cell r="AA90"/>
          <cell r="AB90"/>
          <cell r="AC90"/>
          <cell r="AD90"/>
          <cell r="AE90"/>
          <cell r="AF90"/>
          <cell r="AG90"/>
          <cell r="AH90"/>
          <cell r="AI90"/>
          <cell r="AJ90"/>
          <cell r="AK90"/>
          <cell r="AL90"/>
          <cell r="AM90"/>
          <cell r="AN90"/>
          <cell r="AO90"/>
          <cell r="AP90"/>
          <cell r="AQ90"/>
          <cell r="AR90"/>
          <cell r="AS90"/>
          <cell r="AT90"/>
          <cell r="AU90"/>
          <cell r="AV90"/>
          <cell r="AW90"/>
          <cell r="AX90"/>
          <cell r="AY90"/>
          <cell r="AZ90"/>
          <cell r="BA90"/>
          <cell r="BB90"/>
          <cell r="BC90"/>
          <cell r="BD90"/>
          <cell r="BE90"/>
          <cell r="BF90"/>
          <cell r="BG90"/>
          <cell r="BH90"/>
          <cell r="BI90"/>
          <cell r="BJ90"/>
          <cell r="BK90"/>
          <cell r="BL90"/>
          <cell r="BM90"/>
          <cell r="BN90"/>
          <cell r="BO90"/>
          <cell r="BP90"/>
          <cell r="BQ90"/>
          <cell r="BR90"/>
          <cell r="BS90"/>
          <cell r="BT90"/>
          <cell r="BU90"/>
          <cell r="BV90"/>
          <cell r="BW90"/>
          <cell r="BX90"/>
          <cell r="BY90"/>
          <cell r="BZ90"/>
          <cell r="CA90"/>
          <cell r="CB90"/>
          <cell r="CC90"/>
          <cell r="CD90"/>
        </row>
        <row r="91">
          <cell r="A91" t="str">
            <v>VIII</v>
          </cell>
          <cell r="B91" t="str">
            <v>D</v>
          </cell>
          <cell r="C91">
            <v>7835</v>
          </cell>
          <cell r="D91">
            <v>14495</v>
          </cell>
          <cell r="E91">
            <v>7835</v>
          </cell>
          <cell r="F91">
            <v>11126</v>
          </cell>
          <cell r="G91">
            <v>12771</v>
          </cell>
          <cell r="H91">
            <v>14495</v>
          </cell>
          <cell r="I91">
            <v>16140</v>
          </cell>
          <cell r="J91">
            <v>7835</v>
          </cell>
          <cell r="K91">
            <v>11126</v>
          </cell>
          <cell r="L91">
            <v>12771</v>
          </cell>
          <cell r="M91">
            <v>8583</v>
          </cell>
          <cell r="N91">
            <v>15879</v>
          </cell>
          <cell r="O91">
            <v>8583</v>
          </cell>
          <cell r="P91">
            <v>12188</v>
          </cell>
          <cell r="Q91">
            <v>13990</v>
          </cell>
          <cell r="R91">
            <v>15879</v>
          </cell>
          <cell r="S91">
            <v>17681</v>
          </cell>
          <cell r="T91">
            <v>8583</v>
          </cell>
          <cell r="U91">
            <v>12188</v>
          </cell>
          <cell r="V91">
            <v>13990</v>
          </cell>
          <cell r="W91"/>
          <cell r="X91"/>
          <cell r="Y91"/>
          <cell r="Z91"/>
          <cell r="AA91"/>
          <cell r="AB91"/>
          <cell r="AC91"/>
          <cell r="AD91"/>
          <cell r="AE91"/>
          <cell r="AF91"/>
          <cell r="AG91"/>
          <cell r="AH91"/>
          <cell r="AI91"/>
          <cell r="AJ91"/>
          <cell r="AK91"/>
          <cell r="AL91"/>
          <cell r="AM91"/>
          <cell r="AN91"/>
          <cell r="AO91"/>
          <cell r="AP91"/>
          <cell r="AQ91"/>
          <cell r="AR91"/>
          <cell r="AS91"/>
          <cell r="AT91"/>
          <cell r="AU91"/>
          <cell r="AV91"/>
          <cell r="AW91"/>
          <cell r="AX91"/>
          <cell r="AY91"/>
          <cell r="AZ91"/>
          <cell r="BA91"/>
          <cell r="BB91"/>
          <cell r="BC91"/>
          <cell r="BD91"/>
          <cell r="BE91"/>
          <cell r="BF91"/>
          <cell r="BG91"/>
          <cell r="BH91"/>
          <cell r="BI91"/>
          <cell r="BJ91"/>
          <cell r="BK91"/>
          <cell r="BL91"/>
          <cell r="BM91"/>
          <cell r="BN91"/>
          <cell r="BO91"/>
          <cell r="BP91"/>
          <cell r="BQ91"/>
          <cell r="BR91"/>
          <cell r="BS91"/>
          <cell r="BT91"/>
          <cell r="BU91"/>
          <cell r="BV91"/>
          <cell r="BW91"/>
          <cell r="BX91"/>
          <cell r="BY91"/>
          <cell r="BZ91"/>
          <cell r="CA91"/>
          <cell r="CB91"/>
          <cell r="CC91"/>
          <cell r="CD91"/>
        </row>
        <row r="92">
          <cell r="A92" t="str">
            <v>VIII</v>
          </cell>
          <cell r="B92" t="str">
            <v>B</v>
          </cell>
          <cell r="C92">
            <v>9559</v>
          </cell>
          <cell r="D92">
            <v>17684</v>
          </cell>
          <cell r="E92">
            <v>9559</v>
          </cell>
          <cell r="F92">
            <v>13574</v>
          </cell>
          <cell r="G92">
            <v>15581</v>
          </cell>
          <cell r="H92">
            <v>17684</v>
          </cell>
          <cell r="I92">
            <v>19691</v>
          </cell>
          <cell r="J92">
            <v>9559</v>
          </cell>
          <cell r="K92">
            <v>13574</v>
          </cell>
          <cell r="L92">
            <v>15581</v>
          </cell>
          <cell r="M92">
            <v>10471</v>
          </cell>
          <cell r="N92">
            <v>19372</v>
          </cell>
          <cell r="O92">
            <v>10471</v>
          </cell>
          <cell r="P92">
            <v>14869</v>
          </cell>
          <cell r="Q92">
            <v>17068</v>
          </cell>
          <cell r="R92">
            <v>19372</v>
          </cell>
          <cell r="S92">
            <v>21571</v>
          </cell>
          <cell r="T92">
            <v>10471</v>
          </cell>
          <cell r="U92">
            <v>14869</v>
          </cell>
          <cell r="V92">
            <v>17068</v>
          </cell>
          <cell r="W92"/>
          <cell r="X92"/>
          <cell r="Y92"/>
          <cell r="Z92"/>
          <cell r="AA92"/>
          <cell r="AB92"/>
          <cell r="AC92"/>
          <cell r="AD92"/>
          <cell r="AE92"/>
          <cell r="AF92"/>
          <cell r="AG92"/>
          <cell r="AH92"/>
          <cell r="AI92"/>
          <cell r="AJ92"/>
          <cell r="AK92"/>
          <cell r="AL92"/>
          <cell r="AM92"/>
          <cell r="AN92"/>
          <cell r="AO92"/>
          <cell r="AP92"/>
          <cell r="AQ92"/>
          <cell r="AR92"/>
          <cell r="AS92"/>
          <cell r="AT92"/>
          <cell r="AU92"/>
          <cell r="AV92"/>
          <cell r="AW92"/>
          <cell r="AX92"/>
          <cell r="AY92"/>
          <cell r="AZ92"/>
          <cell r="BA92"/>
          <cell r="BB92"/>
          <cell r="BC92"/>
          <cell r="BD92"/>
          <cell r="BE92"/>
          <cell r="BF92"/>
          <cell r="BG92"/>
          <cell r="BH92"/>
          <cell r="BI92"/>
          <cell r="BJ92"/>
          <cell r="BK92"/>
          <cell r="BL92"/>
          <cell r="BM92"/>
          <cell r="BN92"/>
          <cell r="BO92"/>
          <cell r="BP92"/>
          <cell r="BQ92"/>
          <cell r="BR92"/>
          <cell r="BS92"/>
          <cell r="BT92"/>
          <cell r="BU92"/>
          <cell r="BV92"/>
          <cell r="BW92"/>
          <cell r="BX92"/>
          <cell r="BY92"/>
          <cell r="BZ92"/>
          <cell r="CA92"/>
          <cell r="CB92"/>
          <cell r="CC92"/>
          <cell r="CD92"/>
        </row>
        <row r="93">
          <cell r="A93" t="str">
            <v>VIII</v>
          </cell>
          <cell r="B93" t="str">
            <v>A-S</v>
          </cell>
          <cell r="C93">
            <v>10421</v>
          </cell>
          <cell r="D93">
            <v>19278</v>
          </cell>
          <cell r="E93">
            <v>10421</v>
          </cell>
          <cell r="F93">
            <v>14798</v>
          </cell>
          <cell r="G93">
            <v>16985</v>
          </cell>
          <cell r="H93">
            <v>19278</v>
          </cell>
          <cell r="I93">
            <v>21466</v>
          </cell>
          <cell r="J93">
            <v>10421</v>
          </cell>
          <cell r="K93">
            <v>14798</v>
          </cell>
          <cell r="L93">
            <v>16985</v>
          </cell>
          <cell r="M93">
            <v>11415</v>
          </cell>
          <cell r="N93">
            <v>21119</v>
          </cell>
          <cell r="O93">
            <v>11415</v>
          </cell>
          <cell r="P93">
            <v>16210</v>
          </cell>
          <cell r="Q93">
            <v>18607</v>
          </cell>
          <cell r="R93">
            <v>21119</v>
          </cell>
          <cell r="S93">
            <v>23516</v>
          </cell>
          <cell r="T93">
            <v>11415</v>
          </cell>
          <cell r="U93">
            <v>16210</v>
          </cell>
          <cell r="V93">
            <v>18607</v>
          </cell>
          <cell r="W93"/>
          <cell r="X93"/>
          <cell r="Y93"/>
          <cell r="Z93"/>
          <cell r="AA93"/>
          <cell r="AB93"/>
          <cell r="AC93"/>
          <cell r="AD93"/>
          <cell r="AE93"/>
          <cell r="AF93"/>
          <cell r="AG93"/>
          <cell r="AH93"/>
          <cell r="AI93"/>
          <cell r="AJ93"/>
          <cell r="AK93"/>
          <cell r="AL93"/>
          <cell r="AM93"/>
          <cell r="AN93"/>
          <cell r="AO93"/>
          <cell r="AP93"/>
          <cell r="AQ93"/>
          <cell r="AR93"/>
          <cell r="AS93"/>
          <cell r="AT93"/>
          <cell r="AU93"/>
          <cell r="AV93"/>
          <cell r="AW93"/>
          <cell r="AX93"/>
          <cell r="AY93"/>
          <cell r="AZ93"/>
          <cell r="BA93"/>
          <cell r="BB93"/>
          <cell r="BC93"/>
          <cell r="BD93"/>
          <cell r="BE93"/>
          <cell r="BF93"/>
          <cell r="BG93"/>
          <cell r="BH93"/>
          <cell r="BI93"/>
          <cell r="BJ93"/>
          <cell r="BK93"/>
          <cell r="BL93"/>
          <cell r="BM93"/>
          <cell r="BN93"/>
          <cell r="BO93"/>
          <cell r="BP93"/>
          <cell r="BQ93"/>
          <cell r="BR93"/>
          <cell r="BS93"/>
          <cell r="BT93"/>
          <cell r="BU93"/>
          <cell r="BV93"/>
          <cell r="BW93"/>
          <cell r="BX93"/>
          <cell r="BY93"/>
          <cell r="BZ93"/>
          <cell r="CA93"/>
          <cell r="CB93"/>
          <cell r="CC93"/>
          <cell r="CD93"/>
        </row>
        <row r="94">
          <cell r="A94" t="str">
            <v>IX</v>
          </cell>
          <cell r="B94" t="str">
            <v>D</v>
          </cell>
          <cell r="C94">
            <v>8553</v>
          </cell>
          <cell r="D94">
            <v>15823</v>
          </cell>
          <cell r="E94">
            <v>8553</v>
          </cell>
          <cell r="F94">
            <v>12145</v>
          </cell>
          <cell r="G94">
            <v>13941</v>
          </cell>
          <cell r="H94">
            <v>15823</v>
          </cell>
          <cell r="I94">
            <v>17619</v>
          </cell>
          <cell r="J94">
            <v>8553</v>
          </cell>
          <cell r="K94">
            <v>12145</v>
          </cell>
          <cell r="L94">
            <v>13941</v>
          </cell>
          <cell r="M94">
            <v>9388</v>
          </cell>
          <cell r="N94">
            <v>17368</v>
          </cell>
          <cell r="O94">
            <v>9388</v>
          </cell>
          <cell r="P94">
            <v>13331</v>
          </cell>
          <cell r="Q94">
            <v>15302</v>
          </cell>
          <cell r="R94">
            <v>17368</v>
          </cell>
          <cell r="S94">
            <v>19339</v>
          </cell>
          <cell r="T94">
            <v>9388</v>
          </cell>
          <cell r="U94">
            <v>13331</v>
          </cell>
          <cell r="V94">
            <v>15302</v>
          </cell>
          <cell r="W94"/>
          <cell r="X94"/>
          <cell r="Y94"/>
          <cell r="Z94"/>
          <cell r="AA94"/>
          <cell r="AB94"/>
          <cell r="AC94"/>
          <cell r="AD94"/>
          <cell r="AE94"/>
          <cell r="AF94"/>
          <cell r="AG94"/>
          <cell r="AH94"/>
          <cell r="AI94"/>
          <cell r="AJ94"/>
          <cell r="AK94"/>
          <cell r="AL94"/>
          <cell r="AM94"/>
          <cell r="AN94"/>
          <cell r="AO94"/>
          <cell r="AP94"/>
          <cell r="AQ94"/>
          <cell r="AR94"/>
          <cell r="AS94"/>
          <cell r="AT94"/>
          <cell r="AU94"/>
          <cell r="AV94"/>
          <cell r="AW94"/>
          <cell r="AX94"/>
          <cell r="AY94"/>
          <cell r="AZ94"/>
          <cell r="BA94"/>
          <cell r="BB94"/>
          <cell r="BC94"/>
          <cell r="BD94"/>
          <cell r="BE94"/>
          <cell r="BF94"/>
          <cell r="BG94"/>
          <cell r="BH94"/>
          <cell r="BI94"/>
          <cell r="BJ94"/>
          <cell r="BK94"/>
          <cell r="BL94"/>
          <cell r="BM94"/>
          <cell r="BN94"/>
          <cell r="BO94"/>
          <cell r="BP94"/>
          <cell r="BQ94"/>
          <cell r="BR94"/>
          <cell r="BS94"/>
          <cell r="BT94"/>
          <cell r="BU94"/>
          <cell r="BV94"/>
          <cell r="BW94"/>
          <cell r="BX94"/>
          <cell r="BY94"/>
          <cell r="BZ94"/>
          <cell r="CA94"/>
          <cell r="CB94"/>
          <cell r="CC94"/>
          <cell r="CD94"/>
        </row>
        <row r="95">
          <cell r="A95" t="str">
            <v>IX</v>
          </cell>
          <cell r="B95" t="str">
            <v>B</v>
          </cell>
          <cell r="C95">
            <v>10435</v>
          </cell>
          <cell r="D95">
            <v>19304</v>
          </cell>
          <cell r="E95">
            <v>10435</v>
          </cell>
          <cell r="F95">
            <v>14817</v>
          </cell>
          <cell r="G95">
            <v>17008</v>
          </cell>
          <cell r="H95">
            <v>19304</v>
          </cell>
          <cell r="I95">
            <v>21495</v>
          </cell>
          <cell r="J95">
            <v>10435</v>
          </cell>
          <cell r="K95">
            <v>14817</v>
          </cell>
          <cell r="L95">
            <v>17008</v>
          </cell>
          <cell r="M95">
            <v>11453</v>
          </cell>
          <cell r="N95">
            <v>21189</v>
          </cell>
          <cell r="O95">
            <v>11453</v>
          </cell>
          <cell r="P95">
            <v>16264</v>
          </cell>
          <cell r="Q95">
            <v>18668</v>
          </cell>
          <cell r="R95">
            <v>21189</v>
          </cell>
          <cell r="S95">
            <v>23594</v>
          </cell>
          <cell r="T95">
            <v>11453</v>
          </cell>
          <cell r="U95">
            <v>16264</v>
          </cell>
          <cell r="V95">
            <v>18668</v>
          </cell>
          <cell r="W95"/>
          <cell r="X95"/>
          <cell r="Y95"/>
          <cell r="Z95"/>
          <cell r="AA95"/>
          <cell r="AB95"/>
          <cell r="AC95"/>
          <cell r="AD95"/>
          <cell r="AE95"/>
          <cell r="AF95"/>
          <cell r="AG95"/>
          <cell r="AH95"/>
          <cell r="AI95"/>
          <cell r="AJ95"/>
          <cell r="AK95"/>
          <cell r="AL95"/>
          <cell r="AM95"/>
          <cell r="AN95"/>
          <cell r="AO95"/>
          <cell r="AP95"/>
          <cell r="AQ95"/>
          <cell r="AR95"/>
          <cell r="AS95"/>
          <cell r="AT95"/>
          <cell r="AU95"/>
          <cell r="AV95"/>
          <cell r="AW95"/>
          <cell r="AX95"/>
          <cell r="AY95"/>
          <cell r="AZ95"/>
          <cell r="BA95"/>
          <cell r="BB95"/>
          <cell r="BC95"/>
          <cell r="BD95"/>
          <cell r="BE95"/>
          <cell r="BF95"/>
          <cell r="BG95"/>
          <cell r="BH95"/>
          <cell r="BI95"/>
          <cell r="BJ95"/>
          <cell r="BK95"/>
          <cell r="BL95"/>
          <cell r="BM95"/>
          <cell r="BN95"/>
          <cell r="BO95"/>
          <cell r="BP95"/>
          <cell r="BQ95"/>
          <cell r="BR95"/>
          <cell r="BS95"/>
          <cell r="BT95"/>
          <cell r="BU95"/>
          <cell r="BV95"/>
          <cell r="BW95"/>
          <cell r="BX95"/>
          <cell r="BY95"/>
          <cell r="BZ95"/>
          <cell r="CA95"/>
          <cell r="CB95"/>
          <cell r="CC95"/>
          <cell r="CD95"/>
        </row>
        <row r="96">
          <cell r="A96" t="str">
            <v>IX</v>
          </cell>
          <cell r="B96" t="str">
            <v>A-S</v>
          </cell>
          <cell r="C96">
            <v>11375</v>
          </cell>
          <cell r="D96">
            <v>21045</v>
          </cell>
          <cell r="E96">
            <v>11375</v>
          </cell>
          <cell r="F96">
            <v>16153</v>
          </cell>
          <cell r="G96">
            <v>18542</v>
          </cell>
          <cell r="H96">
            <v>21045</v>
          </cell>
          <cell r="I96">
            <v>23433</v>
          </cell>
          <cell r="J96">
            <v>11375</v>
          </cell>
          <cell r="K96">
            <v>16153</v>
          </cell>
          <cell r="L96">
            <v>18542</v>
          </cell>
          <cell r="M96">
            <v>12486</v>
          </cell>
          <cell r="N96">
            <v>23099</v>
          </cell>
          <cell r="O96">
            <v>12486</v>
          </cell>
          <cell r="P96">
            <v>17730</v>
          </cell>
          <cell r="Q96">
            <v>20352</v>
          </cell>
          <cell r="R96">
            <v>23099</v>
          </cell>
          <cell r="S96">
            <v>25721</v>
          </cell>
          <cell r="T96">
            <v>12486</v>
          </cell>
          <cell r="U96">
            <v>17730</v>
          </cell>
          <cell r="V96">
            <v>20352</v>
          </cell>
          <cell r="W96"/>
          <cell r="X96"/>
          <cell r="Y96"/>
          <cell r="Z96"/>
          <cell r="AA96"/>
          <cell r="AB96"/>
          <cell r="AC96"/>
          <cell r="AD96"/>
          <cell r="AE96"/>
          <cell r="AF96"/>
          <cell r="AG96"/>
          <cell r="AH96"/>
          <cell r="AI96"/>
          <cell r="AJ96"/>
          <cell r="AK96"/>
          <cell r="AL96"/>
          <cell r="AM96"/>
          <cell r="AN96"/>
          <cell r="AO96"/>
          <cell r="AP96"/>
          <cell r="AQ96"/>
          <cell r="AR96"/>
          <cell r="AS96"/>
          <cell r="AT96"/>
          <cell r="AU96"/>
          <cell r="AV96"/>
          <cell r="AW96"/>
          <cell r="AX96"/>
          <cell r="AY96"/>
          <cell r="AZ96"/>
          <cell r="BA96"/>
          <cell r="BB96"/>
          <cell r="BC96"/>
          <cell r="BD96"/>
          <cell r="BE96"/>
          <cell r="BF96"/>
          <cell r="BG96"/>
          <cell r="BH96"/>
          <cell r="BI96"/>
          <cell r="BJ96"/>
          <cell r="BK96"/>
          <cell r="BL96"/>
          <cell r="BM96"/>
          <cell r="BN96"/>
          <cell r="BO96"/>
          <cell r="BP96"/>
          <cell r="BQ96"/>
          <cell r="BR96"/>
          <cell r="BS96"/>
          <cell r="BT96"/>
          <cell r="BU96"/>
          <cell r="BV96"/>
          <cell r="BW96"/>
          <cell r="BX96"/>
          <cell r="BY96"/>
          <cell r="BZ96"/>
          <cell r="CA96"/>
          <cell r="CB96"/>
          <cell r="CC96"/>
          <cell r="CD96"/>
        </row>
        <row r="97">
          <cell r="A97" t="str">
            <v>X</v>
          </cell>
          <cell r="B97" t="str">
            <v>D</v>
          </cell>
          <cell r="C97">
            <v>9314</v>
          </cell>
          <cell r="D97">
            <v>17231</v>
          </cell>
          <cell r="E97">
            <v>9314</v>
          </cell>
          <cell r="F97">
            <v>13226</v>
          </cell>
          <cell r="G97">
            <v>15182</v>
          </cell>
          <cell r="H97">
            <v>17231</v>
          </cell>
          <cell r="I97">
            <v>19187</v>
          </cell>
          <cell r="J97">
            <v>9314</v>
          </cell>
          <cell r="K97">
            <v>13226</v>
          </cell>
          <cell r="L97">
            <v>15182</v>
          </cell>
          <cell r="M97">
            <v>10203</v>
          </cell>
          <cell r="N97">
            <v>18876</v>
          </cell>
          <cell r="O97">
            <v>10203</v>
          </cell>
          <cell r="P97">
            <v>14488</v>
          </cell>
          <cell r="Q97">
            <v>16631</v>
          </cell>
          <cell r="R97">
            <v>18876</v>
          </cell>
          <cell r="S97">
            <v>21018</v>
          </cell>
          <cell r="T97">
            <v>10203</v>
          </cell>
          <cell r="U97">
            <v>14488</v>
          </cell>
          <cell r="V97">
            <v>16631</v>
          </cell>
          <cell r="W97"/>
          <cell r="X97"/>
          <cell r="Y97"/>
          <cell r="Z97"/>
          <cell r="AA97"/>
          <cell r="AB97"/>
          <cell r="AC97"/>
          <cell r="AD97"/>
          <cell r="AE97"/>
          <cell r="AF97"/>
          <cell r="AG97"/>
          <cell r="AH97"/>
          <cell r="AI97"/>
          <cell r="AJ97"/>
          <cell r="AK97"/>
          <cell r="AL97"/>
          <cell r="AM97"/>
          <cell r="AN97"/>
          <cell r="AO97"/>
          <cell r="AP97"/>
          <cell r="AQ97"/>
          <cell r="AR97"/>
          <cell r="AS97"/>
          <cell r="AT97"/>
          <cell r="AU97"/>
          <cell r="AV97"/>
          <cell r="AW97"/>
          <cell r="AX97"/>
          <cell r="AY97"/>
          <cell r="AZ97"/>
          <cell r="BA97"/>
          <cell r="BB97"/>
          <cell r="BC97"/>
          <cell r="BD97"/>
          <cell r="BE97"/>
          <cell r="BF97"/>
          <cell r="BG97"/>
          <cell r="BH97"/>
          <cell r="BI97"/>
          <cell r="BJ97"/>
          <cell r="BK97"/>
          <cell r="BL97"/>
          <cell r="BM97"/>
          <cell r="BN97"/>
          <cell r="BO97"/>
          <cell r="BP97"/>
          <cell r="BQ97"/>
          <cell r="BR97"/>
          <cell r="BS97"/>
          <cell r="BT97"/>
          <cell r="BU97"/>
          <cell r="BV97"/>
          <cell r="BW97"/>
          <cell r="BX97"/>
          <cell r="BY97"/>
          <cell r="BZ97"/>
          <cell r="CA97"/>
          <cell r="CB97"/>
          <cell r="CC97"/>
          <cell r="CD97"/>
        </row>
        <row r="98">
          <cell r="A98" t="str">
            <v>X</v>
          </cell>
          <cell r="B98" t="str">
            <v>B</v>
          </cell>
          <cell r="C98">
            <v>11363</v>
          </cell>
          <cell r="D98">
            <v>21022</v>
          </cell>
          <cell r="E98">
            <v>11363</v>
          </cell>
          <cell r="F98">
            <v>16136</v>
          </cell>
          <cell r="G98">
            <v>18522</v>
          </cell>
          <cell r="H98">
            <v>21022</v>
          </cell>
          <cell r="I98">
            <v>23408</v>
          </cell>
          <cell r="J98">
            <v>11363</v>
          </cell>
          <cell r="K98">
            <v>16136</v>
          </cell>
          <cell r="L98">
            <v>18522</v>
          </cell>
          <cell r="M98">
            <v>12448</v>
          </cell>
          <cell r="N98">
            <v>23029</v>
          </cell>
          <cell r="O98">
            <v>12448</v>
          </cell>
          <cell r="P98">
            <v>17675</v>
          </cell>
          <cell r="Q98">
            <v>20290</v>
          </cell>
          <cell r="R98">
            <v>23029</v>
          </cell>
          <cell r="S98">
            <v>25642</v>
          </cell>
          <cell r="T98">
            <v>12448</v>
          </cell>
          <cell r="U98">
            <v>17675</v>
          </cell>
          <cell r="V98">
            <v>20290</v>
          </cell>
          <cell r="W98"/>
          <cell r="X98"/>
          <cell r="Y98"/>
          <cell r="Z98"/>
          <cell r="AA98"/>
          <cell r="AB98"/>
          <cell r="AC98"/>
          <cell r="AD98"/>
          <cell r="AE98"/>
          <cell r="AF98"/>
          <cell r="AG98"/>
          <cell r="AH98"/>
          <cell r="AI98"/>
          <cell r="AJ98"/>
          <cell r="AK98"/>
          <cell r="AL98"/>
          <cell r="AM98"/>
          <cell r="AN98"/>
          <cell r="AO98"/>
          <cell r="AP98"/>
          <cell r="AQ98"/>
          <cell r="AR98"/>
          <cell r="AS98"/>
          <cell r="AT98"/>
          <cell r="AU98"/>
          <cell r="AV98"/>
          <cell r="AW98"/>
          <cell r="AX98"/>
          <cell r="AY98"/>
          <cell r="AZ98"/>
          <cell r="BA98"/>
          <cell r="BB98"/>
          <cell r="BC98"/>
          <cell r="BD98"/>
          <cell r="BE98"/>
          <cell r="BF98"/>
          <cell r="BG98"/>
          <cell r="BH98"/>
          <cell r="BI98"/>
          <cell r="BJ98"/>
          <cell r="BK98"/>
          <cell r="BL98"/>
          <cell r="BM98"/>
          <cell r="BN98"/>
          <cell r="BO98"/>
          <cell r="BP98"/>
          <cell r="BQ98"/>
          <cell r="BR98"/>
          <cell r="BS98"/>
          <cell r="BT98"/>
          <cell r="BU98"/>
          <cell r="BV98"/>
          <cell r="BW98"/>
          <cell r="BX98"/>
          <cell r="BY98"/>
          <cell r="BZ98"/>
          <cell r="CA98"/>
          <cell r="CB98"/>
          <cell r="CC98"/>
          <cell r="CD98"/>
        </row>
        <row r="99">
          <cell r="A99" t="str">
            <v>X</v>
          </cell>
          <cell r="B99" t="str">
            <v>A-S</v>
          </cell>
          <cell r="C99">
            <v>12388</v>
          </cell>
          <cell r="D99">
            <v>22917</v>
          </cell>
          <cell r="E99">
            <v>12388</v>
          </cell>
          <cell r="F99">
            <v>17591</v>
          </cell>
          <cell r="G99">
            <v>20192</v>
          </cell>
          <cell r="H99">
            <v>22917</v>
          </cell>
          <cell r="I99">
            <v>25519</v>
          </cell>
          <cell r="J99">
            <v>12388</v>
          </cell>
          <cell r="K99">
            <v>17591</v>
          </cell>
          <cell r="L99">
            <v>20192</v>
          </cell>
          <cell r="M99">
            <v>13570</v>
          </cell>
          <cell r="N99">
            <v>25105</v>
          </cell>
          <cell r="O99">
            <v>13570</v>
          </cell>
          <cell r="P99">
            <v>19269</v>
          </cell>
          <cell r="Q99">
            <v>22119</v>
          </cell>
          <cell r="R99">
            <v>25105</v>
          </cell>
          <cell r="S99">
            <v>27954</v>
          </cell>
          <cell r="T99">
            <v>13570</v>
          </cell>
          <cell r="U99">
            <v>19269</v>
          </cell>
          <cell r="V99">
            <v>22119</v>
          </cell>
          <cell r="W99"/>
          <cell r="X99"/>
          <cell r="Y99"/>
          <cell r="Z99"/>
          <cell r="AA99"/>
          <cell r="AB99"/>
          <cell r="AC99"/>
          <cell r="AD99"/>
          <cell r="AE99"/>
          <cell r="AF99"/>
          <cell r="AG99"/>
          <cell r="AH99"/>
          <cell r="AI99"/>
          <cell r="AJ99"/>
          <cell r="AK99"/>
          <cell r="AL99"/>
          <cell r="AM99"/>
          <cell r="AN99"/>
          <cell r="AO99"/>
          <cell r="AP99"/>
          <cell r="AQ99"/>
          <cell r="AR99"/>
          <cell r="AS99"/>
          <cell r="AT99"/>
          <cell r="AU99"/>
          <cell r="AV99"/>
          <cell r="AW99"/>
          <cell r="AX99"/>
          <cell r="AY99"/>
          <cell r="AZ99"/>
          <cell r="BA99"/>
          <cell r="BB99"/>
          <cell r="BC99"/>
          <cell r="BD99"/>
          <cell r="BE99"/>
          <cell r="BF99"/>
          <cell r="BG99"/>
          <cell r="BH99"/>
          <cell r="BI99"/>
          <cell r="BJ99"/>
          <cell r="BK99"/>
          <cell r="BL99"/>
          <cell r="BM99"/>
          <cell r="BN99"/>
          <cell r="BO99"/>
          <cell r="BP99"/>
          <cell r="BQ99"/>
          <cell r="BR99"/>
          <cell r="BS99"/>
          <cell r="BT99"/>
          <cell r="BU99"/>
          <cell r="BV99"/>
          <cell r="BW99"/>
          <cell r="BX99"/>
          <cell r="BY99"/>
          <cell r="BZ99"/>
          <cell r="CA99"/>
          <cell r="CB99"/>
          <cell r="CC99"/>
          <cell r="CD99"/>
        </row>
        <row r="100">
          <cell r="A100" t="str">
            <v>XI</v>
          </cell>
          <cell r="B100" t="str">
            <v>D</v>
          </cell>
          <cell r="C100">
            <v>10101</v>
          </cell>
          <cell r="D100">
            <v>18687</v>
          </cell>
          <cell r="E100">
            <v>10101</v>
          </cell>
          <cell r="F100">
            <v>14343</v>
          </cell>
          <cell r="G100">
            <v>16465</v>
          </cell>
          <cell r="H100">
            <v>18687</v>
          </cell>
          <cell r="I100">
            <v>20808</v>
          </cell>
          <cell r="J100">
            <v>10101</v>
          </cell>
          <cell r="K100">
            <v>14343</v>
          </cell>
          <cell r="L100">
            <v>16465</v>
          </cell>
          <cell r="M100">
            <v>11017</v>
          </cell>
          <cell r="N100">
            <v>20381</v>
          </cell>
          <cell r="O100">
            <v>11017</v>
          </cell>
          <cell r="P100">
            <v>15644</v>
          </cell>
          <cell r="Q100">
            <v>17958</v>
          </cell>
          <cell r="R100">
            <v>20381</v>
          </cell>
          <cell r="S100">
            <v>22695</v>
          </cell>
          <cell r="T100">
            <v>11017</v>
          </cell>
          <cell r="U100">
            <v>15644</v>
          </cell>
          <cell r="V100">
            <v>17958</v>
          </cell>
          <cell r="W100"/>
          <cell r="X100"/>
          <cell r="Y100"/>
          <cell r="Z100"/>
          <cell r="AA100"/>
          <cell r="AB100"/>
          <cell r="AC100"/>
          <cell r="AD100"/>
          <cell r="AE100"/>
          <cell r="AF100"/>
          <cell r="AG100"/>
          <cell r="AH100"/>
          <cell r="AI100"/>
          <cell r="AJ100"/>
          <cell r="AK100"/>
          <cell r="AL100"/>
          <cell r="AM100"/>
          <cell r="AN100"/>
          <cell r="AO100"/>
          <cell r="AP100"/>
          <cell r="AQ100"/>
          <cell r="AR100"/>
          <cell r="AS100"/>
          <cell r="AT100"/>
          <cell r="AU100"/>
          <cell r="AV100"/>
          <cell r="AW100"/>
          <cell r="AX100"/>
          <cell r="AY100"/>
          <cell r="AZ100"/>
          <cell r="BA100"/>
          <cell r="BB100"/>
          <cell r="BC100"/>
          <cell r="BD100"/>
          <cell r="BE100"/>
          <cell r="BF100"/>
          <cell r="BG100"/>
          <cell r="BH100"/>
          <cell r="BI100"/>
          <cell r="BJ100"/>
          <cell r="BK100"/>
          <cell r="BL100"/>
          <cell r="BM100"/>
          <cell r="BN100"/>
          <cell r="BO100"/>
          <cell r="BP100"/>
          <cell r="BQ100"/>
          <cell r="BR100"/>
          <cell r="BS100"/>
          <cell r="BT100"/>
          <cell r="BU100"/>
          <cell r="BV100"/>
          <cell r="BW100"/>
          <cell r="BX100"/>
          <cell r="BY100"/>
          <cell r="BZ100"/>
          <cell r="CA100"/>
          <cell r="CB100"/>
          <cell r="CC100"/>
          <cell r="CD100"/>
        </row>
        <row r="101">
          <cell r="A101" t="str">
            <v>XI</v>
          </cell>
          <cell r="B101" t="str">
            <v>B</v>
          </cell>
          <cell r="C101">
            <v>12323</v>
          </cell>
          <cell r="D101">
            <v>22798</v>
          </cell>
          <cell r="E101">
            <v>12323</v>
          </cell>
          <cell r="F101">
            <v>17498</v>
          </cell>
          <cell r="G101">
            <v>20087</v>
          </cell>
          <cell r="H101">
            <v>22798</v>
          </cell>
          <cell r="I101">
            <v>25386</v>
          </cell>
          <cell r="J101">
            <v>12323</v>
          </cell>
          <cell r="K101">
            <v>17498</v>
          </cell>
          <cell r="L101">
            <v>20087</v>
          </cell>
          <cell r="M101">
            <v>13441</v>
          </cell>
          <cell r="N101">
            <v>24865</v>
          </cell>
          <cell r="O101">
            <v>13441</v>
          </cell>
          <cell r="P101">
            <v>19086</v>
          </cell>
          <cell r="Q101">
            <v>21909</v>
          </cell>
          <cell r="R101">
            <v>24865</v>
          </cell>
          <cell r="S101">
            <v>27688</v>
          </cell>
          <cell r="T101">
            <v>13441</v>
          </cell>
          <cell r="U101">
            <v>19086</v>
          </cell>
          <cell r="V101">
            <v>21909</v>
          </cell>
          <cell r="W101"/>
          <cell r="X101"/>
          <cell r="Y101"/>
          <cell r="Z101"/>
          <cell r="AA101"/>
          <cell r="AB101"/>
          <cell r="AC101"/>
          <cell r="AD101"/>
          <cell r="AE101"/>
          <cell r="AF101"/>
          <cell r="AG101"/>
          <cell r="AH101"/>
          <cell r="AI101"/>
          <cell r="AJ101"/>
          <cell r="AK101"/>
          <cell r="AL101"/>
          <cell r="AM101"/>
          <cell r="AN101"/>
          <cell r="AO101"/>
          <cell r="AP101"/>
          <cell r="AQ101"/>
          <cell r="AR101"/>
          <cell r="AS101"/>
          <cell r="AT101"/>
          <cell r="AU101"/>
          <cell r="AV101"/>
          <cell r="AW101"/>
          <cell r="AX101"/>
          <cell r="AY101"/>
          <cell r="AZ101"/>
          <cell r="BA101"/>
          <cell r="BB101"/>
          <cell r="BC101"/>
          <cell r="BD101"/>
          <cell r="BE101"/>
          <cell r="BF101"/>
          <cell r="BG101"/>
          <cell r="BH101"/>
          <cell r="BI101"/>
          <cell r="BJ101"/>
          <cell r="BK101"/>
          <cell r="BL101"/>
          <cell r="BM101"/>
          <cell r="BN101"/>
          <cell r="BO101"/>
          <cell r="BP101"/>
          <cell r="BQ101"/>
          <cell r="BR101"/>
          <cell r="BS101"/>
          <cell r="BT101"/>
          <cell r="BU101"/>
          <cell r="BV101"/>
          <cell r="BW101"/>
          <cell r="BX101"/>
          <cell r="BY101"/>
          <cell r="BZ101"/>
          <cell r="CA101"/>
          <cell r="CB101"/>
          <cell r="CC101"/>
          <cell r="CD101"/>
        </row>
        <row r="102">
          <cell r="A102" t="str">
            <v>XI</v>
          </cell>
          <cell r="B102" t="str">
            <v>A-S</v>
          </cell>
          <cell r="C102">
            <v>13434</v>
          </cell>
          <cell r="D102">
            <v>24854</v>
          </cell>
          <cell r="E102">
            <v>13434</v>
          </cell>
          <cell r="F102">
            <v>19076</v>
          </cell>
          <cell r="G102">
            <v>21898</v>
          </cell>
          <cell r="H102">
            <v>24854</v>
          </cell>
          <cell r="I102">
            <v>27675</v>
          </cell>
          <cell r="J102">
            <v>13434</v>
          </cell>
          <cell r="K102">
            <v>19076</v>
          </cell>
          <cell r="L102">
            <v>21898</v>
          </cell>
          <cell r="M102">
            <v>14653</v>
          </cell>
          <cell r="N102">
            <v>27107</v>
          </cell>
          <cell r="O102">
            <v>14653</v>
          </cell>
          <cell r="P102">
            <v>20807</v>
          </cell>
          <cell r="Q102">
            <v>23884</v>
          </cell>
          <cell r="R102">
            <v>27107</v>
          </cell>
          <cell r="S102">
            <v>30184</v>
          </cell>
          <cell r="T102">
            <v>14653</v>
          </cell>
          <cell r="U102">
            <v>20807</v>
          </cell>
          <cell r="V102">
            <v>23884</v>
          </cell>
          <cell r="W102"/>
          <cell r="X102"/>
          <cell r="Y102"/>
          <cell r="Z102"/>
          <cell r="AA102"/>
          <cell r="AB102"/>
          <cell r="AC102"/>
          <cell r="AD102"/>
          <cell r="AE102"/>
          <cell r="AF102"/>
          <cell r="AG102"/>
          <cell r="AH102"/>
          <cell r="AI102"/>
          <cell r="AJ102"/>
          <cell r="AK102"/>
          <cell r="AL102"/>
          <cell r="AM102"/>
          <cell r="AN102"/>
          <cell r="AO102"/>
          <cell r="AP102"/>
          <cell r="AQ102"/>
          <cell r="AR102"/>
          <cell r="AS102"/>
          <cell r="AT102"/>
          <cell r="AU102"/>
          <cell r="AV102"/>
          <cell r="AW102"/>
          <cell r="AX102"/>
          <cell r="AY102"/>
          <cell r="AZ102"/>
          <cell r="BA102"/>
          <cell r="BB102"/>
          <cell r="BC102"/>
          <cell r="BD102"/>
          <cell r="BE102"/>
          <cell r="BF102"/>
          <cell r="BG102"/>
          <cell r="BH102"/>
          <cell r="BI102"/>
          <cell r="BJ102"/>
          <cell r="BK102"/>
          <cell r="BL102"/>
          <cell r="BM102"/>
          <cell r="BN102"/>
          <cell r="BO102"/>
          <cell r="BP102"/>
          <cell r="BQ102"/>
          <cell r="BR102"/>
          <cell r="BS102"/>
          <cell r="BT102"/>
          <cell r="BU102"/>
          <cell r="BV102"/>
          <cell r="BW102"/>
          <cell r="BX102"/>
          <cell r="BY102"/>
          <cell r="BZ102"/>
          <cell r="CA102"/>
          <cell r="CB102"/>
          <cell r="CC102"/>
          <cell r="CD102"/>
        </row>
        <row r="103">
          <cell r="A103" t="str">
            <v>XII</v>
          </cell>
          <cell r="B103" t="str">
            <v>D</v>
          </cell>
          <cell r="C103">
            <v>11119</v>
          </cell>
          <cell r="D103">
            <v>20570</v>
          </cell>
          <cell r="E103">
            <v>11119</v>
          </cell>
          <cell r="F103">
            <v>15789</v>
          </cell>
          <cell r="G103">
            <v>18124</v>
          </cell>
          <cell r="H103">
            <v>20570</v>
          </cell>
          <cell r="I103">
            <v>22905</v>
          </cell>
          <cell r="J103">
            <v>11119</v>
          </cell>
          <cell r="K103">
            <v>15789</v>
          </cell>
          <cell r="L103">
            <v>18124</v>
          </cell>
          <cell r="M103">
            <v>11899</v>
          </cell>
          <cell r="N103">
            <v>22013</v>
          </cell>
          <cell r="O103">
            <v>11899</v>
          </cell>
          <cell r="P103">
            <v>16897</v>
          </cell>
          <cell r="Q103">
            <v>19395</v>
          </cell>
          <cell r="R103">
            <v>22013</v>
          </cell>
          <cell r="S103">
            <v>24512</v>
          </cell>
          <cell r="T103">
            <v>11899</v>
          </cell>
          <cell r="U103">
            <v>16897</v>
          </cell>
          <cell r="V103">
            <v>19395</v>
          </cell>
          <cell r="W103"/>
          <cell r="X103"/>
          <cell r="Y103"/>
          <cell r="Z103"/>
          <cell r="AA103"/>
          <cell r="AB103"/>
          <cell r="AC103"/>
          <cell r="AD103"/>
          <cell r="AE103"/>
          <cell r="AF103"/>
          <cell r="AG103"/>
          <cell r="AH103"/>
          <cell r="AI103"/>
          <cell r="AJ103"/>
          <cell r="AK103"/>
          <cell r="AL103"/>
          <cell r="AM103"/>
          <cell r="AN103"/>
          <cell r="AO103"/>
          <cell r="AP103"/>
          <cell r="AQ103"/>
          <cell r="AR103"/>
          <cell r="AS103"/>
          <cell r="AT103"/>
          <cell r="AU103"/>
          <cell r="AV103"/>
          <cell r="AW103"/>
          <cell r="AX103"/>
          <cell r="AY103"/>
          <cell r="AZ103"/>
          <cell r="BA103"/>
          <cell r="BB103"/>
          <cell r="BC103"/>
          <cell r="BD103"/>
          <cell r="BE103"/>
          <cell r="BF103"/>
          <cell r="BG103"/>
          <cell r="BH103"/>
          <cell r="BI103"/>
          <cell r="BJ103"/>
          <cell r="BK103"/>
          <cell r="BL103"/>
          <cell r="BM103"/>
          <cell r="BN103"/>
          <cell r="BO103"/>
          <cell r="BP103"/>
          <cell r="BQ103"/>
          <cell r="BR103"/>
          <cell r="BS103"/>
          <cell r="BT103"/>
          <cell r="BU103"/>
          <cell r="BV103"/>
          <cell r="BW103"/>
          <cell r="BX103"/>
          <cell r="BY103"/>
          <cell r="BZ103"/>
          <cell r="CA103"/>
          <cell r="CB103"/>
          <cell r="CC103"/>
          <cell r="CD103"/>
        </row>
        <row r="104">
          <cell r="A104" t="str">
            <v>XII</v>
          </cell>
          <cell r="B104" t="str">
            <v>B</v>
          </cell>
          <cell r="C104">
            <v>13565</v>
          </cell>
          <cell r="D104">
            <v>25095</v>
          </cell>
          <cell r="E104">
            <v>13565</v>
          </cell>
          <cell r="F104">
            <v>19263</v>
          </cell>
          <cell r="G104">
            <v>22111</v>
          </cell>
          <cell r="H104">
            <v>25095</v>
          </cell>
          <cell r="I104">
            <v>27944</v>
          </cell>
          <cell r="J104">
            <v>13565</v>
          </cell>
          <cell r="K104">
            <v>19263</v>
          </cell>
          <cell r="L104">
            <v>22111</v>
          </cell>
          <cell r="M104">
            <v>14517</v>
          </cell>
          <cell r="N104">
            <v>26856</v>
          </cell>
          <cell r="O104">
            <v>14517</v>
          </cell>
          <cell r="P104">
            <v>20614</v>
          </cell>
          <cell r="Q104">
            <v>23662</v>
          </cell>
          <cell r="R104">
            <v>26856</v>
          </cell>
          <cell r="S104">
            <v>29905</v>
          </cell>
          <cell r="T104">
            <v>14517</v>
          </cell>
          <cell r="U104">
            <v>20614</v>
          </cell>
          <cell r="V104">
            <v>23662</v>
          </cell>
          <cell r="W104"/>
          <cell r="X104"/>
          <cell r="Y104"/>
          <cell r="Z104"/>
          <cell r="AA104"/>
          <cell r="AB104"/>
          <cell r="AC104"/>
          <cell r="AD104"/>
          <cell r="AE104"/>
          <cell r="AF104"/>
          <cell r="AG104"/>
          <cell r="AH104"/>
          <cell r="AI104"/>
          <cell r="AJ104"/>
          <cell r="AK104"/>
          <cell r="AL104"/>
          <cell r="AM104"/>
          <cell r="AN104"/>
          <cell r="AO104"/>
          <cell r="AP104"/>
          <cell r="AQ104"/>
          <cell r="AR104"/>
          <cell r="AS104"/>
          <cell r="AT104"/>
          <cell r="AU104"/>
          <cell r="AV104"/>
          <cell r="AW104"/>
          <cell r="AX104"/>
          <cell r="AY104"/>
          <cell r="AZ104"/>
          <cell r="BA104"/>
          <cell r="BB104"/>
          <cell r="BC104"/>
          <cell r="BD104"/>
          <cell r="BE104"/>
          <cell r="BF104"/>
          <cell r="BG104"/>
          <cell r="BH104"/>
          <cell r="BI104"/>
          <cell r="BJ104"/>
          <cell r="BK104"/>
          <cell r="BL104"/>
          <cell r="BM104"/>
          <cell r="BN104"/>
          <cell r="BO104"/>
          <cell r="BP104"/>
          <cell r="BQ104"/>
          <cell r="BR104"/>
          <cell r="BS104"/>
          <cell r="BT104"/>
          <cell r="BU104"/>
          <cell r="BV104"/>
          <cell r="BW104"/>
          <cell r="BX104"/>
          <cell r="BY104"/>
          <cell r="BZ104"/>
          <cell r="CA104"/>
          <cell r="CB104"/>
          <cell r="CC104"/>
          <cell r="CD104"/>
        </row>
        <row r="105">
          <cell r="A105" t="str">
            <v>XII</v>
          </cell>
          <cell r="B105" t="str">
            <v>A-S</v>
          </cell>
          <cell r="C105">
            <v>14788</v>
          </cell>
          <cell r="D105">
            <v>27358</v>
          </cell>
          <cell r="E105">
            <v>14788</v>
          </cell>
          <cell r="F105">
            <v>20999</v>
          </cell>
          <cell r="G105">
            <v>24105</v>
          </cell>
          <cell r="H105">
            <v>27358</v>
          </cell>
          <cell r="I105">
            <v>30464</v>
          </cell>
          <cell r="J105">
            <v>14788</v>
          </cell>
          <cell r="K105">
            <v>20999</v>
          </cell>
          <cell r="L105">
            <v>24105</v>
          </cell>
          <cell r="M105">
            <v>15826</v>
          </cell>
          <cell r="N105">
            <v>29277</v>
          </cell>
          <cell r="O105">
            <v>15826</v>
          </cell>
          <cell r="P105">
            <v>22473</v>
          </cell>
          <cell r="Q105">
            <v>25795</v>
          </cell>
          <cell r="R105">
            <v>29277</v>
          </cell>
          <cell r="S105">
            <v>32601</v>
          </cell>
          <cell r="T105">
            <v>15826</v>
          </cell>
          <cell r="U105">
            <v>22473</v>
          </cell>
          <cell r="V105">
            <v>25795</v>
          </cell>
          <cell r="W105"/>
          <cell r="X105"/>
          <cell r="Y105"/>
          <cell r="Z105"/>
          <cell r="AA105"/>
          <cell r="AB105"/>
          <cell r="AC105"/>
          <cell r="AD105"/>
          <cell r="AE105"/>
          <cell r="AF105"/>
          <cell r="AG105"/>
          <cell r="AH105"/>
          <cell r="AI105"/>
          <cell r="AJ105"/>
          <cell r="AK105"/>
          <cell r="AL105"/>
          <cell r="AM105"/>
          <cell r="AN105"/>
          <cell r="AO105"/>
          <cell r="AP105"/>
          <cell r="AQ105"/>
          <cell r="AR105"/>
          <cell r="AS105"/>
          <cell r="AT105"/>
          <cell r="AU105"/>
          <cell r="AV105"/>
          <cell r="AW105"/>
          <cell r="AX105"/>
          <cell r="AY105"/>
          <cell r="AZ105"/>
          <cell r="BA105"/>
          <cell r="BB105"/>
          <cell r="BC105"/>
          <cell r="BD105"/>
          <cell r="BE105"/>
          <cell r="BF105"/>
          <cell r="BG105"/>
          <cell r="BH105"/>
          <cell r="BI105"/>
          <cell r="BJ105"/>
          <cell r="BK105"/>
          <cell r="BL105"/>
          <cell r="BM105"/>
          <cell r="BN105"/>
          <cell r="BO105"/>
          <cell r="BP105"/>
          <cell r="BQ105"/>
          <cell r="BR105"/>
          <cell r="BS105"/>
          <cell r="BT105"/>
          <cell r="BU105"/>
          <cell r="BV105"/>
          <cell r="BW105"/>
          <cell r="BX105"/>
          <cell r="BY105"/>
          <cell r="BZ105"/>
          <cell r="CA105"/>
          <cell r="CB105"/>
          <cell r="CC105"/>
          <cell r="CD105"/>
        </row>
      </sheetData>
      <sheetData sheetId="3">
        <row r="6">
          <cell r="B6" t="str">
            <v>ASIG. VIANDA COMP. NO REM.</v>
          </cell>
          <cell r="C6" t="str">
            <v>BONO PAZ SOCIAL</v>
          </cell>
          <cell r="D6" t="str">
            <v>VIANDA AYUDA ALIMENTARIA</v>
          </cell>
          <cell r="E6" t="str">
            <v>VIANDA DESAYUNO</v>
          </cell>
          <cell r="F6" t="str">
            <v>VIANDA MERIENDA</v>
          </cell>
          <cell r="G6" t="str">
            <v>VIANDA EXPEDIENTE</v>
          </cell>
          <cell r="H6" t="str">
            <v>VIANDA ALIMENTACIÓN DIARIA</v>
          </cell>
          <cell r="I6" t="str">
            <v>Hora de Viaje</v>
          </cell>
          <cell r="J6" t="str">
            <v>ADIC. ESPERA TRANSPORTE</v>
          </cell>
          <cell r="K6" t="str">
            <v>Adic. Torre (Título II)</v>
          </cell>
          <cell r="L6" t="str">
            <v>Adic. Torre (Título III)</v>
          </cell>
          <cell r="M6" t="str">
            <v>ADIC. TRABAJO EN ALTURA</v>
          </cell>
          <cell r="N6" t="str">
            <v>Adic. Yacimiento/Prod.</v>
          </cell>
          <cell r="O6" t="str">
            <v>ADIC. DISPONIBILIDAD</v>
          </cell>
          <cell r="P6" t="str">
            <v>ADIC. ESPECIAL</v>
          </cell>
          <cell r="Q6" t="str">
            <v>ADIC. CHOFER TRANS. PERSONAL</v>
          </cell>
          <cell r="R6" t="str">
            <v>Antigüedad</v>
          </cell>
          <cell r="S6" t="str">
            <v>PP - Guardia Pasiva</v>
          </cell>
          <cell r="T6" t="str">
            <v>PJ - Guardia Pasiva Lunes a Viernes</v>
          </cell>
          <cell r="U6" t="str">
            <v>PJ - Guardia Pasiva Sábado, Domingo y Feriado</v>
          </cell>
          <cell r="V6" t="str">
            <v>Presentismo y Puntualidad</v>
          </cell>
          <cell r="W6" t="str">
            <v>COMPLEM. PRESENTISMO    (1)</v>
          </cell>
          <cell r="X6" t="str">
            <v>COMPLEM. PRESENTISMO    (2)</v>
          </cell>
          <cell r="Y6" t="str">
            <v>COMPLEM. PRESENTISMO    (3)</v>
          </cell>
          <cell r="Z6" t="str">
            <v>COMPLEM. PRESENTISMO    (4)</v>
          </cell>
          <cell r="AA6" t="str">
            <v>Suplemento Presentismo</v>
          </cell>
          <cell r="AB6" t="str">
            <v>SUBSIDIO FALLECIMIENTO</v>
          </cell>
          <cell r="AC6" t="str">
            <v>ASIG. VIANDA COMP. NO REM.</v>
          </cell>
          <cell r="AD6" t="str">
            <v>BONO PAZ SOCIAL</v>
          </cell>
          <cell r="AE6" t="str">
            <v>VIANDA AYUDA ALIMENTARIA</v>
          </cell>
          <cell r="AF6" t="str">
            <v>VIANDA DESAYUNO</v>
          </cell>
          <cell r="AG6" t="str">
            <v>VIANDA MERIENDA</v>
          </cell>
          <cell r="AH6" t="str">
            <v>VIANDA EXPEDIENTE</v>
          </cell>
          <cell r="AI6" t="str">
            <v>VIANDA ALIMENTACIÓN DIARIA</v>
          </cell>
          <cell r="AJ6" t="str">
            <v>Hora de Viaje</v>
          </cell>
          <cell r="AK6" t="str">
            <v>ADIC. ESPERA TRANSPORTE</v>
          </cell>
          <cell r="AL6" t="str">
            <v>Adic. Torre (Título II)</v>
          </cell>
          <cell r="AM6" t="str">
            <v>Adic. Torre (Título III)</v>
          </cell>
          <cell r="AN6" t="str">
            <v>Adic. Torre SPJ</v>
          </cell>
          <cell r="AO6" t="str">
            <v>ADIC. TRABAJO EN ALTURA</v>
          </cell>
          <cell r="AP6" t="str">
            <v>Adic. Yacimiento/Prod.</v>
          </cell>
          <cell r="AQ6" t="str">
            <v>ADIC. DISPONIBILIDAD</v>
          </cell>
          <cell r="AR6" t="str">
            <v>ADIC. ESPECIAL</v>
          </cell>
          <cell r="AS6" t="str">
            <v>ADIC. CHOFER TRANS. PERSONAL</v>
          </cell>
          <cell r="AT6" t="str">
            <v>Antigüedad</v>
          </cell>
          <cell r="AU6" t="str">
            <v>PP - Guardia Pasiva</v>
          </cell>
          <cell r="AV6" t="str">
            <v>PJ - Guardia Pasiva Lunes a Viernes</v>
          </cell>
          <cell r="AW6" t="str">
            <v>PJ - Guardia Pasiva Sábado, Domingo y Feriado</v>
          </cell>
          <cell r="AX6" t="str">
            <v>Presentismo y Puntualidad</v>
          </cell>
          <cell r="AY6" t="str">
            <v>COMPLEM. PRESENTISMO    (1)</v>
          </cell>
          <cell r="AZ6" t="str">
            <v>COMPLEM. PRESENTISMO    (2)</v>
          </cell>
          <cell r="BA6" t="str">
            <v>COMPLEM. PRESENTISMO    (3)</v>
          </cell>
          <cell r="BB6" t="str">
            <v>COMPLEM. PRESENTISMO    (4)</v>
          </cell>
          <cell r="BC6" t="str">
            <v>Suplemento Presentismo</v>
          </cell>
          <cell r="BD6" t="str">
            <v>SUBSIDIO FALLECIMIENTO</v>
          </cell>
        </row>
        <row r="7">
          <cell r="B7">
            <v>42917</v>
          </cell>
          <cell r="C7">
            <v>42917</v>
          </cell>
          <cell r="D7">
            <v>42917</v>
          </cell>
          <cell r="E7">
            <v>42917</v>
          </cell>
          <cell r="F7">
            <v>42917</v>
          </cell>
          <cell r="G7">
            <v>42917</v>
          </cell>
          <cell r="H7">
            <v>42917</v>
          </cell>
          <cell r="I7">
            <v>42917</v>
          </cell>
          <cell r="J7">
            <v>42917</v>
          </cell>
          <cell r="K7">
            <v>42917</v>
          </cell>
          <cell r="L7">
            <v>42917</v>
          </cell>
          <cell r="M7">
            <v>42917</v>
          </cell>
          <cell r="N7">
            <v>42917</v>
          </cell>
          <cell r="O7">
            <v>42917</v>
          </cell>
          <cell r="P7">
            <v>42917</v>
          </cell>
          <cell r="Q7">
            <v>42917</v>
          </cell>
          <cell r="R7">
            <v>42917</v>
          </cell>
          <cell r="S7">
            <v>42917</v>
          </cell>
          <cell r="T7">
            <v>42917</v>
          </cell>
          <cell r="U7">
            <v>42917</v>
          </cell>
          <cell r="V7">
            <v>42917</v>
          </cell>
          <cell r="W7">
            <v>42917</v>
          </cell>
          <cell r="X7">
            <v>42917</v>
          </cell>
          <cell r="Y7">
            <v>42917</v>
          </cell>
          <cell r="Z7">
            <v>42917</v>
          </cell>
          <cell r="AA7">
            <v>42917</v>
          </cell>
          <cell r="AB7">
            <v>42917</v>
          </cell>
          <cell r="AC7">
            <v>43009</v>
          </cell>
          <cell r="AD7">
            <v>43009</v>
          </cell>
          <cell r="AE7">
            <v>43009</v>
          </cell>
          <cell r="AF7">
            <v>43009</v>
          </cell>
          <cell r="AG7">
            <v>43009</v>
          </cell>
          <cell r="AH7">
            <v>43009</v>
          </cell>
          <cell r="AI7">
            <v>43009</v>
          </cell>
          <cell r="AJ7">
            <v>43009</v>
          </cell>
          <cell r="AK7">
            <v>43009</v>
          </cell>
          <cell r="AL7">
            <v>43009</v>
          </cell>
          <cell r="AM7">
            <v>43009</v>
          </cell>
          <cell r="AN7">
            <v>43009</v>
          </cell>
          <cell r="AO7">
            <v>43009</v>
          </cell>
          <cell r="AP7">
            <v>43009</v>
          </cell>
          <cell r="AQ7">
            <v>43009</v>
          </cell>
          <cell r="AR7">
            <v>43009</v>
          </cell>
          <cell r="AS7">
            <v>43009</v>
          </cell>
          <cell r="AT7">
            <v>43009</v>
          </cell>
          <cell r="AU7">
            <v>43009</v>
          </cell>
          <cell r="AV7">
            <v>43009</v>
          </cell>
          <cell r="AW7">
            <v>43009</v>
          </cell>
          <cell r="AX7">
            <v>43009</v>
          </cell>
          <cell r="AY7">
            <v>43009</v>
          </cell>
          <cell r="AZ7">
            <v>43009</v>
          </cell>
          <cell r="BA7">
            <v>43009</v>
          </cell>
          <cell r="BB7">
            <v>43009</v>
          </cell>
          <cell r="BC7">
            <v>43009</v>
          </cell>
          <cell r="BD7">
            <v>43009</v>
          </cell>
        </row>
        <row r="8">
          <cell r="A8" t="str">
            <v>PETROLERO RN, NQN Y LP (644/12)</v>
          </cell>
          <cell r="B8">
            <v>1846</v>
          </cell>
          <cell r="C8">
            <v>3523</v>
          </cell>
          <cell r="D8">
            <v>262</v>
          </cell>
          <cell r="E8">
            <v>74</v>
          </cell>
          <cell r="F8">
            <v>74</v>
          </cell>
          <cell r="G8">
            <v>262</v>
          </cell>
          <cell r="H8">
            <v>524</v>
          </cell>
          <cell r="I8">
            <v>85</v>
          </cell>
          <cell r="J8" t="str">
            <v>1 hr. Extra + 100%</v>
          </cell>
          <cell r="K8">
            <v>5635</v>
          </cell>
          <cell r="L8">
            <v>5635</v>
          </cell>
          <cell r="M8">
            <v>0</v>
          </cell>
          <cell r="N8">
            <v>1973</v>
          </cell>
          <cell r="O8">
            <v>1973</v>
          </cell>
          <cell r="P8">
            <v>0</v>
          </cell>
          <cell r="Q8">
            <v>1973</v>
          </cell>
          <cell r="R8">
            <v>85</v>
          </cell>
          <cell r="S8">
            <v>308</v>
          </cell>
          <cell r="T8">
            <v>0</v>
          </cell>
          <cell r="U8"/>
          <cell r="V8">
            <v>0.06</v>
          </cell>
          <cell r="W8">
            <v>1202</v>
          </cell>
          <cell r="X8">
            <v>1803</v>
          </cell>
          <cell r="Y8">
            <v>3605</v>
          </cell>
          <cell r="Z8">
            <v>4208</v>
          </cell>
          <cell r="AA8">
            <v>10818</v>
          </cell>
          <cell r="AB8">
            <v>14606</v>
          </cell>
          <cell r="AC8">
            <v>1846</v>
          </cell>
          <cell r="AD8">
            <v>3844</v>
          </cell>
          <cell r="AE8">
            <v>286</v>
          </cell>
          <cell r="AF8">
            <v>80</v>
          </cell>
          <cell r="AG8">
            <v>80</v>
          </cell>
          <cell r="AH8">
            <v>286</v>
          </cell>
          <cell r="AI8">
            <v>572</v>
          </cell>
          <cell r="AJ8">
            <v>92</v>
          </cell>
          <cell r="AK8" t="str">
            <v>1 hr. Extra + 100%</v>
          </cell>
          <cell r="AL8">
            <v>6148</v>
          </cell>
          <cell r="AM8">
            <v>6148</v>
          </cell>
          <cell r="AN8">
            <v>0</v>
          </cell>
          <cell r="AO8">
            <v>0</v>
          </cell>
          <cell r="AP8">
            <v>2153</v>
          </cell>
          <cell r="AQ8">
            <v>2153</v>
          </cell>
          <cell r="AR8">
            <v>0</v>
          </cell>
          <cell r="AS8">
            <v>2153</v>
          </cell>
          <cell r="AT8">
            <v>92</v>
          </cell>
          <cell r="AU8">
            <v>336</v>
          </cell>
          <cell r="AV8">
            <v>0</v>
          </cell>
          <cell r="AW8">
            <v>0</v>
          </cell>
          <cell r="AX8">
            <v>0.06</v>
          </cell>
          <cell r="AY8">
            <v>1312</v>
          </cell>
          <cell r="AZ8">
            <v>1967</v>
          </cell>
          <cell r="BA8">
            <v>3932</v>
          </cell>
          <cell r="BB8">
            <v>4590</v>
          </cell>
          <cell r="BC8">
            <v>11801</v>
          </cell>
          <cell r="BD8">
            <v>15934</v>
          </cell>
        </row>
        <row r="9">
          <cell r="A9" t="str">
            <v>PETROLERO FASP (643/12)</v>
          </cell>
          <cell r="B9">
            <v>1846</v>
          </cell>
          <cell r="C9">
            <v>3523</v>
          </cell>
          <cell r="D9">
            <v>262</v>
          </cell>
          <cell r="E9">
            <v>74</v>
          </cell>
          <cell r="F9">
            <v>74</v>
          </cell>
          <cell r="G9">
            <v>262</v>
          </cell>
          <cell r="H9">
            <v>524</v>
          </cell>
          <cell r="I9">
            <v>85</v>
          </cell>
          <cell r="J9" t="str">
            <v>1 hr. Extra + 100%</v>
          </cell>
          <cell r="K9">
            <v>5635</v>
          </cell>
          <cell r="L9">
            <v>5635</v>
          </cell>
          <cell r="M9">
            <v>1973</v>
          </cell>
          <cell r="N9">
            <v>1973</v>
          </cell>
          <cell r="O9">
            <v>1973</v>
          </cell>
          <cell r="P9">
            <v>0</v>
          </cell>
          <cell r="Q9">
            <v>1973</v>
          </cell>
          <cell r="R9">
            <v>85</v>
          </cell>
          <cell r="S9">
            <v>308</v>
          </cell>
          <cell r="T9"/>
          <cell r="U9"/>
          <cell r="V9">
            <v>0.06</v>
          </cell>
          <cell r="W9">
            <v>1202</v>
          </cell>
          <cell r="X9">
            <v>1803</v>
          </cell>
          <cell r="Y9">
            <v>3605</v>
          </cell>
          <cell r="Z9">
            <v>4208</v>
          </cell>
          <cell r="AA9">
            <v>10818</v>
          </cell>
          <cell r="AB9">
            <v>0</v>
          </cell>
          <cell r="AC9">
            <v>1846</v>
          </cell>
          <cell r="AD9">
            <v>3844</v>
          </cell>
          <cell r="AE9">
            <v>286</v>
          </cell>
          <cell r="AF9">
            <v>80</v>
          </cell>
          <cell r="AG9">
            <v>80</v>
          </cell>
          <cell r="AH9">
            <v>286</v>
          </cell>
          <cell r="AI9">
            <v>572</v>
          </cell>
          <cell r="AJ9">
            <v>92</v>
          </cell>
          <cell r="AK9" t="str">
            <v>1 hr. Extra + 100%</v>
          </cell>
          <cell r="AL9">
            <v>6148</v>
          </cell>
          <cell r="AM9">
            <v>6148</v>
          </cell>
          <cell r="AN9">
            <v>0</v>
          </cell>
          <cell r="AO9">
            <v>2153</v>
          </cell>
          <cell r="AP9">
            <v>2153</v>
          </cell>
          <cell r="AQ9">
            <v>2153</v>
          </cell>
          <cell r="AR9">
            <v>0</v>
          </cell>
          <cell r="AS9">
            <v>2153</v>
          </cell>
          <cell r="AT9">
            <v>92</v>
          </cell>
          <cell r="AU9">
            <v>336</v>
          </cell>
          <cell r="AV9">
            <v>0</v>
          </cell>
          <cell r="AW9">
            <v>0</v>
          </cell>
          <cell r="AX9">
            <v>0.06</v>
          </cell>
          <cell r="AY9">
            <v>1312</v>
          </cell>
          <cell r="AZ9">
            <v>1967</v>
          </cell>
          <cell r="BA9">
            <v>3932</v>
          </cell>
          <cell r="BB9">
            <v>4590</v>
          </cell>
          <cell r="BC9">
            <v>11801</v>
          </cell>
          <cell r="BD9">
            <v>0</v>
          </cell>
        </row>
        <row r="10">
          <cell r="A10" t="str">
            <v>PETROLERO CHUBUT (605/10)</v>
          </cell>
          <cell r="B10">
            <v>1846</v>
          </cell>
          <cell r="C10">
            <v>3523</v>
          </cell>
          <cell r="D10">
            <v>262</v>
          </cell>
          <cell r="E10">
            <v>74</v>
          </cell>
          <cell r="F10">
            <v>74</v>
          </cell>
          <cell r="G10">
            <v>262</v>
          </cell>
          <cell r="H10">
            <v>524</v>
          </cell>
          <cell r="I10">
            <v>85</v>
          </cell>
          <cell r="J10" t="str">
            <v>1 hr. Extra + 100%</v>
          </cell>
          <cell r="K10">
            <v>5635</v>
          </cell>
          <cell r="L10">
            <v>5635</v>
          </cell>
          <cell r="M10">
            <v>1973</v>
          </cell>
          <cell r="N10">
            <v>1973</v>
          </cell>
          <cell r="O10">
            <v>1973</v>
          </cell>
          <cell r="P10">
            <v>0</v>
          </cell>
          <cell r="Q10">
            <v>1973</v>
          </cell>
          <cell r="R10">
            <v>85</v>
          </cell>
          <cell r="S10">
            <v>3280</v>
          </cell>
          <cell r="T10">
            <v>0</v>
          </cell>
          <cell r="U10"/>
          <cell r="V10">
            <v>0.06</v>
          </cell>
          <cell r="W10">
            <v>1202</v>
          </cell>
          <cell r="X10">
            <v>1803</v>
          </cell>
          <cell r="Y10">
            <v>3605</v>
          </cell>
          <cell r="Z10">
            <v>4208</v>
          </cell>
          <cell r="AA10">
            <v>10818</v>
          </cell>
          <cell r="AB10">
            <v>5869</v>
          </cell>
          <cell r="AC10">
            <v>1846</v>
          </cell>
          <cell r="AD10">
            <v>3848</v>
          </cell>
          <cell r="AE10">
            <v>286</v>
          </cell>
          <cell r="AF10">
            <v>80</v>
          </cell>
          <cell r="AG10">
            <v>80</v>
          </cell>
          <cell r="AH10">
            <v>286</v>
          </cell>
          <cell r="AI10">
            <v>572</v>
          </cell>
          <cell r="AJ10">
            <v>92</v>
          </cell>
          <cell r="AK10" t="str">
            <v>1 hr. Extra + 100%</v>
          </cell>
          <cell r="AL10">
            <v>6148</v>
          </cell>
          <cell r="AM10">
            <v>6148</v>
          </cell>
          <cell r="AN10">
            <v>0</v>
          </cell>
          <cell r="AO10">
            <v>2153</v>
          </cell>
          <cell r="AP10">
            <v>2153</v>
          </cell>
          <cell r="AQ10">
            <v>2153</v>
          </cell>
          <cell r="AR10">
            <v>0</v>
          </cell>
          <cell r="AS10">
            <v>2153</v>
          </cell>
          <cell r="AT10">
            <v>92</v>
          </cell>
          <cell r="AU10">
            <v>3578</v>
          </cell>
          <cell r="AV10">
            <v>0</v>
          </cell>
          <cell r="AW10">
            <v>0</v>
          </cell>
          <cell r="AX10">
            <v>0.06</v>
          </cell>
          <cell r="AY10">
            <v>1312</v>
          </cell>
          <cell r="AZ10">
            <v>1967</v>
          </cell>
          <cell r="BA10">
            <v>3932</v>
          </cell>
          <cell r="BB10">
            <v>4590</v>
          </cell>
          <cell r="BC10">
            <v>11801</v>
          </cell>
          <cell r="BD10">
            <v>6402</v>
          </cell>
        </row>
        <row r="11">
          <cell r="A11" t="str">
            <v>JERARQUICO NQN (637/11)</v>
          </cell>
          <cell r="B11">
            <v>1846</v>
          </cell>
          <cell r="C11">
            <v>3528</v>
          </cell>
          <cell r="D11">
            <v>262</v>
          </cell>
          <cell r="E11">
            <v>74</v>
          </cell>
          <cell r="F11">
            <v>74</v>
          </cell>
          <cell r="G11">
            <v>262</v>
          </cell>
          <cell r="H11">
            <v>524</v>
          </cell>
          <cell r="I11">
            <v>85</v>
          </cell>
          <cell r="J11">
            <v>226</v>
          </cell>
          <cell r="K11">
            <v>5635</v>
          </cell>
          <cell r="L11">
            <v>5635</v>
          </cell>
          <cell r="M11">
            <v>0</v>
          </cell>
          <cell r="N11">
            <v>1973</v>
          </cell>
          <cell r="O11">
            <v>1973</v>
          </cell>
          <cell r="P11">
            <v>1973</v>
          </cell>
          <cell r="Q11">
            <v>0</v>
          </cell>
          <cell r="R11">
            <v>85</v>
          </cell>
          <cell r="S11">
            <v>0</v>
          </cell>
          <cell r="T11">
            <v>271</v>
          </cell>
          <cell r="U11">
            <v>420</v>
          </cell>
          <cell r="V11">
            <v>1654</v>
          </cell>
          <cell r="W11">
            <v>1654</v>
          </cell>
          <cell r="X11">
            <v>1654</v>
          </cell>
          <cell r="Y11">
            <v>1654</v>
          </cell>
          <cell r="Z11">
            <v>1654</v>
          </cell>
          <cell r="AA11">
            <v>6616</v>
          </cell>
          <cell r="AB11">
            <v>0</v>
          </cell>
          <cell r="AC11">
            <v>1846</v>
          </cell>
          <cell r="AD11">
            <v>3848</v>
          </cell>
          <cell r="AE11">
            <v>286</v>
          </cell>
          <cell r="AF11">
            <v>80</v>
          </cell>
          <cell r="AG11">
            <v>80</v>
          </cell>
          <cell r="AH11">
            <v>286</v>
          </cell>
          <cell r="AI11">
            <v>572</v>
          </cell>
          <cell r="AJ11">
            <v>92</v>
          </cell>
          <cell r="AK11">
            <v>246</v>
          </cell>
          <cell r="AL11">
            <v>0</v>
          </cell>
          <cell r="AM11">
            <v>0</v>
          </cell>
          <cell r="AN11">
            <v>6148</v>
          </cell>
          <cell r="AO11">
            <v>0</v>
          </cell>
          <cell r="AP11">
            <v>2153</v>
          </cell>
          <cell r="AQ11">
            <v>2153</v>
          </cell>
          <cell r="AR11">
            <v>2153</v>
          </cell>
          <cell r="AS11">
            <v>0</v>
          </cell>
          <cell r="AT11">
            <v>92</v>
          </cell>
          <cell r="AU11">
            <v>0</v>
          </cell>
          <cell r="AV11">
            <v>295</v>
          </cell>
          <cell r="AW11">
            <v>458</v>
          </cell>
          <cell r="AX11">
            <v>1805</v>
          </cell>
          <cell r="AY11">
            <v>1805</v>
          </cell>
          <cell r="AZ11">
            <v>1805</v>
          </cell>
          <cell r="BA11">
            <v>1805</v>
          </cell>
          <cell r="BB11">
            <v>1805</v>
          </cell>
          <cell r="BC11">
            <v>7220</v>
          </cell>
          <cell r="BD11">
            <v>0</v>
          </cell>
        </row>
        <row r="12">
          <cell r="A12" t="str">
            <v>JERARQUICO CUYO (641/11)</v>
          </cell>
          <cell r="B12">
            <v>1846</v>
          </cell>
          <cell r="C12">
            <v>3528</v>
          </cell>
          <cell r="D12">
            <v>262</v>
          </cell>
          <cell r="E12">
            <v>74</v>
          </cell>
          <cell r="F12">
            <v>74</v>
          </cell>
          <cell r="G12">
            <v>262</v>
          </cell>
          <cell r="H12">
            <v>524</v>
          </cell>
          <cell r="I12">
            <v>85</v>
          </cell>
          <cell r="J12">
            <v>0</v>
          </cell>
          <cell r="K12">
            <v>5635</v>
          </cell>
          <cell r="L12">
            <v>5635</v>
          </cell>
          <cell r="M12">
            <v>0</v>
          </cell>
          <cell r="N12">
            <v>1973</v>
          </cell>
          <cell r="O12">
            <v>1973</v>
          </cell>
          <cell r="P12">
            <v>0</v>
          </cell>
          <cell r="Q12">
            <v>0</v>
          </cell>
          <cell r="R12">
            <v>85</v>
          </cell>
          <cell r="S12">
            <v>0</v>
          </cell>
          <cell r="T12">
            <v>271</v>
          </cell>
          <cell r="U12">
            <v>420</v>
          </cell>
          <cell r="V12">
            <v>1202</v>
          </cell>
          <cell r="W12">
            <v>1505</v>
          </cell>
          <cell r="X12">
            <v>1505</v>
          </cell>
          <cell r="Y12">
            <v>1505</v>
          </cell>
          <cell r="Z12">
            <v>1505</v>
          </cell>
          <cell r="AA12">
            <v>6020</v>
          </cell>
          <cell r="AB12">
            <v>0</v>
          </cell>
          <cell r="AC12">
            <v>1846</v>
          </cell>
          <cell r="AD12">
            <v>3848</v>
          </cell>
          <cell r="AE12">
            <v>286</v>
          </cell>
          <cell r="AF12">
            <v>80</v>
          </cell>
          <cell r="AG12">
            <v>80</v>
          </cell>
          <cell r="AH12">
            <v>286</v>
          </cell>
          <cell r="AI12">
            <v>572</v>
          </cell>
          <cell r="AJ12">
            <v>92</v>
          </cell>
          <cell r="AK12">
            <v>0</v>
          </cell>
          <cell r="AL12">
            <v>0</v>
          </cell>
          <cell r="AM12">
            <v>0</v>
          </cell>
          <cell r="AN12">
            <v>6148</v>
          </cell>
          <cell r="AO12">
            <v>0</v>
          </cell>
          <cell r="AP12">
            <v>2153</v>
          </cell>
          <cell r="AQ12">
            <v>2153</v>
          </cell>
          <cell r="AR12">
            <v>0</v>
          </cell>
          <cell r="AS12">
            <v>0</v>
          </cell>
          <cell r="AT12">
            <v>92</v>
          </cell>
          <cell r="AU12">
            <v>0</v>
          </cell>
          <cell r="AV12">
            <v>295</v>
          </cell>
          <cell r="AW12">
            <v>458</v>
          </cell>
          <cell r="AX12">
            <v>1312</v>
          </cell>
          <cell r="AY12">
            <v>1642</v>
          </cell>
          <cell r="AZ12">
            <v>1642</v>
          </cell>
          <cell r="BA12">
            <v>1642</v>
          </cell>
          <cell r="BB12">
            <v>1642</v>
          </cell>
          <cell r="BC12">
            <v>6568</v>
          </cell>
          <cell r="BD12">
            <v>0</v>
          </cell>
        </row>
        <row r="13">
          <cell r="A13" t="str">
            <v>JERARQUICO PAT. AUSTRAL (611/10)</v>
          </cell>
          <cell r="B13">
            <v>1846</v>
          </cell>
          <cell r="C13">
            <v>0.05</v>
          </cell>
          <cell r="D13">
            <v>262</v>
          </cell>
          <cell r="E13">
            <v>131</v>
          </cell>
          <cell r="F13">
            <v>131</v>
          </cell>
          <cell r="G13">
            <v>262</v>
          </cell>
          <cell r="H13">
            <v>524</v>
          </cell>
          <cell r="I13">
            <v>85</v>
          </cell>
          <cell r="J13">
            <v>0</v>
          </cell>
          <cell r="K13">
            <v>5635</v>
          </cell>
          <cell r="L13">
            <v>5635</v>
          </cell>
          <cell r="M13">
            <v>0</v>
          </cell>
          <cell r="N13">
            <v>1973</v>
          </cell>
          <cell r="O13">
            <v>1973</v>
          </cell>
          <cell r="P13">
            <v>0</v>
          </cell>
          <cell r="Q13">
            <v>0</v>
          </cell>
          <cell r="R13">
            <v>85</v>
          </cell>
          <cell r="S13">
            <v>0</v>
          </cell>
          <cell r="T13">
            <v>271</v>
          </cell>
          <cell r="U13">
            <v>420</v>
          </cell>
          <cell r="V13">
            <v>1202</v>
          </cell>
          <cell r="W13">
            <v>1202</v>
          </cell>
          <cell r="X13">
            <v>2406</v>
          </cell>
          <cell r="Y13">
            <v>4208</v>
          </cell>
          <cell r="Z13">
            <v>5110</v>
          </cell>
          <cell r="AA13">
            <v>12926</v>
          </cell>
          <cell r="AB13">
            <v>0</v>
          </cell>
          <cell r="AC13">
            <v>1846</v>
          </cell>
          <cell r="AD13">
            <v>0.05</v>
          </cell>
          <cell r="AE13">
            <v>286</v>
          </cell>
          <cell r="AF13">
            <v>143</v>
          </cell>
          <cell r="AG13">
            <v>71.5</v>
          </cell>
          <cell r="AH13">
            <v>286</v>
          </cell>
          <cell r="AI13">
            <v>572</v>
          </cell>
          <cell r="AJ13">
            <v>92</v>
          </cell>
          <cell r="AK13">
            <v>0</v>
          </cell>
          <cell r="AL13">
            <v>0</v>
          </cell>
          <cell r="AM13">
            <v>0</v>
          </cell>
          <cell r="AN13">
            <v>6148</v>
          </cell>
          <cell r="AO13">
            <v>0</v>
          </cell>
          <cell r="AP13">
            <v>2153</v>
          </cell>
          <cell r="AQ13">
            <v>2153</v>
          </cell>
          <cell r="AR13">
            <v>0</v>
          </cell>
          <cell r="AS13">
            <v>0</v>
          </cell>
          <cell r="AT13">
            <v>92</v>
          </cell>
          <cell r="AU13">
            <v>0</v>
          </cell>
          <cell r="AV13">
            <v>295</v>
          </cell>
          <cell r="AW13">
            <v>458</v>
          </cell>
          <cell r="AX13">
            <v>1312</v>
          </cell>
          <cell r="AY13">
            <v>1312</v>
          </cell>
          <cell r="AZ13">
            <v>2624</v>
          </cell>
          <cell r="BA13">
            <v>4590</v>
          </cell>
          <cell r="BB13">
            <v>5574</v>
          </cell>
          <cell r="BC13">
            <v>14100</v>
          </cell>
          <cell r="BD13">
            <v>0</v>
          </cell>
        </row>
        <row r="14">
          <cell r="A14" t="str">
            <v>JERARQUICO STA Y JUJUY</v>
          </cell>
          <cell r="B14">
            <v>1846</v>
          </cell>
          <cell r="C14">
            <v>3523</v>
          </cell>
          <cell r="D14">
            <v>262</v>
          </cell>
          <cell r="E14">
            <v>74</v>
          </cell>
          <cell r="F14">
            <v>74</v>
          </cell>
          <cell r="G14">
            <v>262</v>
          </cell>
          <cell r="H14">
            <v>524</v>
          </cell>
          <cell r="I14"/>
          <cell r="J14">
            <v>0</v>
          </cell>
          <cell r="K14">
            <v>5635</v>
          </cell>
          <cell r="L14"/>
          <cell r="M14">
            <v>0</v>
          </cell>
          <cell r="N14">
            <v>1973</v>
          </cell>
          <cell r="O14"/>
          <cell r="P14">
            <v>0</v>
          </cell>
          <cell r="Q14">
            <v>0</v>
          </cell>
          <cell r="R14">
            <v>85</v>
          </cell>
          <cell r="S14">
            <v>0</v>
          </cell>
          <cell r="T14">
            <v>0</v>
          </cell>
          <cell r="U14">
            <v>0</v>
          </cell>
          <cell r="V14">
            <v>1654</v>
          </cell>
          <cell r="W14">
            <v>1654</v>
          </cell>
          <cell r="X14">
            <v>1654</v>
          </cell>
          <cell r="Y14">
            <v>1654</v>
          </cell>
          <cell r="Z14">
            <v>1654</v>
          </cell>
          <cell r="AA14">
            <v>6616</v>
          </cell>
          <cell r="AB14">
            <v>0</v>
          </cell>
          <cell r="AC14">
            <v>1846</v>
          </cell>
          <cell r="AD14">
            <v>3844</v>
          </cell>
          <cell r="AE14">
            <v>286</v>
          </cell>
          <cell r="AF14">
            <v>80</v>
          </cell>
          <cell r="AG14">
            <v>80</v>
          </cell>
          <cell r="AH14">
            <v>286</v>
          </cell>
          <cell r="AI14">
            <v>572</v>
          </cell>
          <cell r="AJ14">
            <v>92</v>
          </cell>
          <cell r="AK14">
            <v>0</v>
          </cell>
          <cell r="AL14">
            <v>0</v>
          </cell>
          <cell r="AM14">
            <v>0</v>
          </cell>
          <cell r="AN14">
            <v>6148</v>
          </cell>
          <cell r="AO14">
            <v>0</v>
          </cell>
          <cell r="AP14">
            <v>2153</v>
          </cell>
          <cell r="AQ14"/>
          <cell r="AR14">
            <v>0</v>
          </cell>
          <cell r="AS14">
            <v>0</v>
          </cell>
          <cell r="AT14">
            <v>92</v>
          </cell>
          <cell r="AU14">
            <v>0</v>
          </cell>
          <cell r="AV14">
            <v>0</v>
          </cell>
          <cell r="AW14">
            <v>0</v>
          </cell>
          <cell r="AX14">
            <v>1805</v>
          </cell>
          <cell r="AY14">
            <v>1805</v>
          </cell>
          <cell r="AZ14">
            <v>1805</v>
          </cell>
          <cell r="BA14">
            <v>1805</v>
          </cell>
          <cell r="BB14">
            <v>1805</v>
          </cell>
          <cell r="BC14">
            <v>7220</v>
          </cell>
          <cell r="BD14">
            <v>0</v>
          </cell>
        </row>
      </sheetData>
      <sheetData sheetId="4">
        <row r="5">
          <cell r="B5" t="str">
            <v>Seleccionar Jurisdicción</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MO - Petrolero Privado"/>
      <sheetName val="MO - Personal Jerárquico"/>
      <sheetName val="BD-FCONVENIO"/>
      <sheetName val="Hoja2"/>
      <sheetName val="IVA"/>
      <sheetName val="Costo MO 2017 - RESUMEN"/>
      <sheetName val="Q POZOS"/>
      <sheetName val="BD_ESCALAS"/>
      <sheetName val="BD_ADICIONALES"/>
      <sheetName val="CCT"/>
    </sheetNames>
    <sheetDataSet>
      <sheetData sheetId="0" refreshError="1"/>
      <sheetData sheetId="1">
        <row r="8">
          <cell r="E8" t="str">
            <v>SANTA CRUZ</v>
          </cell>
        </row>
        <row r="10">
          <cell r="E10" t="str">
            <v>643/12</v>
          </cell>
        </row>
      </sheetData>
      <sheetData sheetId="2"/>
      <sheetData sheetId="3"/>
      <sheetData sheetId="4"/>
      <sheetData sheetId="5"/>
      <sheetData sheetId="6"/>
      <sheetData sheetId="7"/>
      <sheetData sheetId="8">
        <row r="7">
          <cell r="C7" t="str">
            <v>CHUBUT</v>
          </cell>
        </row>
      </sheetData>
      <sheetData sheetId="9">
        <row r="6">
          <cell r="D6" t="str">
            <v>ASIG. VIANDA COMP. NO REM.</v>
          </cell>
        </row>
        <row r="8">
          <cell r="B8" t="str">
            <v>NEUQUEN</v>
          </cell>
        </row>
        <row r="9">
          <cell r="B9" t="str">
            <v>MENDOZA</v>
          </cell>
        </row>
        <row r="10">
          <cell r="B10" t="str">
            <v>SALTA</v>
          </cell>
        </row>
        <row r="11">
          <cell r="B11" t="str">
            <v>SANTA CRUZ</v>
          </cell>
        </row>
        <row r="12">
          <cell r="B12" t="str">
            <v>CHUBUT</v>
          </cell>
        </row>
        <row r="13">
          <cell r="B13" t="str">
            <v>NEUQUEN</v>
          </cell>
        </row>
        <row r="14">
          <cell r="B14" t="str">
            <v>MENDOZA</v>
          </cell>
        </row>
        <row r="15">
          <cell r="B15" t="str">
            <v>PAT. AUSTRAL</v>
          </cell>
        </row>
        <row r="16">
          <cell r="B16" t="str">
            <v>SALTA Y JUJUY</v>
          </cell>
        </row>
      </sheetData>
      <sheetData sheetId="10"/>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G"/>
      <sheetName val="Cotizaciones"/>
      <sheetName val="Afes"/>
      <sheetName val="Datos Generales"/>
      <sheetName val="Budget"/>
      <sheetName val="Base"/>
      <sheetName val="Resumen"/>
      <sheetName val="Drilling"/>
      <sheetName val="Completion"/>
      <sheetName val="Production Well Equipment"/>
      <sheetName val="Workover Oil-Gas"/>
      <sheetName val="Conversions &amp; Sel. Injection"/>
      <sheetName val="Plants"/>
      <sheetName val="Pipeline Oil-Gas"/>
      <sheetName val="Hardware &amp; Software"/>
      <sheetName val="Studies"/>
      <sheetName val="Testing"/>
      <sheetName val="Enviroment"/>
      <sheetName val="Water Disposal"/>
      <sheetName val="Infraestructure"/>
      <sheetName val="Oil &amp; Gas Line Repair"/>
      <sheetName val="Studies(2)"/>
      <sheetName val="ANALISIS DE CORONAS"/>
      <sheetName val="MEDIOAMBIENTE"/>
      <sheetName val="OLEOD-GASO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mensual de producción"/>
      <sheetName val="entregas de petróleo y gas"/>
      <sheetName val="recuperación secundaria"/>
      <sheetName val="planta de gas"/>
      <sheetName val="producción por yac-bloques"/>
      <sheetName val="prod. de fluidos-oil"/>
      <sheetName val="prod. de fluidos-gas"/>
      <sheetName val="estadistica de est. de pozos"/>
      <sheetName val="estados de pozos"/>
      <sheetName val="estadistica de inyección"/>
      <sheetName val="estadistica de iny. sumideros"/>
      <sheetName val="estado de pozos secundaria"/>
      <sheetName val="Resumen 1"/>
      <sheetName val="Resumen 2"/>
      <sheetName val="Resumen 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Report"/>
      <sheetName val="API"/>
      <sheetName val="UIB"/>
    </sheetNames>
    <sheetDataSet>
      <sheetData sheetId="0" refreshError="1">
        <row r="3">
          <cell r="R3" t="str">
            <v>1 1/8"</v>
          </cell>
          <cell r="S3">
            <v>1.125</v>
          </cell>
          <cell r="T3">
            <v>0.99401955054989544</v>
          </cell>
          <cell r="U3">
            <v>3.72</v>
          </cell>
          <cell r="AF3">
            <v>3.2808398950100002</v>
          </cell>
        </row>
        <row r="4">
          <cell r="R4" t="str">
            <v>1"</v>
          </cell>
          <cell r="S4">
            <v>1</v>
          </cell>
          <cell r="T4">
            <v>0.78539816339744828</v>
          </cell>
          <cell r="U4">
            <v>2.89</v>
          </cell>
          <cell r="AF4">
            <v>3.6127291999999998E-2</v>
          </cell>
        </row>
        <row r="5">
          <cell r="H5" t="str">
            <v>M-912D-305-192</v>
          </cell>
          <cell r="J5" t="str">
            <v>192</v>
          </cell>
          <cell r="K5" t="str">
            <v>8 1/2</v>
          </cell>
          <cell r="L5">
            <v>8.5</v>
          </cell>
          <cell r="R5" t="str">
            <v>7/8"</v>
          </cell>
          <cell r="S5">
            <v>0.875</v>
          </cell>
          <cell r="T5">
            <v>0.6013204688511713</v>
          </cell>
          <cell r="U5">
            <v>2.1907999999999999</v>
          </cell>
          <cell r="AF5">
            <v>2.2046226199999999</v>
          </cell>
        </row>
        <row r="6">
          <cell r="R6" t="str">
            <v>3/4"</v>
          </cell>
          <cell r="S6">
            <v>0.75</v>
          </cell>
          <cell r="T6">
            <v>0.44178646691106466</v>
          </cell>
          <cell r="U6">
            <v>1.6255999999999999</v>
          </cell>
        </row>
        <row r="7">
          <cell r="D7" t="str">
            <v>2 1/2"</v>
          </cell>
          <cell r="E7">
            <v>250</v>
          </cell>
          <cell r="H7">
            <v>50</v>
          </cell>
        </row>
        <row r="9">
          <cell r="D9">
            <v>600</v>
          </cell>
          <cell r="H9">
            <v>28.8</v>
          </cell>
          <cell r="K9">
            <v>1400</v>
          </cell>
        </row>
        <row r="11">
          <cell r="D11">
            <v>600</v>
          </cell>
        </row>
        <row r="13">
          <cell r="D13">
            <v>120</v>
          </cell>
          <cell r="I13" t="str">
            <v>86-250</v>
          </cell>
          <cell r="J13" t="str">
            <v>condición 2</v>
          </cell>
          <cell r="K13" t="str">
            <v>D</v>
          </cell>
        </row>
        <row r="14">
          <cell r="J14">
            <v>0.8</v>
          </cell>
          <cell r="K14">
            <v>115000</v>
          </cell>
        </row>
        <row r="15">
          <cell r="D15">
            <v>0.9</v>
          </cell>
        </row>
        <row r="16">
          <cell r="H16">
            <v>10</v>
          </cell>
          <cell r="K16">
            <v>25</v>
          </cell>
        </row>
        <row r="17">
          <cell r="D17">
            <v>0.85</v>
          </cell>
        </row>
        <row r="19">
          <cell r="D19">
            <v>1.1499999999999999</v>
          </cell>
        </row>
      </sheetData>
      <sheetData sheetId="1" refreshError="1"/>
      <sheetData sheetId="2" refreshError="1">
        <row r="2">
          <cell r="A2" t="str">
            <v>86-100</v>
          </cell>
          <cell r="B2">
            <v>1</v>
          </cell>
          <cell r="C2">
            <v>2.0579999999999998</v>
          </cell>
          <cell r="D2">
            <v>7.4199999999999995E-7</v>
          </cell>
          <cell r="E2">
            <v>1.151</v>
          </cell>
          <cell r="F2" t="str">
            <v>1"</v>
          </cell>
          <cell r="G2" t="str">
            <v>7/8"</v>
          </cell>
          <cell r="H2" t="str">
            <v>3/4"</v>
          </cell>
          <cell r="J2">
            <v>0.22599999606609344</v>
          </cell>
          <cell r="K2">
            <v>0.23000000417232513</v>
          </cell>
          <cell r="L2">
            <v>0.5429999828338623</v>
          </cell>
          <cell r="M2">
            <v>0</v>
          </cell>
        </row>
        <row r="3">
          <cell r="A3" t="str">
            <v>86-125</v>
          </cell>
          <cell r="B3">
            <v>1.25</v>
          </cell>
          <cell r="C3">
            <v>2.0870000000000002</v>
          </cell>
          <cell r="D3">
            <v>7.3200000000000004E-7</v>
          </cell>
          <cell r="E3">
            <v>1.1559999999999999</v>
          </cell>
          <cell r="F3" t="str">
            <v>1"</v>
          </cell>
          <cell r="G3" t="str">
            <v>7/8"</v>
          </cell>
          <cell r="H3" t="str">
            <v>3/4"</v>
          </cell>
          <cell r="J3">
            <v>0.24300000071525574</v>
          </cell>
          <cell r="K3">
            <v>0.24500000476837158</v>
          </cell>
          <cell r="L3">
            <v>0.51200002431869507</v>
          </cell>
          <cell r="M3">
            <v>0</v>
          </cell>
        </row>
        <row r="4">
          <cell r="A4" t="str">
            <v>86-150</v>
          </cell>
          <cell r="B4">
            <v>1.5</v>
          </cell>
          <cell r="C4">
            <v>2.133</v>
          </cell>
          <cell r="D4">
            <v>7.1699999999999997E-7</v>
          </cell>
          <cell r="E4">
            <v>1.1619999999999999</v>
          </cell>
          <cell r="F4" t="str">
            <v>1"</v>
          </cell>
          <cell r="G4" t="str">
            <v>7/8"</v>
          </cell>
          <cell r="H4" t="str">
            <v>3/4"</v>
          </cell>
          <cell r="J4">
            <v>0.26800000667572021</v>
          </cell>
          <cell r="K4">
            <v>0.27000001072883606</v>
          </cell>
          <cell r="L4">
            <v>0.46299999952316284</v>
          </cell>
          <cell r="M4">
            <v>0</v>
          </cell>
        </row>
        <row r="5">
          <cell r="A5" t="str">
            <v>86-175</v>
          </cell>
          <cell r="B5">
            <v>1.75</v>
          </cell>
          <cell r="C5">
            <v>2.1850000000000001</v>
          </cell>
          <cell r="D5">
            <v>6.6899999999999997E-7</v>
          </cell>
          <cell r="E5">
            <v>1.1639999999999999</v>
          </cell>
          <cell r="F5" t="str">
            <v>1"</v>
          </cell>
          <cell r="G5" t="str">
            <v>7/8"</v>
          </cell>
          <cell r="H5" t="str">
            <v>3/4"</v>
          </cell>
          <cell r="J5">
            <v>0.29399999976158142</v>
          </cell>
          <cell r="K5">
            <v>0.30000001192092896</v>
          </cell>
          <cell r="L5">
            <v>0.40599998831748962</v>
          </cell>
          <cell r="M5">
            <v>0</v>
          </cell>
        </row>
        <row r="6">
          <cell r="A6" t="str">
            <v>86-200</v>
          </cell>
          <cell r="B6">
            <v>2</v>
          </cell>
          <cell r="C6">
            <v>2.2469999999999999</v>
          </cell>
          <cell r="D6">
            <v>6.7899999999999998E-7</v>
          </cell>
          <cell r="E6">
            <v>1.161</v>
          </cell>
          <cell r="F6" t="str">
            <v>1"</v>
          </cell>
          <cell r="G6" t="str">
            <v>7/8"</v>
          </cell>
          <cell r="H6" t="str">
            <v>3/4"</v>
          </cell>
          <cell r="J6">
            <v>0.32800000905990601</v>
          </cell>
          <cell r="K6">
            <v>0.33199998736381531</v>
          </cell>
          <cell r="L6">
            <v>0.33899998664855957</v>
          </cell>
          <cell r="M6">
            <v>0</v>
          </cell>
        </row>
        <row r="7">
          <cell r="A7" t="str">
            <v>86-225</v>
          </cell>
          <cell r="B7">
            <v>2.25</v>
          </cell>
          <cell r="C7">
            <v>2.3149999999999999</v>
          </cell>
          <cell r="D7">
            <v>6.5600000000000005E-7</v>
          </cell>
          <cell r="E7">
            <v>1.153</v>
          </cell>
          <cell r="F7" t="str">
            <v>1"</v>
          </cell>
          <cell r="G7" t="str">
            <v>7/8"</v>
          </cell>
          <cell r="H7" t="str">
            <v>3/4"</v>
          </cell>
          <cell r="J7">
            <v>0.36899998784065247</v>
          </cell>
          <cell r="K7">
            <v>0.36000001430511475</v>
          </cell>
          <cell r="L7">
            <v>0.27099999785423279</v>
          </cell>
          <cell r="M7">
            <v>0</v>
          </cell>
        </row>
        <row r="8">
          <cell r="A8" t="str">
            <v>86-250</v>
          </cell>
          <cell r="B8">
            <v>2.5</v>
          </cell>
          <cell r="C8">
            <v>2.3849999999999998</v>
          </cell>
          <cell r="D8">
            <v>6.3300000000000002E-7</v>
          </cell>
          <cell r="E8">
            <v>1.1379999999999999</v>
          </cell>
          <cell r="F8" t="str">
            <v>1"</v>
          </cell>
          <cell r="G8" t="str">
            <v>7/8"</v>
          </cell>
          <cell r="H8" t="str">
            <v>3/4"</v>
          </cell>
          <cell r="J8">
            <v>0.40599998831748962</v>
          </cell>
          <cell r="K8">
            <v>0.3970000147819519</v>
          </cell>
          <cell r="L8">
            <v>0.19699999690055847</v>
          </cell>
          <cell r="M8">
            <v>0</v>
          </cell>
        </row>
        <row r="9">
          <cell r="A9" t="str">
            <v>86-275</v>
          </cell>
          <cell r="B9">
            <v>2.75</v>
          </cell>
          <cell r="C9">
            <v>2.4550000000000001</v>
          </cell>
          <cell r="D9">
            <v>6.0999999999999998E-7</v>
          </cell>
          <cell r="E9">
            <v>1.119</v>
          </cell>
          <cell r="F9" t="str">
            <v>1"</v>
          </cell>
          <cell r="G9" t="str">
            <v>7/8"</v>
          </cell>
          <cell r="H9" t="str">
            <v>3/4"</v>
          </cell>
          <cell r="J9">
            <v>0.44499999284744263</v>
          </cell>
          <cell r="K9">
            <v>0.43299999833106995</v>
          </cell>
          <cell r="L9">
            <v>0.12200000137090683</v>
          </cell>
          <cell r="M9">
            <v>0</v>
          </cell>
        </row>
        <row r="10">
          <cell r="A10" t="str">
            <v>87-100</v>
          </cell>
          <cell r="B10">
            <v>1</v>
          </cell>
          <cell r="C10">
            <v>2.39</v>
          </cell>
          <cell r="D10">
            <v>6.1200000000000003E-7</v>
          </cell>
          <cell r="E10">
            <v>1.0549999999999999</v>
          </cell>
          <cell r="F10" t="str">
            <v>1"</v>
          </cell>
          <cell r="G10" t="str">
            <v>7/8"</v>
          </cell>
          <cell r="J10">
            <v>0.24300000071525574</v>
          </cell>
          <cell r="K10">
            <v>0.75700002908706665</v>
          </cell>
          <cell r="L10">
            <v>0</v>
          </cell>
          <cell r="M10">
            <v>0</v>
          </cell>
        </row>
        <row r="11">
          <cell r="A11" t="str">
            <v>87-125</v>
          </cell>
          <cell r="B11">
            <v>1.25</v>
          </cell>
          <cell r="C11">
            <v>2.399</v>
          </cell>
          <cell r="D11">
            <v>6.0999999999999998E-7</v>
          </cell>
          <cell r="E11">
            <v>1.0580000000000001</v>
          </cell>
          <cell r="F11" t="str">
            <v>1"</v>
          </cell>
          <cell r="G11" t="str">
            <v>7/8"</v>
          </cell>
          <cell r="J11">
            <v>0.25699999928474426</v>
          </cell>
          <cell r="K11">
            <v>0.74299997091293335</v>
          </cell>
          <cell r="L11">
            <v>0</v>
          </cell>
          <cell r="M11">
            <v>0</v>
          </cell>
        </row>
        <row r="12">
          <cell r="A12" t="str">
            <v>87-150</v>
          </cell>
          <cell r="B12">
            <v>1.5</v>
          </cell>
          <cell r="C12">
            <v>2.4129999999999998</v>
          </cell>
          <cell r="D12">
            <v>6.0699999999999997E-7</v>
          </cell>
          <cell r="E12">
            <v>1.0620000000000001</v>
          </cell>
          <cell r="F12" t="str">
            <v>1"</v>
          </cell>
          <cell r="G12" t="str">
            <v>7/8"</v>
          </cell>
          <cell r="J12">
            <v>0.27700001001358032</v>
          </cell>
          <cell r="K12">
            <v>0.72299998998641968</v>
          </cell>
          <cell r="L12">
            <v>0</v>
          </cell>
          <cell r="M12">
            <v>0</v>
          </cell>
        </row>
        <row r="13">
          <cell r="A13" t="str">
            <v>87-175</v>
          </cell>
          <cell r="B13">
            <v>1.75</v>
          </cell>
          <cell r="C13">
            <v>2.4300000000000002</v>
          </cell>
          <cell r="D13">
            <v>6.0299999999999999E-7</v>
          </cell>
          <cell r="E13">
            <v>1.0660000000000001</v>
          </cell>
          <cell r="F13" t="str">
            <v>1"</v>
          </cell>
          <cell r="G13" t="str">
            <v>7/8"</v>
          </cell>
          <cell r="J13">
            <v>0.30300000309944153</v>
          </cell>
          <cell r="K13">
            <v>0.69700002670288086</v>
          </cell>
          <cell r="L13">
            <v>0</v>
          </cell>
          <cell r="M13">
            <v>0</v>
          </cell>
        </row>
        <row r="14">
          <cell r="A14" t="str">
            <v>87-200</v>
          </cell>
          <cell r="B14">
            <v>2</v>
          </cell>
          <cell r="C14">
            <v>2.4500000000000002</v>
          </cell>
          <cell r="D14">
            <v>5.0800000000000005E-7</v>
          </cell>
          <cell r="E14">
            <v>1.071</v>
          </cell>
          <cell r="F14" t="str">
            <v>1"</v>
          </cell>
          <cell r="G14" t="str">
            <v>7/8"</v>
          </cell>
          <cell r="J14">
            <v>0.33199998736381531</v>
          </cell>
          <cell r="K14">
            <v>0.6679999828338623</v>
          </cell>
          <cell r="L14">
            <v>0</v>
          </cell>
          <cell r="M14">
            <v>0</v>
          </cell>
        </row>
        <row r="15">
          <cell r="A15" t="str">
            <v>87-225</v>
          </cell>
          <cell r="B15">
            <v>2.25</v>
          </cell>
          <cell r="C15">
            <v>2.472</v>
          </cell>
          <cell r="D15">
            <v>5.9400000000000005E-7</v>
          </cell>
          <cell r="E15">
            <v>1.075</v>
          </cell>
          <cell r="F15" t="str">
            <v>1"</v>
          </cell>
          <cell r="G15" t="str">
            <v>7/8"</v>
          </cell>
          <cell r="J15">
            <v>0.36399999260902405</v>
          </cell>
          <cell r="K15">
            <v>0.63599997758865356</v>
          </cell>
          <cell r="L15">
            <v>0</v>
          </cell>
          <cell r="M15">
            <v>0</v>
          </cell>
        </row>
        <row r="16">
          <cell r="A16" t="str">
            <v>87-250</v>
          </cell>
          <cell r="B16">
            <v>2.5</v>
          </cell>
          <cell r="C16">
            <v>2.496</v>
          </cell>
          <cell r="D16">
            <v>5.8800000000000002E-7</v>
          </cell>
          <cell r="E16">
            <v>1.079</v>
          </cell>
          <cell r="F16" t="str">
            <v>1"</v>
          </cell>
          <cell r="G16" t="str">
            <v>7/8"</v>
          </cell>
          <cell r="J16">
            <v>0.39899998903274536</v>
          </cell>
          <cell r="K16">
            <v>0.60100001096725464</v>
          </cell>
          <cell r="L16">
            <v>0</v>
          </cell>
          <cell r="M16">
            <v>0</v>
          </cell>
        </row>
        <row r="17">
          <cell r="A17" t="str">
            <v>87-275</v>
          </cell>
          <cell r="B17">
            <v>2.75</v>
          </cell>
          <cell r="C17">
            <v>2.5230000000000001</v>
          </cell>
          <cell r="D17">
            <v>5.82E-7</v>
          </cell>
          <cell r="E17">
            <v>1.0820000000000001</v>
          </cell>
          <cell r="F17" t="str">
            <v>1"</v>
          </cell>
          <cell r="G17" t="str">
            <v>7/8"</v>
          </cell>
          <cell r="J17">
            <v>0.43900001049041748</v>
          </cell>
          <cell r="K17">
            <v>0.56099998950958252</v>
          </cell>
          <cell r="L17">
            <v>0</v>
          </cell>
          <cell r="M17">
            <v>0</v>
          </cell>
        </row>
        <row r="18">
          <cell r="A18" t="str">
            <v>87-325</v>
          </cell>
          <cell r="B18">
            <v>3.25</v>
          </cell>
          <cell r="C18">
            <v>2.5750000000000002</v>
          </cell>
          <cell r="D18">
            <v>5.7000000000000005E-7</v>
          </cell>
          <cell r="E18">
            <v>1.0840000000000001</v>
          </cell>
          <cell r="F18" t="str">
            <v>1"</v>
          </cell>
          <cell r="G18" t="str">
            <v>7/8"</v>
          </cell>
          <cell r="J18">
            <v>0.51599997282028198</v>
          </cell>
          <cell r="K18">
            <v>0.48399999737739563</v>
          </cell>
          <cell r="L18">
            <v>0</v>
          </cell>
          <cell r="M18">
            <v>0</v>
          </cell>
        </row>
        <row r="19">
          <cell r="A19" t="str">
            <v>87-375</v>
          </cell>
          <cell r="B19">
            <v>3.75</v>
          </cell>
          <cell r="C19">
            <v>2.641</v>
          </cell>
          <cell r="D19">
            <v>5.5599999999999995E-7</v>
          </cell>
          <cell r="E19">
            <v>1.0780000000000001</v>
          </cell>
          <cell r="F19" t="str">
            <v>1"</v>
          </cell>
          <cell r="G19" t="str">
            <v>7/8"</v>
          </cell>
          <cell r="J19">
            <v>0.6119999885559082</v>
          </cell>
          <cell r="K19">
            <v>0.3880000114440918</v>
          </cell>
          <cell r="L19">
            <v>0</v>
          </cell>
          <cell r="M19">
            <v>0</v>
          </cell>
        </row>
        <row r="20">
          <cell r="A20" t="str">
            <v>87-475</v>
          </cell>
          <cell r="B20">
            <v>4.75</v>
          </cell>
          <cell r="C20">
            <v>2.7930000000000001</v>
          </cell>
          <cell r="D20">
            <v>5.2200000000000004E-7</v>
          </cell>
          <cell r="E20">
            <v>1.038</v>
          </cell>
          <cell r="F20" t="str">
            <v>1"</v>
          </cell>
          <cell r="G20" t="str">
            <v>7/8"</v>
          </cell>
          <cell r="J20">
            <v>0.83600002527236938</v>
          </cell>
          <cell r="K20">
            <v>0.164000004529953</v>
          </cell>
          <cell r="L20">
            <v>0</v>
          </cell>
          <cell r="M20">
            <v>0</v>
          </cell>
        </row>
        <row r="21">
          <cell r="A21" t="str">
            <v>88-xxx</v>
          </cell>
          <cell r="C21">
            <v>2.9039999999999999</v>
          </cell>
          <cell r="D21">
            <v>4.9699999999999996E-7</v>
          </cell>
          <cell r="E21">
            <v>1</v>
          </cell>
          <cell r="F21" t="str">
            <v>1"</v>
          </cell>
          <cell r="J21">
            <v>1</v>
          </cell>
          <cell r="K21">
            <v>0</v>
          </cell>
          <cell r="L21">
            <v>0</v>
          </cell>
          <cell r="M21">
            <v>0</v>
          </cell>
        </row>
        <row r="22">
          <cell r="A22" t="str">
            <v>96-100</v>
          </cell>
          <cell r="B22">
            <v>1</v>
          </cell>
          <cell r="C22">
            <v>2.3820000000000001</v>
          </cell>
          <cell r="D22">
            <v>6.7000000000000004E-7</v>
          </cell>
          <cell r="E22">
            <v>1.222</v>
          </cell>
          <cell r="F22" t="str">
            <v>1 1/8"</v>
          </cell>
          <cell r="G22" t="str">
            <v>1"</v>
          </cell>
          <cell r="H22" t="str">
            <v>7/8"</v>
          </cell>
          <cell r="I22" t="str">
            <v>3/4"</v>
          </cell>
          <cell r="J22">
            <v>0.19099999964237213</v>
          </cell>
          <cell r="K22">
            <v>0.19200000166893005</v>
          </cell>
          <cell r="L22">
            <v>0.19499999284744263</v>
          </cell>
          <cell r="M22">
            <v>0.42300000786781311</v>
          </cell>
        </row>
        <row r="23">
          <cell r="A23" t="str">
            <v>96-125</v>
          </cell>
          <cell r="B23">
            <v>1.25</v>
          </cell>
          <cell r="C23">
            <v>2.4350000000000001</v>
          </cell>
          <cell r="D23">
            <v>6.5499999999999998E-7</v>
          </cell>
          <cell r="E23">
            <v>1.224</v>
          </cell>
          <cell r="F23" t="str">
            <v>1 1/8"</v>
          </cell>
          <cell r="G23" t="str">
            <v>1"</v>
          </cell>
          <cell r="H23" t="str">
            <v>7/8"</v>
          </cell>
          <cell r="I23" t="str">
            <v>3/4"</v>
          </cell>
          <cell r="J23">
            <v>0.20499999821186066</v>
          </cell>
          <cell r="K23">
            <v>0.20499999821186066</v>
          </cell>
          <cell r="L23">
            <v>0.2070000022649765</v>
          </cell>
          <cell r="M23">
            <v>0.38299998641014099</v>
          </cell>
        </row>
        <row r="24">
          <cell r="A24" t="str">
            <v>96-150</v>
          </cell>
          <cell r="B24">
            <v>1.5</v>
          </cell>
          <cell r="C24">
            <v>2.5110000000000001</v>
          </cell>
          <cell r="D24">
            <v>6.3300000000000002E-7</v>
          </cell>
          <cell r="E24">
            <v>1.2230000000000001</v>
          </cell>
          <cell r="F24" t="str">
            <v>1 1/8"</v>
          </cell>
          <cell r="G24" t="str">
            <v>1"</v>
          </cell>
          <cell r="H24" t="str">
            <v>7/8"</v>
          </cell>
          <cell r="I24" t="str">
            <v>3/4"</v>
          </cell>
          <cell r="J24">
            <v>0.22400000691413879</v>
          </cell>
          <cell r="K24">
            <v>0.22499999403953552</v>
          </cell>
          <cell r="L24">
            <v>0.22800000011920929</v>
          </cell>
          <cell r="M24">
            <v>0.32300001382827759</v>
          </cell>
        </row>
        <row r="25">
          <cell r="A25" t="str">
            <v>96-175</v>
          </cell>
          <cell r="B25">
            <v>1.75</v>
          </cell>
          <cell r="C25">
            <v>2.6070000000000002</v>
          </cell>
          <cell r="D25">
            <v>6.06E-7</v>
          </cell>
          <cell r="E25">
            <v>1.2130000000000001</v>
          </cell>
          <cell r="F25" t="str">
            <v>1 1/8"</v>
          </cell>
          <cell r="G25" t="str">
            <v>1"</v>
          </cell>
          <cell r="H25" t="str">
            <v>7/8"</v>
          </cell>
          <cell r="I25" t="str">
            <v>3/4"</v>
          </cell>
          <cell r="J25">
            <v>0.24799999594688416</v>
          </cell>
          <cell r="K25">
            <v>0.25</v>
          </cell>
          <cell r="L25">
            <v>0.25099998712539673</v>
          </cell>
          <cell r="M25">
            <v>0.25099998712539673</v>
          </cell>
        </row>
        <row r="26">
          <cell r="A26" t="str">
            <v>96-200</v>
          </cell>
          <cell r="B26">
            <v>2</v>
          </cell>
          <cell r="C26">
            <v>2.7029999999999998</v>
          </cell>
          <cell r="D26">
            <v>5.7800000000000001E-7</v>
          </cell>
          <cell r="E26">
            <v>1.196</v>
          </cell>
          <cell r="F26" t="str">
            <v>1 1/8"</v>
          </cell>
          <cell r="G26" t="str">
            <v>1"</v>
          </cell>
          <cell r="H26" t="str">
            <v>7/8"</v>
          </cell>
          <cell r="I26" t="str">
            <v>3/4"</v>
          </cell>
          <cell r="J26">
            <v>0.27099999785423279</v>
          </cell>
          <cell r="K26">
            <v>0.27900001406669617</v>
          </cell>
          <cell r="L26">
            <v>0.27399998903274536</v>
          </cell>
          <cell r="M26">
            <v>0.17599999904632568</v>
          </cell>
        </row>
        <row r="27">
          <cell r="A27" t="str">
            <v>96-225</v>
          </cell>
          <cell r="B27">
            <v>2.25</v>
          </cell>
          <cell r="C27">
            <v>2.8</v>
          </cell>
          <cell r="D27">
            <v>5.4899999999999995E-7</v>
          </cell>
          <cell r="E27">
            <v>1.1719999999999999</v>
          </cell>
          <cell r="F27" t="str">
            <v>1 1/8"</v>
          </cell>
          <cell r="G27" t="str">
            <v>1"</v>
          </cell>
          <cell r="H27" t="str">
            <v>7/8"</v>
          </cell>
          <cell r="I27" t="str">
            <v>3/4"</v>
          </cell>
          <cell r="J27">
            <v>0.29600000381469727</v>
          </cell>
          <cell r="K27">
            <v>0.30700001120567322</v>
          </cell>
          <cell r="L27">
            <v>0.29800000786781311</v>
          </cell>
          <cell r="M27">
            <v>9.7999997437000275E-2</v>
          </cell>
        </row>
        <row r="28">
          <cell r="A28" t="str">
            <v>97-100</v>
          </cell>
          <cell r="B28">
            <v>1</v>
          </cell>
          <cell r="C28">
            <v>2.645</v>
          </cell>
          <cell r="D28">
            <v>5.68E-7</v>
          </cell>
          <cell r="E28">
            <v>1.1200000000000001</v>
          </cell>
          <cell r="F28" t="str">
            <v>1 1/8"</v>
          </cell>
          <cell r="G28" t="str">
            <v>1"</v>
          </cell>
          <cell r="H28" t="str">
            <v>7/8"</v>
          </cell>
          <cell r="J28">
            <v>0.19699999690055847</v>
          </cell>
          <cell r="K28">
            <v>0.20000000298023224</v>
          </cell>
          <cell r="L28">
            <v>0.6029999852180481</v>
          </cell>
          <cell r="M28">
            <v>0</v>
          </cell>
        </row>
        <row r="29">
          <cell r="A29" t="str">
            <v>97-125</v>
          </cell>
          <cell r="B29">
            <v>1.25</v>
          </cell>
          <cell r="C29">
            <v>2.67</v>
          </cell>
          <cell r="D29">
            <v>5.6300000000000005E-7</v>
          </cell>
          <cell r="E29">
            <v>1.1240000000000001</v>
          </cell>
          <cell r="F29" t="str">
            <v>1 1/8"</v>
          </cell>
          <cell r="G29" t="str">
            <v>1"</v>
          </cell>
          <cell r="H29" t="str">
            <v>7/8"</v>
          </cell>
          <cell r="J29">
            <v>0.20800000429153442</v>
          </cell>
          <cell r="K29">
            <v>0.21199999749660492</v>
          </cell>
          <cell r="L29">
            <v>0.57999998331069946</v>
          </cell>
          <cell r="M29">
            <v>0</v>
          </cell>
        </row>
        <row r="30">
          <cell r="A30" t="str">
            <v>97-150</v>
          </cell>
          <cell r="B30">
            <v>1.5</v>
          </cell>
          <cell r="C30">
            <v>2.7069999999999999</v>
          </cell>
          <cell r="D30">
            <v>5.5599999999999995E-7</v>
          </cell>
          <cell r="E30">
            <v>1.131</v>
          </cell>
          <cell r="F30" t="str">
            <v>1 1/8"</v>
          </cell>
          <cell r="G30" t="str">
            <v>1"</v>
          </cell>
          <cell r="H30" t="str">
            <v>7/8"</v>
          </cell>
          <cell r="J30">
            <v>0.22499999403953552</v>
          </cell>
          <cell r="K30">
            <v>0.23000000417232513</v>
          </cell>
          <cell r="L30">
            <v>0.54500001668930054</v>
          </cell>
          <cell r="M30">
            <v>0</v>
          </cell>
        </row>
        <row r="31">
          <cell r="A31" t="str">
            <v>97-175</v>
          </cell>
          <cell r="B31">
            <v>1.75</v>
          </cell>
          <cell r="C31">
            <v>2.7509999999999999</v>
          </cell>
          <cell r="D31">
            <v>5.4799999999999998E-7</v>
          </cell>
          <cell r="E31">
            <v>1.137</v>
          </cell>
          <cell r="F31" t="str">
            <v>1 1/8"</v>
          </cell>
          <cell r="G31" t="str">
            <v>1"</v>
          </cell>
          <cell r="H31" t="str">
            <v>7/8"</v>
          </cell>
          <cell r="J31">
            <v>0.24500000476837158</v>
          </cell>
          <cell r="K31">
            <v>0.25</v>
          </cell>
          <cell r="L31">
            <v>0.50599998235702515</v>
          </cell>
          <cell r="M31">
            <v>0</v>
          </cell>
        </row>
        <row r="32">
          <cell r="A32" t="str">
            <v>97-200</v>
          </cell>
          <cell r="B32">
            <v>2</v>
          </cell>
          <cell r="C32">
            <v>2.8010000000000002</v>
          </cell>
          <cell r="D32">
            <v>5.3799999999999997E-7</v>
          </cell>
          <cell r="E32">
            <v>1.141</v>
          </cell>
          <cell r="F32" t="str">
            <v>1 1/8"</v>
          </cell>
          <cell r="G32" t="str">
            <v>1"</v>
          </cell>
          <cell r="H32" t="str">
            <v>7/8"</v>
          </cell>
          <cell r="J32">
            <v>0.26800000667572021</v>
          </cell>
          <cell r="K32">
            <v>0.27399998903274536</v>
          </cell>
          <cell r="L32">
            <v>0.45800000429153442</v>
          </cell>
          <cell r="M32">
            <v>0</v>
          </cell>
        </row>
        <row r="33">
          <cell r="A33" t="str">
            <v>97-225</v>
          </cell>
          <cell r="B33">
            <v>2.25</v>
          </cell>
          <cell r="C33">
            <v>2.8559999999999999</v>
          </cell>
          <cell r="D33">
            <v>5.2799999999999996E-7</v>
          </cell>
          <cell r="E33">
            <v>1.143</v>
          </cell>
          <cell r="F33" t="str">
            <v>1 1/8"</v>
          </cell>
          <cell r="G33" t="str">
            <v>1"</v>
          </cell>
          <cell r="H33" t="str">
            <v>7/8"</v>
          </cell>
          <cell r="J33">
            <v>0.29399999976158142</v>
          </cell>
          <cell r="K33">
            <v>0.30199998617172241</v>
          </cell>
          <cell r="L33">
            <v>0.40400001406669617</v>
          </cell>
          <cell r="M33">
            <v>0</v>
          </cell>
        </row>
        <row r="34">
          <cell r="A34" t="str">
            <v>97-250</v>
          </cell>
          <cell r="B34">
            <v>2.5</v>
          </cell>
          <cell r="C34">
            <v>2.9209999999999998</v>
          </cell>
          <cell r="D34">
            <v>5.1500000000000005E-7</v>
          </cell>
          <cell r="E34">
            <v>1.141</v>
          </cell>
          <cell r="F34" t="str">
            <v>1 1/8"</v>
          </cell>
          <cell r="G34" t="str">
            <v>1"</v>
          </cell>
          <cell r="H34" t="str">
            <v>7/8"</v>
          </cell>
          <cell r="J34">
            <v>0.32499998807907104</v>
          </cell>
          <cell r="K34">
            <v>0.33100000023841858</v>
          </cell>
          <cell r="L34">
            <v>0.34400001168251038</v>
          </cell>
          <cell r="M34">
            <v>0</v>
          </cell>
        </row>
        <row r="35">
          <cell r="A35" t="str">
            <v>97-275</v>
          </cell>
          <cell r="B35">
            <v>2.75</v>
          </cell>
          <cell r="C35">
            <v>2.9889999999999999</v>
          </cell>
          <cell r="D35">
            <v>5.0299999999999999E-7</v>
          </cell>
          <cell r="E35">
            <v>1.135</v>
          </cell>
          <cell r="F35" t="str">
            <v>1 1/8"</v>
          </cell>
          <cell r="G35" t="str">
            <v>1"</v>
          </cell>
          <cell r="H35" t="str">
            <v>7/8"</v>
          </cell>
          <cell r="J35">
            <v>0.36100000143051147</v>
          </cell>
          <cell r="K35">
            <v>0.3529999852180481</v>
          </cell>
          <cell r="L35">
            <v>0.28600001335144043</v>
          </cell>
          <cell r="M35">
            <v>0</v>
          </cell>
        </row>
        <row r="36">
          <cell r="A36" t="str">
            <v>97-325</v>
          </cell>
          <cell r="B36">
            <v>3.25</v>
          </cell>
          <cell r="C36">
            <v>3.1320000000000001</v>
          </cell>
          <cell r="D36">
            <v>4.75E-7</v>
          </cell>
          <cell r="E36">
            <v>1.111</v>
          </cell>
          <cell r="F36" t="str">
            <v>1 1/8"</v>
          </cell>
          <cell r="G36" t="str">
            <v>1"</v>
          </cell>
          <cell r="H36" t="str">
            <v>7/8"</v>
          </cell>
          <cell r="J36">
            <v>0.42899999022483826</v>
          </cell>
          <cell r="K36">
            <v>0.41899999976158142</v>
          </cell>
          <cell r="L36">
            <v>0.15199999511241913</v>
          </cell>
          <cell r="M36">
            <v>0</v>
          </cell>
        </row>
        <row r="37">
          <cell r="A37" t="str">
            <v>98-100</v>
          </cell>
          <cell r="B37">
            <v>1</v>
          </cell>
          <cell r="C37">
            <v>3.0680000000000001</v>
          </cell>
          <cell r="D37">
            <v>4.75E-7</v>
          </cell>
          <cell r="E37">
            <v>1.0429999999999999</v>
          </cell>
          <cell r="F37" t="str">
            <v>1 1/8"</v>
          </cell>
          <cell r="G37" t="str">
            <v>1"</v>
          </cell>
          <cell r="J37">
            <v>0.21199999749660492</v>
          </cell>
          <cell r="K37">
            <v>0.78799998760223389</v>
          </cell>
          <cell r="L37">
            <v>0</v>
          </cell>
          <cell r="M37">
            <v>0</v>
          </cell>
        </row>
        <row r="38">
          <cell r="A38" t="str">
            <v>98-125</v>
          </cell>
          <cell r="B38">
            <v>1.25</v>
          </cell>
          <cell r="C38">
            <v>3.0760000000000001</v>
          </cell>
          <cell r="D38">
            <v>4.7399999999999998E-7</v>
          </cell>
          <cell r="E38">
            <v>1.0449999999999999</v>
          </cell>
          <cell r="F38" t="str">
            <v>1 1/8"</v>
          </cell>
          <cell r="G38" t="str">
            <v>1"</v>
          </cell>
          <cell r="J38">
            <v>0.22200000286102295</v>
          </cell>
          <cell r="K38">
            <v>0.77799999713897705</v>
          </cell>
          <cell r="L38">
            <v>0</v>
          </cell>
          <cell r="M38">
            <v>0</v>
          </cell>
        </row>
        <row r="39">
          <cell r="A39" t="str">
            <v>98-150</v>
          </cell>
          <cell r="B39">
            <v>1.5</v>
          </cell>
          <cell r="C39">
            <v>3.089</v>
          </cell>
          <cell r="D39">
            <v>4.7199999999999999E-7</v>
          </cell>
          <cell r="E39">
            <v>1.048</v>
          </cell>
          <cell r="F39" t="str">
            <v>1 1/8"</v>
          </cell>
          <cell r="G39" t="str">
            <v>1"</v>
          </cell>
          <cell r="J39">
            <v>0.23800000548362732</v>
          </cell>
          <cell r="K39">
            <v>0.76200002431869507</v>
          </cell>
          <cell r="L39">
            <v>0</v>
          </cell>
          <cell r="M39">
            <v>0</v>
          </cell>
        </row>
        <row r="40">
          <cell r="A40" t="str">
            <v>98-175</v>
          </cell>
          <cell r="B40">
            <v>1.75</v>
          </cell>
          <cell r="C40">
            <v>3.1030000000000002</v>
          </cell>
          <cell r="D40">
            <v>4.7E-7</v>
          </cell>
          <cell r="E40">
            <v>1.0509999999999999</v>
          </cell>
          <cell r="F40" t="str">
            <v>1 1/8"</v>
          </cell>
          <cell r="G40" t="str">
            <v>1"</v>
          </cell>
          <cell r="J40">
            <v>0.25699999928474426</v>
          </cell>
          <cell r="K40">
            <v>0.74299997091293335</v>
          </cell>
          <cell r="L40">
            <v>0</v>
          </cell>
          <cell r="M40">
            <v>0</v>
          </cell>
        </row>
        <row r="41">
          <cell r="A41" t="str">
            <v>98-200</v>
          </cell>
          <cell r="B41">
            <v>2</v>
          </cell>
          <cell r="C41">
            <v>3.1179999999999999</v>
          </cell>
          <cell r="D41">
            <v>4.6800000000000001E-7</v>
          </cell>
          <cell r="E41">
            <v>1.0549999999999999</v>
          </cell>
          <cell r="F41" t="str">
            <v>1 1/8"</v>
          </cell>
          <cell r="G41" t="str">
            <v>1"</v>
          </cell>
          <cell r="J41">
            <v>0.27700001001358032</v>
          </cell>
          <cell r="K41">
            <v>0.72299998998641968</v>
          </cell>
          <cell r="L41">
            <v>0</v>
          </cell>
          <cell r="M41">
            <v>0</v>
          </cell>
        </row>
        <row r="42">
          <cell r="A42" t="str">
            <v>98-225</v>
          </cell>
          <cell r="B42">
            <v>2.25</v>
          </cell>
          <cell r="C42">
            <v>3.137</v>
          </cell>
          <cell r="D42">
            <v>4.6499999999999999E-7</v>
          </cell>
          <cell r="E42">
            <v>1.0580000000000001</v>
          </cell>
          <cell r="F42" t="str">
            <v>1 1/8"</v>
          </cell>
          <cell r="G42" t="str">
            <v>1"</v>
          </cell>
          <cell r="J42">
            <v>0.30099999904632568</v>
          </cell>
          <cell r="K42">
            <v>0.69900000095367432</v>
          </cell>
          <cell r="L42">
            <v>0</v>
          </cell>
          <cell r="M42">
            <v>0</v>
          </cell>
        </row>
        <row r="43">
          <cell r="A43" t="str">
            <v>98-250</v>
          </cell>
          <cell r="B43">
            <v>2.5</v>
          </cell>
          <cell r="C43">
            <v>3.157</v>
          </cell>
          <cell r="D43">
            <v>4.63E-7</v>
          </cell>
          <cell r="E43">
            <v>1.0620000000000001</v>
          </cell>
          <cell r="F43" t="str">
            <v>1 1/8"</v>
          </cell>
          <cell r="G43" t="str">
            <v>1"</v>
          </cell>
          <cell r="J43">
            <v>0.32699999213218689</v>
          </cell>
          <cell r="K43">
            <v>0.67299997806549072</v>
          </cell>
          <cell r="L43">
            <v>0</v>
          </cell>
          <cell r="M43">
            <v>0</v>
          </cell>
        </row>
        <row r="44">
          <cell r="A44" t="str">
            <v>98-275</v>
          </cell>
          <cell r="B44">
            <v>2.75</v>
          </cell>
          <cell r="C44">
            <v>3.18</v>
          </cell>
          <cell r="D44">
            <v>4.5999999999999999E-7</v>
          </cell>
          <cell r="E44">
            <v>1.0660000000000001</v>
          </cell>
          <cell r="F44" t="str">
            <v>1 1/8"</v>
          </cell>
          <cell r="G44" t="str">
            <v>1"</v>
          </cell>
          <cell r="J44">
            <v>0.35600000619888306</v>
          </cell>
          <cell r="K44">
            <v>0.64399999380111694</v>
          </cell>
          <cell r="L44">
            <v>0</v>
          </cell>
          <cell r="M44">
            <v>0</v>
          </cell>
        </row>
        <row r="45">
          <cell r="A45" t="str">
            <v>98-325</v>
          </cell>
          <cell r="B45">
            <v>3.25</v>
          </cell>
          <cell r="C45">
            <v>3.2309999999999999</v>
          </cell>
          <cell r="D45">
            <v>4.5299999999999999E-7</v>
          </cell>
          <cell r="E45">
            <v>1.071</v>
          </cell>
          <cell r="F45" t="str">
            <v>1 1/8"</v>
          </cell>
          <cell r="G45" t="str">
            <v>1"</v>
          </cell>
          <cell r="J45">
            <v>0.42199999094009399</v>
          </cell>
          <cell r="K45">
            <v>0.57800000905990601</v>
          </cell>
          <cell r="L45">
            <v>0</v>
          </cell>
          <cell r="M45">
            <v>0</v>
          </cell>
        </row>
        <row r="46">
          <cell r="A46" t="str">
            <v>98-375</v>
          </cell>
          <cell r="B46">
            <v>3.75</v>
          </cell>
          <cell r="C46">
            <v>3.2890000000000001</v>
          </cell>
          <cell r="D46">
            <v>4.4499999999999997E-7</v>
          </cell>
          <cell r="E46">
            <v>1.0740000000000001</v>
          </cell>
          <cell r="F46" t="str">
            <v>1 1/8"</v>
          </cell>
          <cell r="G46" t="str">
            <v>1"</v>
          </cell>
          <cell r="J46">
            <v>0.49700000882148743</v>
          </cell>
          <cell r="K46">
            <v>0.50300002098083496</v>
          </cell>
          <cell r="L46">
            <v>0</v>
          </cell>
          <cell r="M46">
            <v>0</v>
          </cell>
        </row>
        <row r="47">
          <cell r="A47" t="str">
            <v>98-475</v>
          </cell>
          <cell r="B47">
            <v>4.75</v>
          </cell>
          <cell r="C47">
            <v>3.4119999999999999</v>
          </cell>
          <cell r="D47">
            <v>4.2800000000000002E-7</v>
          </cell>
          <cell r="E47">
            <v>1.0640000000000001</v>
          </cell>
          <cell r="F47" t="str">
            <v>1 1/8"</v>
          </cell>
          <cell r="G47" t="str">
            <v>1"</v>
          </cell>
          <cell r="J47">
            <v>0.65700000524520874</v>
          </cell>
          <cell r="K47">
            <v>0.34299999475479126</v>
          </cell>
          <cell r="L47">
            <v>0</v>
          </cell>
          <cell r="M47">
            <v>0</v>
          </cell>
        </row>
        <row r="48">
          <cell r="A48" t="str">
            <v>99-xxx</v>
          </cell>
          <cell r="C48">
            <v>3.6760000000000002</v>
          </cell>
          <cell r="D48">
            <v>3.9299999999999999E-7</v>
          </cell>
          <cell r="E48">
            <v>1</v>
          </cell>
          <cell r="F48" t="str">
            <v>1 1/8"</v>
          </cell>
          <cell r="J48">
            <v>1</v>
          </cell>
          <cell r="K48">
            <v>0</v>
          </cell>
          <cell r="L48">
            <v>0</v>
          </cell>
          <cell r="M48">
            <v>0</v>
          </cell>
        </row>
      </sheetData>
      <sheetData sheetId="3"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ima Medicion"/>
      <sheetName val="Sda. F.W.( Pta. Nueva) "/>
      <sheetName val="Sda. API (Pta. Nueva)B.C. "/>
      <sheetName val="Eda API Planta Vieja  "/>
      <sheetName val="Sda API Planta Vieja"/>
      <sheetName val="Metas"/>
      <sheetName val="Pileta Revestida"/>
      <sheetName val="Entrada Tk Bafle"/>
      <sheetName val="Salida Tk Bafle"/>
      <sheetName val="Impulsion Bomba Inyectora"/>
      <sheetName val="Datos Graficos"/>
      <sheetName val="Plano"/>
      <sheetName val="Graficos Bba Inyeccion"/>
      <sheetName val="Historico"/>
      <sheetName val="Costos"/>
      <sheetName val="Sda. API (Pta. Nueva) "/>
      <sheetName val="Entrada API"/>
      <sheetName val="Salida API"/>
      <sheetName val="Planta de Inyeccion - Cerro Dra"/>
    </sheetNames>
    <sheetDataSet>
      <sheetData sheetId="0">
        <row r="2">
          <cell r="V2">
            <v>10</v>
          </cell>
          <cell r="W2">
            <v>1</v>
          </cell>
        </row>
        <row r="3">
          <cell r="V3">
            <v>100</v>
          </cell>
          <cell r="W3">
            <v>2</v>
          </cell>
        </row>
        <row r="4">
          <cell r="V4">
            <v>1000</v>
          </cell>
          <cell r="W4">
            <v>3</v>
          </cell>
        </row>
        <row r="5">
          <cell r="V5">
            <v>10000</v>
          </cell>
          <cell r="W5">
            <v>4</v>
          </cell>
        </row>
      </sheetData>
      <sheetData sheetId="1"/>
      <sheetData sheetId="2"/>
      <sheetData sheetId="3"/>
      <sheetData sheetId="4"/>
      <sheetData sheetId="5"/>
      <sheetData sheetId="6">
        <row r="7">
          <cell r="A7">
            <v>36854</v>
          </cell>
          <cell r="B7">
            <v>19</v>
          </cell>
          <cell r="C7">
            <v>0.9</v>
          </cell>
          <cell r="D7">
            <v>3</v>
          </cell>
          <cell r="E7">
            <v>13</v>
          </cell>
          <cell r="F7">
            <v>100</v>
          </cell>
          <cell r="G7">
            <v>2.2805017103762828</v>
          </cell>
          <cell r="H7">
            <v>7.58</v>
          </cell>
          <cell r="I7">
            <v>50</v>
          </cell>
          <cell r="J7">
            <v>1000</v>
          </cell>
          <cell r="O7">
            <v>30</v>
          </cell>
        </row>
        <row r="8">
          <cell r="A8">
            <v>36871</v>
          </cell>
          <cell r="B8">
            <v>21</v>
          </cell>
          <cell r="C8">
            <v>1.79</v>
          </cell>
          <cell r="D8">
            <v>4.9000000000000004</v>
          </cell>
          <cell r="E8">
            <v>11</v>
          </cell>
          <cell r="F8">
            <v>150</v>
          </cell>
          <cell r="G8">
            <v>2.2271714922048997</v>
          </cell>
          <cell r="H8">
            <v>7.66</v>
          </cell>
          <cell r="I8">
            <v>55</v>
          </cell>
          <cell r="J8">
            <v>1000</v>
          </cell>
          <cell r="O8">
            <v>40</v>
          </cell>
        </row>
        <row r="9">
          <cell r="A9">
            <v>36879</v>
          </cell>
          <cell r="B9">
            <v>16</v>
          </cell>
          <cell r="C9">
            <v>1.2</v>
          </cell>
          <cell r="D9">
            <v>3.6</v>
          </cell>
          <cell r="E9">
            <v>13</v>
          </cell>
          <cell r="F9">
            <v>150</v>
          </cell>
          <cell r="G9">
            <v>2.3142791020597082</v>
          </cell>
          <cell r="H9">
            <v>7.73</v>
          </cell>
          <cell r="I9">
            <v>54</v>
          </cell>
          <cell r="J9">
            <v>1000</v>
          </cell>
          <cell r="O9">
            <v>45</v>
          </cell>
        </row>
        <row r="10">
          <cell r="A10">
            <v>36887</v>
          </cell>
          <cell r="B10">
            <v>36</v>
          </cell>
          <cell r="C10">
            <v>0.57999999999999996</v>
          </cell>
          <cell r="D10">
            <v>5.2</v>
          </cell>
          <cell r="E10">
            <v>10</v>
          </cell>
          <cell r="F10">
            <v>100</v>
          </cell>
          <cell r="G10">
            <v>2.2522522522522523</v>
          </cell>
          <cell r="H10">
            <v>7.71</v>
          </cell>
          <cell r="I10">
            <v>55</v>
          </cell>
          <cell r="J10">
            <v>1000</v>
          </cell>
          <cell r="O10">
            <v>54</v>
          </cell>
        </row>
        <row r="11">
          <cell r="A11">
            <v>36907</v>
          </cell>
          <cell r="B11">
            <v>24</v>
          </cell>
          <cell r="C11">
            <v>0.25</v>
          </cell>
          <cell r="D11">
            <v>5</v>
          </cell>
          <cell r="E11">
            <v>12</v>
          </cell>
          <cell r="F11">
            <v>100</v>
          </cell>
          <cell r="G11">
            <v>2.197802197802198</v>
          </cell>
          <cell r="H11">
            <v>7.79</v>
          </cell>
          <cell r="I11">
            <v>58</v>
          </cell>
          <cell r="J11">
            <v>100</v>
          </cell>
          <cell r="O11">
            <v>2430</v>
          </cell>
        </row>
        <row r="12">
          <cell r="A12">
            <v>36958</v>
          </cell>
          <cell r="C12">
            <v>0.63</v>
          </cell>
          <cell r="D12">
            <v>5.3</v>
          </cell>
          <cell r="E12">
            <v>12</v>
          </cell>
          <cell r="F12">
            <v>200</v>
          </cell>
          <cell r="I12">
            <v>58</v>
          </cell>
          <cell r="J12">
            <v>100</v>
          </cell>
          <cell r="O12">
            <v>75</v>
          </cell>
        </row>
        <row r="13">
          <cell r="A13">
            <v>36984</v>
          </cell>
          <cell r="C13">
            <v>0.65</v>
          </cell>
          <cell r="D13">
            <v>2.5</v>
          </cell>
          <cell r="E13">
            <v>14</v>
          </cell>
          <cell r="F13">
            <v>150</v>
          </cell>
          <cell r="G13">
            <v>2.2271714922048997</v>
          </cell>
          <cell r="H13">
            <v>7.53</v>
          </cell>
          <cell r="I13">
            <v>58</v>
          </cell>
          <cell r="J13">
            <v>100</v>
          </cell>
          <cell r="O13">
            <v>13834</v>
          </cell>
          <cell r="P13" t="str">
            <v xml:space="preserve">se tiró oil a pileta de tierra, </v>
          </cell>
        </row>
        <row r="14">
          <cell r="A14">
            <v>37006</v>
          </cell>
          <cell r="B14">
            <v>30</v>
          </cell>
          <cell r="C14">
            <v>0.22</v>
          </cell>
          <cell r="D14">
            <v>0.6</v>
          </cell>
          <cell r="E14">
            <v>22</v>
          </cell>
          <cell r="F14">
            <v>80</v>
          </cell>
          <cell r="H14">
            <v>7.26</v>
          </cell>
          <cell r="I14">
            <v>50</v>
          </cell>
          <cell r="J14">
            <v>10</v>
          </cell>
          <cell r="O14">
            <v>86</v>
          </cell>
        </row>
        <row r="15">
          <cell r="A15">
            <v>37033</v>
          </cell>
          <cell r="B15">
            <v>22</v>
          </cell>
          <cell r="C15">
            <v>0.15</v>
          </cell>
          <cell r="D15">
            <v>2</v>
          </cell>
          <cell r="E15">
            <v>6</v>
          </cell>
          <cell r="F15">
            <v>25</v>
          </cell>
          <cell r="G15">
            <v>2.3310023310023311</v>
          </cell>
          <cell r="H15">
            <v>7.86</v>
          </cell>
          <cell r="I15">
            <v>55</v>
          </cell>
          <cell r="J15">
            <v>100</v>
          </cell>
          <cell r="O15">
            <v>74</v>
          </cell>
          <cell r="P15" t="str">
            <v xml:space="preserve">pileta con Petroleo </v>
          </cell>
        </row>
        <row r="16">
          <cell r="A16">
            <v>37062</v>
          </cell>
          <cell r="B16">
            <v>28</v>
          </cell>
          <cell r="C16">
            <v>0.15</v>
          </cell>
          <cell r="D16">
            <v>2</v>
          </cell>
          <cell r="E16">
            <v>16</v>
          </cell>
          <cell r="F16">
            <v>10</v>
          </cell>
          <cell r="G16">
            <v>2.169</v>
          </cell>
          <cell r="H16">
            <v>7.55</v>
          </cell>
          <cell r="I16">
            <v>53</v>
          </cell>
          <cell r="J16">
            <v>100</v>
          </cell>
          <cell r="O16">
            <v>179</v>
          </cell>
          <cell r="P16" t="str">
            <v xml:space="preserve">pileta con Petroleo </v>
          </cell>
        </row>
        <row r="17">
          <cell r="A17">
            <v>37089</v>
          </cell>
          <cell r="B17">
            <v>5</v>
          </cell>
          <cell r="C17">
            <v>0.1</v>
          </cell>
          <cell r="D17">
            <v>4</v>
          </cell>
          <cell r="E17">
            <v>26</v>
          </cell>
          <cell r="F17">
            <v>20</v>
          </cell>
          <cell r="G17">
            <v>2.2669999999999999</v>
          </cell>
          <cell r="H17">
            <v>7.63</v>
          </cell>
          <cell r="I17">
            <v>48</v>
          </cell>
          <cell r="J17">
            <v>100</v>
          </cell>
          <cell r="O17">
            <v>360</v>
          </cell>
          <cell r="P17" t="str">
            <v xml:space="preserve">pileta con Petroleo </v>
          </cell>
        </row>
        <row r="18">
          <cell r="A18">
            <v>37144</v>
          </cell>
          <cell r="B18">
            <v>17</v>
          </cell>
          <cell r="C18">
            <v>0.2</v>
          </cell>
          <cell r="D18">
            <v>2</v>
          </cell>
          <cell r="E18">
            <v>11</v>
          </cell>
          <cell r="F18">
            <v>10</v>
          </cell>
          <cell r="G18">
            <v>2.2719999999999998</v>
          </cell>
          <cell r="H18">
            <v>7.82</v>
          </cell>
          <cell r="I18">
            <v>51</v>
          </cell>
          <cell r="J18">
            <v>100</v>
          </cell>
          <cell r="O18">
            <v>126</v>
          </cell>
          <cell r="P18" t="str">
            <v>Fecha de lect.Bact. 27/08/2001</v>
          </cell>
        </row>
        <row r="19">
          <cell r="A19">
            <v>37173</v>
          </cell>
          <cell r="B19">
            <v>22</v>
          </cell>
          <cell r="C19">
            <v>0.3</v>
          </cell>
          <cell r="D19">
            <v>3.5</v>
          </cell>
          <cell r="E19">
            <v>11</v>
          </cell>
          <cell r="F19">
            <v>8</v>
          </cell>
          <cell r="G19">
            <v>2.347</v>
          </cell>
          <cell r="H19">
            <v>8.3699999999999992</v>
          </cell>
          <cell r="I19">
            <v>53</v>
          </cell>
          <cell r="J19">
            <v>100</v>
          </cell>
          <cell r="O19">
            <v>83</v>
          </cell>
        </row>
        <row r="20">
          <cell r="A20">
            <v>37203</v>
          </cell>
          <cell r="B20">
            <v>27</v>
          </cell>
          <cell r="C20">
            <v>0.3</v>
          </cell>
          <cell r="D20">
            <v>2.5</v>
          </cell>
          <cell r="E20">
            <v>13</v>
          </cell>
          <cell r="F20">
            <v>150</v>
          </cell>
          <cell r="G20">
            <v>2.2883</v>
          </cell>
          <cell r="H20">
            <v>7.7</v>
          </cell>
          <cell r="I20">
            <v>58</v>
          </cell>
          <cell r="J20">
            <v>100</v>
          </cell>
          <cell r="O20">
            <v>99</v>
          </cell>
          <cell r="P20" t="str">
            <v xml:space="preserve">se tiró oil a pileta de tierra, </v>
          </cell>
        </row>
        <row r="21">
          <cell r="A21">
            <v>37229</v>
          </cell>
          <cell r="B21">
            <v>21</v>
          </cell>
          <cell r="C21">
            <v>0.1</v>
          </cell>
          <cell r="D21">
            <v>3</v>
          </cell>
          <cell r="E21">
            <v>12</v>
          </cell>
          <cell r="F21">
            <v>800</v>
          </cell>
          <cell r="G21">
            <v>2.415</v>
          </cell>
          <cell r="H21">
            <v>6.5</v>
          </cell>
          <cell r="I21">
            <v>56</v>
          </cell>
          <cell r="J21">
            <v>100</v>
          </cell>
          <cell r="O21">
            <v>73</v>
          </cell>
          <cell r="P21" t="str">
            <v>Lect.Bact.8/11/01</v>
          </cell>
        </row>
        <row r="22">
          <cell r="A22">
            <v>37265</v>
          </cell>
          <cell r="B22">
            <v>27</v>
          </cell>
          <cell r="C22">
            <v>0.35</v>
          </cell>
          <cell r="D22">
            <v>1.5</v>
          </cell>
          <cell r="E22">
            <v>5</v>
          </cell>
          <cell r="F22">
            <v>400</v>
          </cell>
          <cell r="G22">
            <v>2.3363999999999998</v>
          </cell>
          <cell r="H22">
            <v>7.1</v>
          </cell>
          <cell r="I22">
            <v>43</v>
          </cell>
          <cell r="J22">
            <v>100</v>
          </cell>
          <cell r="O22">
            <v>44</v>
          </cell>
          <cell r="P22" t="str">
            <v>Lect.Bact.8/11/01</v>
          </cell>
        </row>
        <row r="23">
          <cell r="A23">
            <v>37288</v>
          </cell>
          <cell r="B23">
            <v>13</v>
          </cell>
          <cell r="C23">
            <v>0.15</v>
          </cell>
          <cell r="D23">
            <v>0.1</v>
          </cell>
          <cell r="E23">
            <v>10</v>
          </cell>
          <cell r="F23">
            <v>100</v>
          </cell>
          <cell r="G23">
            <v>2.4049999999999998</v>
          </cell>
          <cell r="H23">
            <v>7.2</v>
          </cell>
          <cell r="I23">
            <v>74</v>
          </cell>
          <cell r="J23">
            <v>100</v>
          </cell>
          <cell r="O23">
            <v>94</v>
          </cell>
        </row>
        <row r="24">
          <cell r="A24">
            <v>37328</v>
          </cell>
          <cell r="B24">
            <v>9</v>
          </cell>
          <cell r="C24">
            <v>0.1</v>
          </cell>
          <cell r="D24">
            <v>3</v>
          </cell>
          <cell r="E24">
            <v>10</v>
          </cell>
          <cell r="F24">
            <v>10</v>
          </cell>
          <cell r="G24">
            <v>2.3363999999999998</v>
          </cell>
          <cell r="H24">
            <v>7.3</v>
          </cell>
          <cell r="I24">
            <v>54</v>
          </cell>
          <cell r="J24">
            <v>100</v>
          </cell>
          <cell r="O24">
            <v>51</v>
          </cell>
        </row>
        <row r="25">
          <cell r="A25">
            <v>37361</v>
          </cell>
          <cell r="B25">
            <v>12</v>
          </cell>
          <cell r="C25">
            <v>0.1</v>
          </cell>
          <cell r="D25">
            <v>3.5</v>
          </cell>
          <cell r="E25">
            <v>10</v>
          </cell>
          <cell r="F25">
            <v>8</v>
          </cell>
          <cell r="G25">
            <v>2.4508999999999999</v>
          </cell>
          <cell r="H25">
            <v>7.4</v>
          </cell>
          <cell r="I25">
            <v>53</v>
          </cell>
          <cell r="J25">
            <v>1000</v>
          </cell>
          <cell r="O25">
            <v>158</v>
          </cell>
        </row>
        <row r="26">
          <cell r="A26">
            <v>37410</v>
          </cell>
          <cell r="B26">
            <v>13</v>
          </cell>
          <cell r="C26">
            <v>0.15</v>
          </cell>
          <cell r="D26">
            <v>3.5</v>
          </cell>
          <cell r="E26">
            <v>10</v>
          </cell>
          <cell r="F26">
            <v>80</v>
          </cell>
          <cell r="G26">
            <v>2.4937</v>
          </cell>
          <cell r="H26">
            <v>7.1</v>
          </cell>
          <cell r="I26">
            <v>41</v>
          </cell>
          <cell r="J26">
            <v>1000</v>
          </cell>
          <cell r="O26">
            <v>272</v>
          </cell>
        </row>
        <row r="27">
          <cell r="A27">
            <v>37440</v>
          </cell>
          <cell r="B27">
            <v>18</v>
          </cell>
          <cell r="C27">
            <v>0.6</v>
          </cell>
          <cell r="D27">
            <v>1</v>
          </cell>
          <cell r="E27">
            <v>11</v>
          </cell>
          <cell r="F27">
            <v>8</v>
          </cell>
          <cell r="G27">
            <v>2.6315</v>
          </cell>
          <cell r="H27">
            <v>7.1</v>
          </cell>
          <cell r="I27">
            <v>52</v>
          </cell>
          <cell r="J27">
            <v>100</v>
          </cell>
          <cell r="O27">
            <v>106</v>
          </cell>
        </row>
        <row r="28">
          <cell r="A28">
            <v>37470</v>
          </cell>
          <cell r="B28">
            <v>16</v>
          </cell>
          <cell r="C28">
            <v>0.4</v>
          </cell>
          <cell r="D28">
            <v>1</v>
          </cell>
          <cell r="E28">
            <v>14</v>
          </cell>
          <cell r="F28">
            <v>100</v>
          </cell>
          <cell r="G28">
            <v>2.5906699999999998</v>
          </cell>
          <cell r="H28">
            <v>7.3</v>
          </cell>
          <cell r="I28">
            <v>54</v>
          </cell>
          <cell r="J28">
            <v>10000</v>
          </cell>
          <cell r="O28">
            <v>214</v>
          </cell>
        </row>
        <row r="29">
          <cell r="A29">
            <v>37505</v>
          </cell>
          <cell r="B29">
            <v>9</v>
          </cell>
          <cell r="C29">
            <v>0.4</v>
          </cell>
          <cell r="D29">
            <v>2</v>
          </cell>
          <cell r="E29">
            <v>12</v>
          </cell>
          <cell r="F29">
            <v>40</v>
          </cell>
          <cell r="G29">
            <v>2.6595569999999999</v>
          </cell>
          <cell r="H29">
            <v>7</v>
          </cell>
          <cell r="I29">
            <v>50</v>
          </cell>
          <cell r="J29">
            <v>100</v>
          </cell>
          <cell r="O29">
            <v>128</v>
          </cell>
        </row>
        <row r="30">
          <cell r="A30">
            <v>37538</v>
          </cell>
          <cell r="B30">
            <v>7</v>
          </cell>
          <cell r="C30">
            <v>0.4</v>
          </cell>
          <cell r="D30">
            <v>3</v>
          </cell>
          <cell r="E30">
            <v>13</v>
          </cell>
          <cell r="F30">
            <v>150</v>
          </cell>
          <cell r="G30">
            <v>2.7776999999999998</v>
          </cell>
          <cell r="H30">
            <v>7</v>
          </cell>
          <cell r="I30">
            <v>54</v>
          </cell>
          <cell r="J30">
            <v>1000</v>
          </cell>
          <cell r="O30">
            <v>80</v>
          </cell>
        </row>
        <row r="31">
          <cell r="A31">
            <v>37572</v>
          </cell>
          <cell r="B31">
            <v>5</v>
          </cell>
          <cell r="C31">
            <v>0.12</v>
          </cell>
          <cell r="D31">
            <v>1</v>
          </cell>
          <cell r="E31">
            <v>10</v>
          </cell>
          <cell r="F31">
            <v>30</v>
          </cell>
          <cell r="G31">
            <v>2.7855099999999999</v>
          </cell>
          <cell r="H31">
            <v>6.7</v>
          </cell>
          <cell r="I31">
            <v>56</v>
          </cell>
          <cell r="J31">
            <v>100</v>
          </cell>
          <cell r="O31">
            <v>74</v>
          </cell>
        </row>
        <row r="32">
          <cell r="A32">
            <v>37595</v>
          </cell>
          <cell r="B32">
            <v>19</v>
          </cell>
          <cell r="C32">
            <v>1.6</v>
          </cell>
          <cell r="D32">
            <v>1</v>
          </cell>
          <cell r="E32">
            <v>10</v>
          </cell>
          <cell r="F32">
            <v>60</v>
          </cell>
          <cell r="G32">
            <v>2.8248500000000001</v>
          </cell>
          <cell r="H32">
            <v>7</v>
          </cell>
          <cell r="I32">
            <v>57</v>
          </cell>
          <cell r="J32">
            <v>1000</v>
          </cell>
        </row>
        <row r="33">
          <cell r="A33">
            <v>37635</v>
          </cell>
          <cell r="B33">
            <v>14</v>
          </cell>
          <cell r="C33">
            <v>0.19</v>
          </cell>
          <cell r="D33">
            <v>4</v>
          </cell>
          <cell r="E33">
            <v>9</v>
          </cell>
          <cell r="F33">
            <v>80</v>
          </cell>
          <cell r="G33">
            <v>2.5640999999999998</v>
          </cell>
          <cell r="H33">
            <v>7.81</v>
          </cell>
          <cell r="I33">
            <v>57</v>
          </cell>
          <cell r="J33">
            <v>1000</v>
          </cell>
          <cell r="O33">
            <v>208</v>
          </cell>
        </row>
        <row r="34">
          <cell r="A34">
            <v>37658</v>
          </cell>
          <cell r="B34">
            <v>10</v>
          </cell>
          <cell r="C34">
            <v>0.24</v>
          </cell>
          <cell r="D34">
            <v>3</v>
          </cell>
          <cell r="E34">
            <v>10</v>
          </cell>
          <cell r="F34">
            <v>4</v>
          </cell>
          <cell r="G34">
            <v>2.5838999999999999</v>
          </cell>
          <cell r="H34">
            <v>7.6</v>
          </cell>
          <cell r="I34">
            <v>52</v>
          </cell>
          <cell r="J34">
            <v>100</v>
          </cell>
          <cell r="O34">
            <v>60</v>
          </cell>
        </row>
        <row r="35">
          <cell r="A35">
            <v>37705</v>
          </cell>
          <cell r="B35">
            <v>10</v>
          </cell>
          <cell r="C35">
            <v>0.2</v>
          </cell>
          <cell r="D35">
            <v>3</v>
          </cell>
          <cell r="E35">
            <v>9</v>
          </cell>
          <cell r="F35">
            <v>4</v>
          </cell>
          <cell r="G35">
            <v>2.7100200000000001</v>
          </cell>
          <cell r="H35">
            <v>7.4</v>
          </cell>
          <cell r="I35">
            <v>57</v>
          </cell>
          <cell r="J35">
            <v>1000</v>
          </cell>
          <cell r="O35">
            <v>34</v>
          </cell>
        </row>
        <row r="36">
          <cell r="A36">
            <v>37763</v>
          </cell>
          <cell r="B36">
            <v>10</v>
          </cell>
          <cell r="C36">
            <v>0.79</v>
          </cell>
          <cell r="D36">
            <v>3</v>
          </cell>
          <cell r="E36">
            <v>8</v>
          </cell>
          <cell r="F36">
            <v>60</v>
          </cell>
          <cell r="G36">
            <v>3.2258</v>
          </cell>
          <cell r="H36">
            <v>7.79</v>
          </cell>
          <cell r="I36">
            <v>54</v>
          </cell>
          <cell r="J36">
            <v>100</v>
          </cell>
          <cell r="O36">
            <v>407</v>
          </cell>
        </row>
        <row r="37">
          <cell r="A37">
            <v>37805</v>
          </cell>
          <cell r="B37">
            <v>23</v>
          </cell>
          <cell r="C37">
            <v>0.32</v>
          </cell>
          <cell r="D37">
            <v>1.5</v>
          </cell>
          <cell r="E37">
            <v>11</v>
          </cell>
          <cell r="F37">
            <v>6</v>
          </cell>
          <cell r="G37">
            <v>3.3333333333333335</v>
          </cell>
          <cell r="H37">
            <v>7.42</v>
          </cell>
          <cell r="I37">
            <v>52</v>
          </cell>
          <cell r="J37">
            <v>100</v>
          </cell>
          <cell r="O37">
            <v>176</v>
          </cell>
        </row>
        <row r="38">
          <cell r="A38">
            <v>37845</v>
          </cell>
          <cell r="B38">
            <v>17</v>
          </cell>
          <cell r="C38">
            <v>0.16</v>
          </cell>
          <cell r="D38">
            <v>3</v>
          </cell>
          <cell r="E38">
            <v>25</v>
          </cell>
          <cell r="F38">
            <v>2</v>
          </cell>
          <cell r="G38">
            <v>3.1539999999999999</v>
          </cell>
          <cell r="H38">
            <v>7.26</v>
          </cell>
          <cell r="I38">
            <v>67</v>
          </cell>
          <cell r="J38">
            <v>10</v>
          </cell>
          <cell r="O38">
            <v>14</v>
          </cell>
        </row>
        <row r="39">
          <cell r="A39">
            <v>37917</v>
          </cell>
          <cell r="B39">
            <v>14</v>
          </cell>
          <cell r="C39">
            <v>0.1</v>
          </cell>
          <cell r="D39">
            <v>3</v>
          </cell>
          <cell r="E39">
            <v>6</v>
          </cell>
          <cell r="F39">
            <v>8</v>
          </cell>
          <cell r="G39">
            <v>2.4649999999999999</v>
          </cell>
          <cell r="H39">
            <v>7.4</v>
          </cell>
          <cell r="I39">
            <v>55</v>
          </cell>
          <cell r="J39">
            <v>100</v>
          </cell>
          <cell r="O39">
            <v>172</v>
          </cell>
        </row>
        <row r="40">
          <cell r="A40">
            <v>38044</v>
          </cell>
          <cell r="J40">
            <v>100</v>
          </cell>
        </row>
        <row r="41">
          <cell r="A41">
            <v>38083</v>
          </cell>
          <cell r="J41">
            <v>100</v>
          </cell>
        </row>
        <row r="42">
          <cell r="A42">
            <v>38089</v>
          </cell>
          <cell r="J42">
            <v>100</v>
          </cell>
        </row>
        <row r="43">
          <cell r="A43">
            <v>38094</v>
          </cell>
          <cell r="B43">
            <v>15</v>
          </cell>
          <cell r="C43">
            <v>0.41</v>
          </cell>
          <cell r="D43">
            <v>8.4</v>
          </cell>
          <cell r="E43">
            <v>6</v>
          </cell>
          <cell r="F43">
            <v>200</v>
          </cell>
          <cell r="G43">
            <v>2.0750000000000002</v>
          </cell>
          <cell r="H43">
            <v>7.6</v>
          </cell>
          <cell r="I43">
            <v>54</v>
          </cell>
          <cell r="J43">
            <v>10</v>
          </cell>
          <cell r="O43">
            <v>30</v>
          </cell>
        </row>
        <row r="44">
          <cell r="A44">
            <v>38111</v>
          </cell>
          <cell r="J44">
            <v>100</v>
          </cell>
        </row>
        <row r="45">
          <cell r="A45">
            <v>38127</v>
          </cell>
          <cell r="B45">
            <v>12</v>
          </cell>
          <cell r="C45">
            <v>0.57999999999999996</v>
          </cell>
          <cell r="D45">
            <v>5</v>
          </cell>
          <cell r="E45">
            <v>8</v>
          </cell>
          <cell r="F45">
            <v>100</v>
          </cell>
          <cell r="G45">
            <v>2.0569999999999999</v>
          </cell>
          <cell r="H45">
            <v>7.7</v>
          </cell>
          <cell r="I45">
            <v>58</v>
          </cell>
          <cell r="J45">
            <v>100</v>
          </cell>
          <cell r="O45">
            <v>304</v>
          </cell>
        </row>
        <row r="46">
          <cell r="A46">
            <v>38218</v>
          </cell>
          <cell r="B46">
            <v>13</v>
          </cell>
          <cell r="C46">
            <v>0.7</v>
          </cell>
          <cell r="D46">
            <v>3</v>
          </cell>
          <cell r="E46">
            <v>11</v>
          </cell>
          <cell r="F46">
            <v>50</v>
          </cell>
          <cell r="G46">
            <v>2.1644999999999999</v>
          </cell>
          <cell r="H46">
            <v>7.2</v>
          </cell>
          <cell r="I46">
            <v>58</v>
          </cell>
          <cell r="J46">
            <v>10000</v>
          </cell>
          <cell r="O46">
            <v>51</v>
          </cell>
        </row>
        <row r="47">
          <cell r="A47">
            <v>38267</v>
          </cell>
          <cell r="D47">
            <v>4</v>
          </cell>
          <cell r="E47">
            <v>11</v>
          </cell>
          <cell r="F47">
            <v>10</v>
          </cell>
          <cell r="H47">
            <v>7.3</v>
          </cell>
          <cell r="I47">
            <v>52</v>
          </cell>
          <cell r="J47">
            <v>100</v>
          </cell>
          <cell r="O47">
            <v>36</v>
          </cell>
        </row>
        <row r="48">
          <cell r="A48">
            <v>38280</v>
          </cell>
          <cell r="J48">
            <v>1000</v>
          </cell>
        </row>
        <row r="49">
          <cell r="A49">
            <v>38301</v>
          </cell>
          <cell r="D49">
            <v>3</v>
          </cell>
          <cell r="E49">
            <v>8</v>
          </cell>
          <cell r="F49">
            <v>40</v>
          </cell>
          <cell r="H49">
            <v>7.74</v>
          </cell>
          <cell r="I49">
            <v>58</v>
          </cell>
          <cell r="J49">
            <v>100</v>
          </cell>
          <cell r="O49">
            <v>50</v>
          </cell>
        </row>
        <row r="50">
          <cell r="A50">
            <v>38331</v>
          </cell>
          <cell r="D50">
            <v>4</v>
          </cell>
          <cell r="E50">
            <v>5</v>
          </cell>
          <cell r="F50">
            <v>10</v>
          </cell>
          <cell r="H50">
            <v>7.56</v>
          </cell>
          <cell r="I50">
            <v>59</v>
          </cell>
          <cell r="J50">
            <v>10</v>
          </cell>
          <cell r="O50">
            <v>126</v>
          </cell>
        </row>
        <row r="51">
          <cell r="A51">
            <v>38376</v>
          </cell>
          <cell r="B51">
            <v>19</v>
          </cell>
          <cell r="C51">
            <v>0.35</v>
          </cell>
          <cell r="D51">
            <v>4</v>
          </cell>
          <cell r="E51">
            <v>8</v>
          </cell>
          <cell r="F51">
            <v>60</v>
          </cell>
          <cell r="G51">
            <v>2.6522999999999999</v>
          </cell>
          <cell r="H51">
            <v>7.85</v>
          </cell>
          <cell r="I51">
            <v>59</v>
          </cell>
          <cell r="J51">
            <v>100</v>
          </cell>
          <cell r="O51">
            <v>406</v>
          </cell>
        </row>
        <row r="52">
          <cell r="A52">
            <v>38401</v>
          </cell>
          <cell r="B52">
            <v>6</v>
          </cell>
          <cell r="C52">
            <v>0.16</v>
          </cell>
          <cell r="D52">
            <v>4</v>
          </cell>
          <cell r="E52">
            <v>8</v>
          </cell>
          <cell r="F52">
            <v>30</v>
          </cell>
          <cell r="G52">
            <v>2.8010999999999999</v>
          </cell>
          <cell r="H52">
            <v>7.84</v>
          </cell>
          <cell r="I52">
            <v>61</v>
          </cell>
          <cell r="J52">
            <v>100</v>
          </cell>
          <cell r="O52">
            <v>101</v>
          </cell>
        </row>
        <row r="53">
          <cell r="A53">
            <v>38414</v>
          </cell>
          <cell r="B53">
            <v>15</v>
          </cell>
          <cell r="C53">
            <v>0.05</v>
          </cell>
          <cell r="D53">
            <v>3</v>
          </cell>
          <cell r="E53">
            <v>7</v>
          </cell>
          <cell r="F53">
            <v>40</v>
          </cell>
          <cell r="G53">
            <v>2.7172999999999998</v>
          </cell>
          <cell r="H53">
            <v>7.64</v>
          </cell>
          <cell r="I53">
            <v>62</v>
          </cell>
          <cell r="J53">
            <v>10</v>
          </cell>
          <cell r="O53">
            <v>288</v>
          </cell>
        </row>
        <row r="54">
          <cell r="A54">
            <v>38456</v>
          </cell>
          <cell r="D54">
            <v>5</v>
          </cell>
          <cell r="E54">
            <v>9</v>
          </cell>
          <cell r="F54">
            <v>20</v>
          </cell>
          <cell r="H54">
            <v>7.78</v>
          </cell>
          <cell r="I54">
            <v>53</v>
          </cell>
          <cell r="J54">
            <v>1000</v>
          </cell>
          <cell r="O54">
            <v>17</v>
          </cell>
        </row>
      </sheetData>
      <sheetData sheetId="7">
        <row r="7">
          <cell r="A7">
            <v>36854</v>
          </cell>
          <cell r="B7">
            <v>22</v>
          </cell>
          <cell r="C7">
            <v>0.32</v>
          </cell>
          <cell r="D7">
            <v>2.8</v>
          </cell>
          <cell r="E7">
            <v>12</v>
          </cell>
          <cell r="F7">
            <v>0</v>
          </cell>
          <cell r="G7">
            <v>2.1891418563922942</v>
          </cell>
          <cell r="H7">
            <v>7.64</v>
          </cell>
          <cell r="I7">
            <v>56</v>
          </cell>
          <cell r="J7">
            <v>1000</v>
          </cell>
          <cell r="O7">
            <v>44</v>
          </cell>
        </row>
        <row r="8">
          <cell r="A8">
            <v>36871</v>
          </cell>
          <cell r="B8">
            <v>23</v>
          </cell>
          <cell r="C8">
            <v>0.49</v>
          </cell>
          <cell r="D8">
            <v>3.2</v>
          </cell>
          <cell r="E8">
            <v>13</v>
          </cell>
          <cell r="F8">
            <v>0.05</v>
          </cell>
          <cell r="G8">
            <v>2.2123893805309733</v>
          </cell>
          <cell r="H8">
            <v>7.71</v>
          </cell>
          <cell r="I8">
            <v>56</v>
          </cell>
          <cell r="J8">
            <v>1000</v>
          </cell>
          <cell r="O8">
            <v>48</v>
          </cell>
        </row>
        <row r="9">
          <cell r="A9">
            <v>36879</v>
          </cell>
          <cell r="B9">
            <v>20</v>
          </cell>
          <cell r="C9">
            <v>0.26</v>
          </cell>
          <cell r="D9">
            <v>3.15</v>
          </cell>
          <cell r="E9">
            <v>12</v>
          </cell>
          <cell r="F9">
            <v>0</v>
          </cell>
          <cell r="G9">
            <v>2.2381378692927485</v>
          </cell>
          <cell r="H9">
            <v>7.72</v>
          </cell>
          <cell r="I9">
            <v>55</v>
          </cell>
          <cell r="J9">
            <v>1000</v>
          </cell>
          <cell r="O9">
            <v>160</v>
          </cell>
        </row>
        <row r="10">
          <cell r="A10">
            <v>36887</v>
          </cell>
          <cell r="B10">
            <v>36</v>
          </cell>
          <cell r="C10">
            <v>0.28999999999999998</v>
          </cell>
          <cell r="D10">
            <v>4.08</v>
          </cell>
          <cell r="E10">
            <v>10</v>
          </cell>
          <cell r="F10">
            <v>5.0000000000000001E-3</v>
          </cell>
          <cell r="G10">
            <v>2.192982456140351</v>
          </cell>
          <cell r="H10">
            <v>7.72</v>
          </cell>
          <cell r="I10">
            <v>53</v>
          </cell>
          <cell r="J10">
            <v>1000</v>
          </cell>
          <cell r="O10">
            <v>48</v>
          </cell>
        </row>
        <row r="11">
          <cell r="A11">
            <v>36907</v>
          </cell>
          <cell r="B11">
            <v>22</v>
          </cell>
          <cell r="C11">
            <v>0.23</v>
          </cell>
          <cell r="D11">
            <v>5</v>
          </cell>
          <cell r="E11">
            <v>8</v>
          </cell>
          <cell r="F11">
            <v>0.05</v>
          </cell>
          <cell r="G11">
            <v>2.1881838074398248</v>
          </cell>
          <cell r="H11">
            <v>7.8</v>
          </cell>
          <cell r="I11">
            <v>56</v>
          </cell>
          <cell r="J11">
            <v>100</v>
          </cell>
          <cell r="O11">
            <v>2580</v>
          </cell>
        </row>
        <row r="12">
          <cell r="A12">
            <v>36958</v>
          </cell>
          <cell r="C12">
            <v>0.5</v>
          </cell>
          <cell r="D12">
            <v>2.9</v>
          </cell>
          <cell r="E12">
            <v>10</v>
          </cell>
          <cell r="F12">
            <v>250</v>
          </cell>
          <cell r="I12">
            <v>53</v>
          </cell>
          <cell r="J12">
            <v>100</v>
          </cell>
          <cell r="O12">
            <v>74</v>
          </cell>
        </row>
        <row r="13">
          <cell r="A13">
            <v>36964</v>
          </cell>
          <cell r="O13">
            <v>141</v>
          </cell>
        </row>
        <row r="14">
          <cell r="A14">
            <v>36969</v>
          </cell>
          <cell r="O14">
            <v>69</v>
          </cell>
        </row>
        <row r="15">
          <cell r="A15">
            <v>36976</v>
          </cell>
          <cell r="O15">
            <v>212</v>
          </cell>
        </row>
        <row r="16">
          <cell r="A16">
            <v>36984</v>
          </cell>
          <cell r="C16">
            <v>0.65</v>
          </cell>
          <cell r="D16">
            <v>2</v>
          </cell>
          <cell r="E16">
            <v>12</v>
          </cell>
          <cell r="F16">
            <v>150</v>
          </cell>
          <cell r="G16">
            <v>2.1881838074398248</v>
          </cell>
          <cell r="H16">
            <v>7.56</v>
          </cell>
          <cell r="I16">
            <v>57</v>
          </cell>
          <cell r="J16">
            <v>100</v>
          </cell>
          <cell r="O16">
            <v>12030</v>
          </cell>
          <cell r="P16" t="str">
            <v>se tiró y recup. Oil de pileta</v>
          </cell>
        </row>
        <row r="17">
          <cell r="A17">
            <v>37006</v>
          </cell>
          <cell r="B17">
            <v>24</v>
          </cell>
          <cell r="C17">
            <v>0.32</v>
          </cell>
          <cell r="D17">
            <v>2.5</v>
          </cell>
          <cell r="E17">
            <v>26</v>
          </cell>
          <cell r="F17">
            <v>40</v>
          </cell>
          <cell r="H17">
            <v>7.57</v>
          </cell>
          <cell r="I17">
            <v>50</v>
          </cell>
          <cell r="J17">
            <v>100</v>
          </cell>
          <cell r="O17">
            <v>1639</v>
          </cell>
        </row>
        <row r="18">
          <cell r="A18">
            <v>37033</v>
          </cell>
          <cell r="B18">
            <v>16</v>
          </cell>
          <cell r="C18">
            <v>0.1</v>
          </cell>
          <cell r="D18">
            <v>4</v>
          </cell>
          <cell r="E18">
            <v>4</v>
          </cell>
          <cell r="F18">
            <v>500</v>
          </cell>
          <cell r="G18">
            <v>2.3310023310023311</v>
          </cell>
          <cell r="H18">
            <v>7.08</v>
          </cell>
          <cell r="I18">
            <v>54</v>
          </cell>
          <cell r="J18">
            <v>100</v>
          </cell>
          <cell r="O18">
            <v>63</v>
          </cell>
          <cell r="P18" t="str">
            <v xml:space="preserve">pileta con Petroleo </v>
          </cell>
        </row>
        <row r="19">
          <cell r="A19">
            <v>37062</v>
          </cell>
          <cell r="B19">
            <v>22</v>
          </cell>
          <cell r="C19">
            <v>0.2</v>
          </cell>
          <cell r="D19">
            <v>2.5</v>
          </cell>
          <cell r="E19">
            <v>14</v>
          </cell>
          <cell r="F19">
            <v>10</v>
          </cell>
          <cell r="G19">
            <v>2.169</v>
          </cell>
          <cell r="H19">
            <v>7.61</v>
          </cell>
          <cell r="I19">
            <v>51</v>
          </cell>
          <cell r="J19">
            <v>100</v>
          </cell>
          <cell r="O19">
            <v>317</v>
          </cell>
          <cell r="P19" t="str">
            <v xml:space="preserve">pileta con Petroleo </v>
          </cell>
        </row>
        <row r="20">
          <cell r="A20">
            <v>37089</v>
          </cell>
          <cell r="B20">
            <v>4</v>
          </cell>
          <cell r="C20">
            <v>0.1</v>
          </cell>
          <cell r="D20">
            <v>4.5</v>
          </cell>
          <cell r="E20">
            <v>24</v>
          </cell>
          <cell r="F20">
            <v>20</v>
          </cell>
          <cell r="G20">
            <v>2.2679999999999998</v>
          </cell>
          <cell r="H20">
            <v>7.66</v>
          </cell>
          <cell r="I20">
            <v>48</v>
          </cell>
          <cell r="J20">
            <v>100</v>
          </cell>
          <cell r="O20">
            <v>290</v>
          </cell>
          <cell r="P20" t="str">
            <v xml:space="preserve">pileta con Petroleo </v>
          </cell>
        </row>
        <row r="21">
          <cell r="A21">
            <v>37144</v>
          </cell>
          <cell r="B21">
            <v>15</v>
          </cell>
          <cell r="C21">
            <v>0.1</v>
          </cell>
          <cell r="D21">
            <v>2</v>
          </cell>
          <cell r="E21">
            <v>11</v>
          </cell>
          <cell r="F21">
            <v>10</v>
          </cell>
          <cell r="G21">
            <v>2.27</v>
          </cell>
          <cell r="H21">
            <v>7.8</v>
          </cell>
          <cell r="I21">
            <v>50</v>
          </cell>
          <cell r="J21">
            <v>100</v>
          </cell>
          <cell r="O21">
            <v>91</v>
          </cell>
          <cell r="P21" t="str">
            <v>Fecha de lect.Bact. 27/08/2001</v>
          </cell>
        </row>
        <row r="22">
          <cell r="A22">
            <v>37146</v>
          </cell>
          <cell r="O22">
            <v>168</v>
          </cell>
        </row>
        <row r="23">
          <cell r="A23">
            <v>37148</v>
          </cell>
          <cell r="O23">
            <v>98</v>
          </cell>
        </row>
        <row r="24">
          <cell r="A24">
            <v>37151</v>
          </cell>
          <cell r="O24">
            <v>62</v>
          </cell>
        </row>
        <row r="25">
          <cell r="A25">
            <v>37153</v>
          </cell>
          <cell r="O25">
            <v>81</v>
          </cell>
        </row>
        <row r="26">
          <cell r="A26">
            <v>37155</v>
          </cell>
          <cell r="O26">
            <v>85</v>
          </cell>
        </row>
        <row r="27">
          <cell r="A27">
            <v>37158</v>
          </cell>
          <cell r="O27">
            <v>122</v>
          </cell>
        </row>
        <row r="28">
          <cell r="A28">
            <v>37160</v>
          </cell>
          <cell r="O28">
            <v>69</v>
          </cell>
        </row>
        <row r="29">
          <cell r="A29">
            <v>37162</v>
          </cell>
          <cell r="O29">
            <v>59</v>
          </cell>
        </row>
        <row r="30">
          <cell r="A30">
            <v>37173</v>
          </cell>
          <cell r="B30">
            <v>20</v>
          </cell>
          <cell r="C30">
            <v>0.15</v>
          </cell>
          <cell r="D30">
            <v>4</v>
          </cell>
          <cell r="E30">
            <v>12</v>
          </cell>
          <cell r="F30">
            <v>8</v>
          </cell>
          <cell r="G30">
            <v>2.3359999999999999</v>
          </cell>
          <cell r="H30">
            <v>8.11</v>
          </cell>
          <cell r="I30">
            <v>52</v>
          </cell>
          <cell r="J30">
            <v>100</v>
          </cell>
          <cell r="O30">
            <v>48</v>
          </cell>
        </row>
        <row r="31">
          <cell r="A31">
            <v>37175</v>
          </cell>
          <cell r="O31">
            <v>85</v>
          </cell>
        </row>
        <row r="32">
          <cell r="A32">
            <v>37183</v>
          </cell>
          <cell r="O32">
            <v>99</v>
          </cell>
        </row>
        <row r="33">
          <cell r="A33">
            <v>37188</v>
          </cell>
          <cell r="O33">
            <v>457</v>
          </cell>
        </row>
        <row r="34">
          <cell r="A34">
            <v>37203</v>
          </cell>
          <cell r="B34">
            <v>26</v>
          </cell>
          <cell r="C34">
            <v>0.2</v>
          </cell>
          <cell r="D34">
            <v>3</v>
          </cell>
          <cell r="E34">
            <v>14</v>
          </cell>
          <cell r="F34">
            <v>100</v>
          </cell>
          <cell r="G34">
            <v>2.2726999999999999</v>
          </cell>
          <cell r="H34">
            <v>7.4</v>
          </cell>
          <cell r="I34">
            <v>55</v>
          </cell>
          <cell r="J34">
            <v>100</v>
          </cell>
          <cell r="O34">
            <v>138</v>
          </cell>
          <cell r="P34" t="str">
            <v>Fecha de Cult. 29/10</v>
          </cell>
        </row>
        <row r="35">
          <cell r="A35">
            <v>37229</v>
          </cell>
          <cell r="B35">
            <v>23</v>
          </cell>
          <cell r="C35">
            <v>0.2</v>
          </cell>
          <cell r="D35">
            <v>3</v>
          </cell>
          <cell r="E35">
            <v>12</v>
          </cell>
          <cell r="F35">
            <v>8</v>
          </cell>
          <cell r="G35">
            <v>2.4150999999999998</v>
          </cell>
          <cell r="H35">
            <v>6.7</v>
          </cell>
          <cell r="I35">
            <v>52</v>
          </cell>
          <cell r="J35">
            <v>100</v>
          </cell>
          <cell r="O35">
            <v>53</v>
          </cell>
          <cell r="P35" t="str">
            <v>Lect.Bact.8/11/01</v>
          </cell>
        </row>
        <row r="36">
          <cell r="A36">
            <v>37230</v>
          </cell>
          <cell r="M36">
            <v>19</v>
          </cell>
          <cell r="N36">
            <v>20.2</v>
          </cell>
          <cell r="P36" t="str">
            <v>Realizó BAKER</v>
          </cell>
        </row>
        <row r="37">
          <cell r="A37">
            <v>37236</v>
          </cell>
          <cell r="M37">
            <v>21.4</v>
          </cell>
          <cell r="N37">
            <v>25.1</v>
          </cell>
          <cell r="P37" t="str">
            <v>Realizó BAKER</v>
          </cell>
        </row>
        <row r="38">
          <cell r="A38">
            <v>37265</v>
          </cell>
          <cell r="B38">
            <v>29</v>
          </cell>
          <cell r="C38">
            <v>0.5</v>
          </cell>
          <cell r="D38">
            <v>1.5</v>
          </cell>
          <cell r="E38">
            <v>6</v>
          </cell>
          <cell r="F38">
            <v>60</v>
          </cell>
          <cell r="G38">
            <v>2.3094000000000001</v>
          </cell>
          <cell r="H38">
            <v>7.6</v>
          </cell>
          <cell r="I38">
            <v>41</v>
          </cell>
          <cell r="J38">
            <v>100</v>
          </cell>
          <cell r="O38">
            <v>139</v>
          </cell>
          <cell r="P38" t="str">
            <v>Lect.Bact. 8/11/01-O2med.23/01</v>
          </cell>
        </row>
        <row r="39">
          <cell r="A39">
            <v>37288</v>
          </cell>
          <cell r="B39">
            <v>18</v>
          </cell>
          <cell r="C39">
            <v>0.1</v>
          </cell>
          <cell r="D39">
            <v>1</v>
          </cell>
          <cell r="E39">
            <v>8</v>
          </cell>
          <cell r="F39">
            <v>4</v>
          </cell>
          <cell r="G39">
            <v>2.3980000000000001</v>
          </cell>
          <cell r="H39">
            <v>7.3</v>
          </cell>
          <cell r="I39">
            <v>51</v>
          </cell>
          <cell r="J39">
            <v>10</v>
          </cell>
          <cell r="O39">
            <v>59</v>
          </cell>
        </row>
        <row r="40">
          <cell r="A40">
            <v>37298</v>
          </cell>
          <cell r="O40">
            <v>40</v>
          </cell>
        </row>
        <row r="41">
          <cell r="A41">
            <v>37300</v>
          </cell>
          <cell r="O41">
            <v>36</v>
          </cell>
        </row>
        <row r="42">
          <cell r="A42">
            <v>37302</v>
          </cell>
          <cell r="O42">
            <v>44</v>
          </cell>
        </row>
        <row r="43">
          <cell r="A43">
            <v>37305</v>
          </cell>
          <cell r="O43">
            <v>40</v>
          </cell>
        </row>
        <row r="44">
          <cell r="A44">
            <v>37309</v>
          </cell>
          <cell r="O44">
            <v>24</v>
          </cell>
        </row>
        <row r="45">
          <cell r="A45">
            <v>37328</v>
          </cell>
          <cell r="B45">
            <v>13</v>
          </cell>
          <cell r="C45">
            <v>0.1</v>
          </cell>
          <cell r="D45">
            <v>5</v>
          </cell>
          <cell r="E45">
            <v>10</v>
          </cell>
          <cell r="F45">
            <v>10</v>
          </cell>
          <cell r="G45">
            <v>2.3529</v>
          </cell>
          <cell r="H45">
            <v>7.3</v>
          </cell>
          <cell r="I45">
            <v>56</v>
          </cell>
          <cell r="J45">
            <v>100</v>
          </cell>
          <cell r="O45">
            <v>50</v>
          </cell>
        </row>
        <row r="46">
          <cell r="A46">
            <v>37361</v>
          </cell>
          <cell r="B46">
            <v>13</v>
          </cell>
          <cell r="C46">
            <v>0.1</v>
          </cell>
          <cell r="D46">
            <v>4</v>
          </cell>
          <cell r="E46">
            <v>10</v>
          </cell>
          <cell r="F46">
            <v>4</v>
          </cell>
          <cell r="G46">
            <v>2.4037999999999999</v>
          </cell>
          <cell r="H46">
            <v>7.3</v>
          </cell>
          <cell r="I46">
            <v>56</v>
          </cell>
          <cell r="J46">
            <v>100</v>
          </cell>
          <cell r="O46">
            <v>136</v>
          </cell>
        </row>
        <row r="47">
          <cell r="A47">
            <v>37410</v>
          </cell>
          <cell r="B47">
            <v>12</v>
          </cell>
          <cell r="C47">
            <v>0.22</v>
          </cell>
          <cell r="D47">
            <v>4</v>
          </cell>
          <cell r="E47">
            <v>10</v>
          </cell>
          <cell r="F47">
            <v>30</v>
          </cell>
          <cell r="G47">
            <v>2.5640999999999998</v>
          </cell>
          <cell r="H47">
            <v>7.1</v>
          </cell>
          <cell r="I47">
            <v>43</v>
          </cell>
          <cell r="J47">
            <v>100</v>
          </cell>
          <cell r="O47">
            <v>240</v>
          </cell>
        </row>
        <row r="48">
          <cell r="A48">
            <v>37440</v>
          </cell>
          <cell r="B48">
            <v>19</v>
          </cell>
          <cell r="C48">
            <v>0.85</v>
          </cell>
          <cell r="D48">
            <v>0.6</v>
          </cell>
          <cell r="E48">
            <v>11</v>
          </cell>
          <cell r="F48">
            <v>60</v>
          </cell>
          <cell r="G48">
            <v>2.6109</v>
          </cell>
          <cell r="H48">
            <v>7.4</v>
          </cell>
          <cell r="I48">
            <v>52</v>
          </cell>
          <cell r="J48">
            <v>100</v>
          </cell>
          <cell r="O48">
            <v>80</v>
          </cell>
        </row>
        <row r="49">
          <cell r="A49">
            <v>37470</v>
          </cell>
          <cell r="B49">
            <v>17</v>
          </cell>
          <cell r="C49">
            <v>0.2</v>
          </cell>
          <cell r="D49">
            <v>2</v>
          </cell>
          <cell r="E49">
            <v>10</v>
          </cell>
          <cell r="F49">
            <v>200</v>
          </cell>
          <cell r="G49">
            <v>2.5938699999999999</v>
          </cell>
          <cell r="H49">
            <v>7.2</v>
          </cell>
          <cell r="I49">
            <v>53</v>
          </cell>
          <cell r="J49">
            <v>100</v>
          </cell>
          <cell r="O49">
            <v>174</v>
          </cell>
        </row>
        <row r="50">
          <cell r="A50">
            <v>37505</v>
          </cell>
          <cell r="B50">
            <v>8</v>
          </cell>
          <cell r="C50">
            <v>0.34</v>
          </cell>
          <cell r="D50">
            <v>1.5</v>
          </cell>
          <cell r="E50">
            <v>10</v>
          </cell>
          <cell r="F50">
            <v>30</v>
          </cell>
          <cell r="G50">
            <v>2.6737000000000002</v>
          </cell>
          <cell r="H50">
            <v>7</v>
          </cell>
          <cell r="I50">
            <v>50</v>
          </cell>
          <cell r="J50">
            <v>100</v>
          </cell>
          <cell r="O50">
            <v>265</v>
          </cell>
        </row>
        <row r="51">
          <cell r="A51">
            <v>37538</v>
          </cell>
          <cell r="B51">
            <v>8</v>
          </cell>
          <cell r="C51">
            <v>0.41</v>
          </cell>
          <cell r="D51">
            <v>1.2</v>
          </cell>
          <cell r="E51">
            <v>12</v>
          </cell>
          <cell r="F51">
            <v>12</v>
          </cell>
          <cell r="G51">
            <v>2.7776999999999998</v>
          </cell>
          <cell r="H51">
            <v>7.1</v>
          </cell>
          <cell r="I51">
            <v>52</v>
          </cell>
          <cell r="J51">
            <v>1000</v>
          </cell>
          <cell r="O51">
            <v>98</v>
          </cell>
        </row>
        <row r="52">
          <cell r="A52">
            <v>37567</v>
          </cell>
          <cell r="F52">
            <v>40</v>
          </cell>
        </row>
        <row r="53">
          <cell r="A53">
            <v>37572</v>
          </cell>
          <cell r="B53">
            <v>6</v>
          </cell>
          <cell r="C53">
            <v>0.14000000000000001</v>
          </cell>
          <cell r="D53">
            <v>2</v>
          </cell>
          <cell r="E53">
            <v>13</v>
          </cell>
          <cell r="F53">
            <v>40</v>
          </cell>
          <cell r="G53">
            <v>2.80898</v>
          </cell>
          <cell r="H53">
            <v>6.8</v>
          </cell>
          <cell r="I53">
            <v>53</v>
          </cell>
          <cell r="J53">
            <v>100</v>
          </cell>
          <cell r="O53">
            <v>98</v>
          </cell>
        </row>
        <row r="54">
          <cell r="A54">
            <v>37592</v>
          </cell>
          <cell r="O54">
            <v>250.6</v>
          </cell>
        </row>
        <row r="55">
          <cell r="A55">
            <v>37595</v>
          </cell>
          <cell r="B55">
            <v>10</v>
          </cell>
          <cell r="C55">
            <v>0.44</v>
          </cell>
          <cell r="D55">
            <v>0.6</v>
          </cell>
          <cell r="E55">
            <v>10</v>
          </cell>
          <cell r="F55">
            <v>16</v>
          </cell>
          <cell r="G55">
            <v>2.7547999999999999</v>
          </cell>
          <cell r="H55">
            <v>6.9</v>
          </cell>
          <cell r="I55">
            <v>53</v>
          </cell>
          <cell r="J55">
            <v>10000</v>
          </cell>
          <cell r="O55">
            <v>442</v>
          </cell>
        </row>
        <row r="56">
          <cell r="A56">
            <v>37596</v>
          </cell>
          <cell r="O56">
            <v>480</v>
          </cell>
        </row>
        <row r="57">
          <cell r="A57">
            <v>37599</v>
          </cell>
          <cell r="O57">
            <v>442.1</v>
          </cell>
        </row>
        <row r="58">
          <cell r="A58">
            <v>37601</v>
          </cell>
          <cell r="O58">
            <v>155</v>
          </cell>
        </row>
        <row r="59">
          <cell r="A59">
            <v>37606</v>
          </cell>
          <cell r="O59">
            <v>86.5</v>
          </cell>
        </row>
        <row r="60">
          <cell r="A60">
            <v>37610</v>
          </cell>
          <cell r="O60">
            <v>252.9</v>
          </cell>
        </row>
        <row r="61">
          <cell r="A61">
            <v>37613</v>
          </cell>
          <cell r="O61">
            <v>212.3</v>
          </cell>
        </row>
        <row r="62">
          <cell r="A62">
            <v>37635</v>
          </cell>
          <cell r="B62">
            <v>13</v>
          </cell>
          <cell r="C62">
            <v>0.23</v>
          </cell>
          <cell r="D62">
            <v>3</v>
          </cell>
          <cell r="E62">
            <v>8</v>
          </cell>
          <cell r="F62">
            <v>16</v>
          </cell>
          <cell r="G62">
            <v>2.5773000000000001</v>
          </cell>
          <cell r="H62">
            <v>7.76</v>
          </cell>
          <cell r="I62">
            <v>56</v>
          </cell>
          <cell r="J62">
            <v>1000</v>
          </cell>
          <cell r="O62">
            <v>274</v>
          </cell>
        </row>
        <row r="63">
          <cell r="A63">
            <v>37658</v>
          </cell>
          <cell r="B63">
            <v>10</v>
          </cell>
          <cell r="C63">
            <v>0.13</v>
          </cell>
          <cell r="D63">
            <v>4</v>
          </cell>
          <cell r="E63">
            <v>11</v>
          </cell>
          <cell r="F63">
            <v>2</v>
          </cell>
          <cell r="G63">
            <v>2.5706000000000002</v>
          </cell>
          <cell r="H63">
            <v>7.56</v>
          </cell>
          <cell r="I63">
            <v>56</v>
          </cell>
          <cell r="J63">
            <v>100</v>
          </cell>
          <cell r="O63">
            <v>65</v>
          </cell>
        </row>
        <row r="64">
          <cell r="A64">
            <v>37705</v>
          </cell>
          <cell r="B64">
            <v>13</v>
          </cell>
          <cell r="C64">
            <v>0.16</v>
          </cell>
          <cell r="D64">
            <v>2</v>
          </cell>
          <cell r="E64">
            <v>7</v>
          </cell>
          <cell r="F64">
            <v>100</v>
          </cell>
          <cell r="G64">
            <v>2.7100200000000001</v>
          </cell>
          <cell r="H64">
            <v>7.66</v>
          </cell>
          <cell r="I64">
            <v>56</v>
          </cell>
          <cell r="J64">
            <v>1000</v>
          </cell>
          <cell r="O64">
            <v>30</v>
          </cell>
        </row>
        <row r="65">
          <cell r="A65">
            <v>37748</v>
          </cell>
          <cell r="C65">
            <v>0.32</v>
          </cell>
        </row>
        <row r="66">
          <cell r="A66">
            <v>37753</v>
          </cell>
          <cell r="O66">
            <v>70</v>
          </cell>
        </row>
        <row r="67">
          <cell r="A67">
            <v>37763</v>
          </cell>
          <cell r="B67">
            <v>8</v>
          </cell>
          <cell r="C67">
            <v>0.2</v>
          </cell>
          <cell r="D67">
            <v>0.1</v>
          </cell>
          <cell r="E67">
            <v>10</v>
          </cell>
          <cell r="F67">
            <v>4</v>
          </cell>
          <cell r="G67">
            <v>3.2050999999999998</v>
          </cell>
          <cell r="H67">
            <v>7.52</v>
          </cell>
          <cell r="I67">
            <v>51</v>
          </cell>
          <cell r="J67">
            <v>100</v>
          </cell>
          <cell r="O67">
            <v>225</v>
          </cell>
        </row>
        <row r="68">
          <cell r="A68">
            <v>37764</v>
          </cell>
          <cell r="O68">
            <v>171</v>
          </cell>
        </row>
        <row r="69">
          <cell r="A69">
            <v>37769</v>
          </cell>
          <cell r="O69">
            <v>118</v>
          </cell>
        </row>
        <row r="70">
          <cell r="A70">
            <v>37771</v>
          </cell>
          <cell r="O70">
            <v>151.30000000000001</v>
          </cell>
        </row>
        <row r="71">
          <cell r="A71">
            <v>37774</v>
          </cell>
          <cell r="O71">
            <v>176</v>
          </cell>
        </row>
        <row r="72">
          <cell r="A72">
            <v>37776</v>
          </cell>
          <cell r="O72">
            <v>147</v>
          </cell>
        </row>
        <row r="73">
          <cell r="A73">
            <v>37781</v>
          </cell>
          <cell r="O73">
            <v>204</v>
          </cell>
        </row>
        <row r="74">
          <cell r="A74">
            <v>37788</v>
          </cell>
          <cell r="O74">
            <v>63.9</v>
          </cell>
        </row>
        <row r="75">
          <cell r="A75">
            <v>37799</v>
          </cell>
          <cell r="O75">
            <v>203.2</v>
          </cell>
        </row>
        <row r="76">
          <cell r="A76">
            <v>37803</v>
          </cell>
          <cell r="O76">
            <v>448.9</v>
          </cell>
        </row>
        <row r="77">
          <cell r="A77">
            <v>37805</v>
          </cell>
          <cell r="B77">
            <v>16</v>
          </cell>
          <cell r="C77">
            <v>0.36</v>
          </cell>
          <cell r="D77">
            <v>2</v>
          </cell>
          <cell r="E77">
            <v>9</v>
          </cell>
          <cell r="F77">
            <v>2</v>
          </cell>
          <cell r="G77">
            <v>3.3333333333333335</v>
          </cell>
          <cell r="H77">
            <v>7.25</v>
          </cell>
          <cell r="I77">
            <v>52</v>
          </cell>
          <cell r="J77">
            <v>100</v>
          </cell>
          <cell r="O77">
            <v>330</v>
          </cell>
        </row>
        <row r="78">
          <cell r="A78">
            <v>37806</v>
          </cell>
          <cell r="O78">
            <v>223.87</v>
          </cell>
        </row>
        <row r="79">
          <cell r="A79">
            <v>37823</v>
          </cell>
          <cell r="O79">
            <v>148.36000000000001</v>
          </cell>
        </row>
        <row r="80">
          <cell r="A80">
            <v>37827</v>
          </cell>
          <cell r="O80">
            <v>123.7</v>
          </cell>
        </row>
        <row r="81">
          <cell r="A81">
            <v>37834</v>
          </cell>
          <cell r="O81">
            <v>257.27999999999997</v>
          </cell>
        </row>
      </sheetData>
      <sheetData sheetId="8">
        <row r="7">
          <cell r="A7">
            <v>36854</v>
          </cell>
          <cell r="B7">
            <v>26</v>
          </cell>
          <cell r="C7">
            <v>0.95</v>
          </cell>
          <cell r="D7">
            <v>3</v>
          </cell>
          <cell r="E7">
            <v>16</v>
          </cell>
          <cell r="F7">
            <v>0</v>
          </cell>
          <cell r="G7">
            <v>2.2456770716370986</v>
          </cell>
          <cell r="H7">
            <v>7.58</v>
          </cell>
          <cell r="I7">
            <v>56</v>
          </cell>
          <cell r="J7">
            <v>1000</v>
          </cell>
          <cell r="O7">
            <v>43</v>
          </cell>
        </row>
        <row r="8">
          <cell r="A8">
            <v>36871</v>
          </cell>
          <cell r="B8">
            <v>27</v>
          </cell>
          <cell r="C8">
            <v>0.14000000000000001</v>
          </cell>
          <cell r="D8">
            <v>4</v>
          </cell>
          <cell r="E8">
            <v>10</v>
          </cell>
          <cell r="F8">
            <v>0</v>
          </cell>
          <cell r="G8">
            <v>2.2123893805309733</v>
          </cell>
          <cell r="H8">
            <v>7.69</v>
          </cell>
          <cell r="I8">
            <v>55</v>
          </cell>
          <cell r="J8">
            <v>1000</v>
          </cell>
          <cell r="O8">
            <v>26</v>
          </cell>
        </row>
        <row r="9">
          <cell r="A9">
            <v>36879</v>
          </cell>
          <cell r="B9">
            <v>29</v>
          </cell>
          <cell r="C9">
            <v>1.1000000000000001</v>
          </cell>
          <cell r="D9">
            <v>2.6</v>
          </cell>
          <cell r="E9">
            <v>13</v>
          </cell>
          <cell r="F9">
            <v>0</v>
          </cell>
          <cell r="G9">
            <v>2.3174971031286211</v>
          </cell>
          <cell r="H9">
            <v>7.65</v>
          </cell>
          <cell r="I9">
            <v>55</v>
          </cell>
          <cell r="J9">
            <v>1000</v>
          </cell>
          <cell r="O9">
            <v>108</v>
          </cell>
        </row>
        <row r="10">
          <cell r="A10">
            <v>36887</v>
          </cell>
          <cell r="B10">
            <v>34</v>
          </cell>
          <cell r="C10">
            <v>0.2</v>
          </cell>
          <cell r="D10">
            <v>4</v>
          </cell>
          <cell r="E10">
            <v>8</v>
          </cell>
          <cell r="F10">
            <v>0</v>
          </cell>
          <cell r="G10">
            <v>2.1786492374727668</v>
          </cell>
          <cell r="H10">
            <v>7.73</v>
          </cell>
          <cell r="I10">
            <v>53</v>
          </cell>
          <cell r="J10">
            <v>1000</v>
          </cell>
          <cell r="O10">
            <v>44</v>
          </cell>
        </row>
        <row r="11">
          <cell r="A11">
            <v>36907</v>
          </cell>
          <cell r="B11">
            <v>30</v>
          </cell>
          <cell r="C11">
            <v>0.31</v>
          </cell>
          <cell r="D11">
            <v>7</v>
          </cell>
          <cell r="E11">
            <v>14</v>
          </cell>
          <cell r="F11">
            <v>0</v>
          </cell>
          <cell r="G11">
            <v>2.1786492374727668</v>
          </cell>
          <cell r="H11">
            <v>7.84</v>
          </cell>
          <cell r="I11">
            <v>55</v>
          </cell>
          <cell r="J11">
            <v>100</v>
          </cell>
          <cell r="O11">
            <v>432</v>
          </cell>
        </row>
        <row r="12">
          <cell r="A12">
            <v>36958</v>
          </cell>
          <cell r="C12">
            <v>0.55000000000000004</v>
          </cell>
          <cell r="D12">
            <v>2.5</v>
          </cell>
          <cell r="E12">
            <v>10</v>
          </cell>
          <cell r="F12">
            <v>50</v>
          </cell>
          <cell r="I12">
            <v>52</v>
          </cell>
          <cell r="J12">
            <v>100</v>
          </cell>
          <cell r="O12">
            <v>48</v>
          </cell>
        </row>
        <row r="13">
          <cell r="A13">
            <v>36964</v>
          </cell>
          <cell r="O13">
            <v>53</v>
          </cell>
        </row>
        <row r="14">
          <cell r="A14">
            <v>36969</v>
          </cell>
          <cell r="O14">
            <v>36</v>
          </cell>
        </row>
        <row r="15">
          <cell r="A15">
            <v>36976</v>
          </cell>
          <cell r="O15">
            <v>47</v>
          </cell>
        </row>
        <row r="16">
          <cell r="A16">
            <v>36984</v>
          </cell>
          <cell r="C16">
            <v>0.7</v>
          </cell>
          <cell r="D16">
            <v>2</v>
          </cell>
          <cell r="E16">
            <v>12</v>
          </cell>
          <cell r="F16">
            <v>40</v>
          </cell>
          <cell r="G16">
            <v>2.2222222222222223</v>
          </cell>
          <cell r="H16">
            <v>7.55</v>
          </cell>
          <cell r="I16">
            <v>57</v>
          </cell>
          <cell r="J16">
            <v>100</v>
          </cell>
          <cell r="O16">
            <v>69</v>
          </cell>
        </row>
        <row r="17">
          <cell r="A17">
            <v>37006</v>
          </cell>
          <cell r="B17">
            <v>26</v>
          </cell>
          <cell r="C17">
            <v>0.26</v>
          </cell>
          <cell r="D17">
            <v>2</v>
          </cell>
          <cell r="E17">
            <v>26</v>
          </cell>
          <cell r="F17">
            <v>40</v>
          </cell>
          <cell r="H17">
            <v>7.41</v>
          </cell>
          <cell r="I17">
            <v>47</v>
          </cell>
          <cell r="J17">
            <v>100</v>
          </cell>
          <cell r="O17">
            <v>66</v>
          </cell>
        </row>
        <row r="18">
          <cell r="A18">
            <v>37033</v>
          </cell>
          <cell r="B18">
            <v>19</v>
          </cell>
          <cell r="C18">
            <v>0.1</v>
          </cell>
          <cell r="D18">
            <v>4</v>
          </cell>
          <cell r="E18">
            <v>8</v>
          </cell>
          <cell r="F18">
            <v>30</v>
          </cell>
          <cell r="G18">
            <v>2.3310023310023311</v>
          </cell>
          <cell r="H18">
            <v>7.99</v>
          </cell>
          <cell r="I18">
            <v>53</v>
          </cell>
          <cell r="J18">
            <v>100</v>
          </cell>
          <cell r="O18">
            <v>36</v>
          </cell>
        </row>
        <row r="19">
          <cell r="A19">
            <v>37062</v>
          </cell>
          <cell r="B19">
            <v>26</v>
          </cell>
          <cell r="C19">
            <v>0.1</v>
          </cell>
          <cell r="D19">
            <v>2</v>
          </cell>
          <cell r="E19">
            <v>12</v>
          </cell>
          <cell r="F19">
            <v>8</v>
          </cell>
          <cell r="G19">
            <v>2.16</v>
          </cell>
          <cell r="H19">
            <v>7.55</v>
          </cell>
          <cell r="I19">
            <v>51</v>
          </cell>
          <cell r="J19">
            <v>100</v>
          </cell>
          <cell r="O19">
            <v>110</v>
          </cell>
        </row>
        <row r="20">
          <cell r="A20">
            <v>37089</v>
          </cell>
          <cell r="B20">
            <v>4</v>
          </cell>
          <cell r="C20">
            <v>0.15</v>
          </cell>
          <cell r="D20">
            <v>4.5</v>
          </cell>
          <cell r="E20">
            <v>20</v>
          </cell>
          <cell r="F20">
            <v>15</v>
          </cell>
          <cell r="G20">
            <v>2.2599999999999998</v>
          </cell>
          <cell r="H20">
            <v>7.7</v>
          </cell>
          <cell r="I20">
            <v>47</v>
          </cell>
          <cell r="J20">
            <v>100</v>
          </cell>
          <cell r="O20">
            <v>59</v>
          </cell>
        </row>
        <row r="21">
          <cell r="A21">
            <v>37144</v>
          </cell>
          <cell r="B21">
            <v>14</v>
          </cell>
          <cell r="C21">
            <v>0.1</v>
          </cell>
          <cell r="D21">
            <v>2</v>
          </cell>
          <cell r="E21">
            <v>10</v>
          </cell>
          <cell r="F21">
            <v>8</v>
          </cell>
          <cell r="G21">
            <v>2.2679999999999998</v>
          </cell>
          <cell r="H21">
            <v>7.78</v>
          </cell>
          <cell r="I21">
            <v>47</v>
          </cell>
          <cell r="J21">
            <v>100</v>
          </cell>
          <cell r="O21">
            <v>47</v>
          </cell>
          <cell r="P21" t="str">
            <v>Fecha de lect.Bact. 27/08/2001</v>
          </cell>
        </row>
        <row r="22">
          <cell r="A22">
            <v>37146</v>
          </cell>
          <cell r="O22">
            <v>133</v>
          </cell>
        </row>
        <row r="23">
          <cell r="A23">
            <v>37148</v>
          </cell>
          <cell r="O23">
            <v>82</v>
          </cell>
        </row>
        <row r="24">
          <cell r="A24">
            <v>37151</v>
          </cell>
          <cell r="O24">
            <v>50</v>
          </cell>
        </row>
        <row r="25">
          <cell r="A25">
            <v>37153</v>
          </cell>
          <cell r="O25">
            <v>65</v>
          </cell>
        </row>
        <row r="26">
          <cell r="A26">
            <v>37155</v>
          </cell>
          <cell r="O26">
            <v>65</v>
          </cell>
        </row>
        <row r="27">
          <cell r="A27">
            <v>37158</v>
          </cell>
          <cell r="O27">
            <v>67</v>
          </cell>
        </row>
        <row r="28">
          <cell r="A28">
            <v>37160</v>
          </cell>
          <cell r="O28">
            <v>84</v>
          </cell>
        </row>
        <row r="29">
          <cell r="A29">
            <v>37162</v>
          </cell>
          <cell r="O29">
            <v>60</v>
          </cell>
        </row>
        <row r="30">
          <cell r="A30">
            <v>37173</v>
          </cell>
          <cell r="B30">
            <v>24</v>
          </cell>
          <cell r="C30">
            <v>0.6</v>
          </cell>
          <cell r="D30">
            <v>3.5</v>
          </cell>
          <cell r="E30">
            <v>11</v>
          </cell>
          <cell r="F30">
            <v>6</v>
          </cell>
          <cell r="G30">
            <v>2.3250000000000002</v>
          </cell>
          <cell r="H30">
            <v>7.86</v>
          </cell>
          <cell r="I30">
            <v>51</v>
          </cell>
          <cell r="J30">
            <v>100</v>
          </cell>
          <cell r="O30">
            <v>42</v>
          </cell>
        </row>
        <row r="31">
          <cell r="A31">
            <v>37183</v>
          </cell>
          <cell r="O31">
            <v>28</v>
          </cell>
        </row>
        <row r="32">
          <cell r="A32">
            <v>37186</v>
          </cell>
          <cell r="O32">
            <v>245</v>
          </cell>
        </row>
        <row r="33">
          <cell r="A33">
            <v>37188</v>
          </cell>
          <cell r="O33">
            <v>75</v>
          </cell>
        </row>
        <row r="34">
          <cell r="A34">
            <v>37193</v>
          </cell>
          <cell r="O34">
            <v>67</v>
          </cell>
        </row>
        <row r="35">
          <cell r="A35">
            <v>37203</v>
          </cell>
          <cell r="B35">
            <v>25</v>
          </cell>
          <cell r="C35">
            <v>0.1</v>
          </cell>
          <cell r="D35">
            <v>2.5</v>
          </cell>
          <cell r="E35">
            <v>12</v>
          </cell>
          <cell r="F35">
            <v>100</v>
          </cell>
          <cell r="G35">
            <v>2.2988</v>
          </cell>
          <cell r="H35">
            <v>7.4</v>
          </cell>
          <cell r="I35">
            <v>54</v>
          </cell>
          <cell r="J35">
            <v>100</v>
          </cell>
          <cell r="O35">
            <v>67</v>
          </cell>
          <cell r="P35" t="str">
            <v>Fecha de Cult. 29/10</v>
          </cell>
        </row>
        <row r="36">
          <cell r="A36">
            <v>37229</v>
          </cell>
          <cell r="B36">
            <v>15</v>
          </cell>
          <cell r="C36">
            <v>0.1</v>
          </cell>
          <cell r="D36">
            <v>2.5</v>
          </cell>
          <cell r="E36">
            <v>13</v>
          </cell>
          <cell r="F36">
            <v>12</v>
          </cell>
          <cell r="G36">
            <v>2.4213</v>
          </cell>
          <cell r="H36">
            <v>6.8</v>
          </cell>
          <cell r="I36">
            <v>50</v>
          </cell>
          <cell r="J36">
            <v>100</v>
          </cell>
          <cell r="O36">
            <v>31</v>
          </cell>
          <cell r="P36" t="str">
            <v>Lect.Bact. 8/11/01</v>
          </cell>
        </row>
        <row r="37">
          <cell r="A37">
            <v>37265</v>
          </cell>
          <cell r="B37">
            <v>22</v>
          </cell>
          <cell r="C37">
            <v>0.1</v>
          </cell>
          <cell r="D37">
            <v>0</v>
          </cell>
          <cell r="E37">
            <v>4</v>
          </cell>
          <cell r="F37">
            <v>60</v>
          </cell>
          <cell r="G37">
            <v>2.3148</v>
          </cell>
          <cell r="H37">
            <v>7.7</v>
          </cell>
          <cell r="I37">
            <v>41</v>
          </cell>
          <cell r="J37">
            <v>100</v>
          </cell>
          <cell r="O37">
            <v>49</v>
          </cell>
          <cell r="P37" t="str">
            <v>Lect.Bact. 8/11/01-O2med.23/01</v>
          </cell>
        </row>
        <row r="38">
          <cell r="A38">
            <v>37288</v>
          </cell>
          <cell r="B38">
            <v>13</v>
          </cell>
          <cell r="C38">
            <v>0.1</v>
          </cell>
          <cell r="D38">
            <v>0.8</v>
          </cell>
          <cell r="E38">
            <v>10</v>
          </cell>
          <cell r="F38">
            <v>6</v>
          </cell>
          <cell r="G38">
            <v>2.3650000000000002</v>
          </cell>
          <cell r="H38">
            <v>7.3</v>
          </cell>
          <cell r="I38">
            <v>49</v>
          </cell>
          <cell r="J38">
            <v>1000</v>
          </cell>
          <cell r="O38">
            <v>49</v>
          </cell>
        </row>
        <row r="39">
          <cell r="A39">
            <v>37298</v>
          </cell>
          <cell r="O39">
            <v>26</v>
          </cell>
        </row>
        <row r="40">
          <cell r="A40">
            <v>37300</v>
          </cell>
          <cell r="O40">
            <v>32</v>
          </cell>
        </row>
        <row r="41">
          <cell r="A41">
            <v>37302</v>
          </cell>
          <cell r="O41">
            <v>41</v>
          </cell>
        </row>
        <row r="42">
          <cell r="A42">
            <v>37305</v>
          </cell>
          <cell r="O42">
            <v>35</v>
          </cell>
        </row>
        <row r="43">
          <cell r="A43">
            <v>37309</v>
          </cell>
          <cell r="O43">
            <v>24</v>
          </cell>
        </row>
        <row r="44">
          <cell r="A44">
            <v>37328</v>
          </cell>
          <cell r="B44">
            <v>9</v>
          </cell>
          <cell r="C44">
            <v>0.1</v>
          </cell>
          <cell r="D44">
            <v>4.5</v>
          </cell>
          <cell r="E44">
            <v>8</v>
          </cell>
          <cell r="F44">
            <v>14</v>
          </cell>
          <cell r="G44">
            <v>2.3473999999999999</v>
          </cell>
          <cell r="H44">
            <v>7.4</v>
          </cell>
          <cell r="I44">
            <v>55</v>
          </cell>
          <cell r="J44">
            <v>100</v>
          </cell>
          <cell r="O44">
            <v>28</v>
          </cell>
        </row>
        <row r="45">
          <cell r="A45">
            <v>37361</v>
          </cell>
          <cell r="B45">
            <v>12</v>
          </cell>
          <cell r="C45">
            <v>0.1</v>
          </cell>
          <cell r="D45">
            <v>3.5</v>
          </cell>
          <cell r="E45">
            <v>10</v>
          </cell>
          <cell r="F45">
            <v>10</v>
          </cell>
          <cell r="G45">
            <v>2.4449000000000001</v>
          </cell>
          <cell r="H45">
            <v>7.4</v>
          </cell>
          <cell r="I45">
            <v>54</v>
          </cell>
          <cell r="J45">
            <v>100</v>
          </cell>
          <cell r="O45">
            <v>57</v>
          </cell>
        </row>
        <row r="46">
          <cell r="A46">
            <v>37410</v>
          </cell>
          <cell r="B46">
            <v>14</v>
          </cell>
          <cell r="C46">
            <v>0.1</v>
          </cell>
          <cell r="D46">
            <v>4</v>
          </cell>
          <cell r="E46">
            <v>11</v>
          </cell>
          <cell r="F46">
            <v>8</v>
          </cell>
          <cell r="G46">
            <v>2.5973999999999999</v>
          </cell>
          <cell r="H46">
            <v>7.1</v>
          </cell>
          <cell r="I46">
            <v>43</v>
          </cell>
          <cell r="J46">
            <v>1000</v>
          </cell>
          <cell r="O46">
            <v>40</v>
          </cell>
        </row>
        <row r="47">
          <cell r="A47">
            <v>37440</v>
          </cell>
          <cell r="B47">
            <v>18</v>
          </cell>
          <cell r="C47">
            <v>0.8</v>
          </cell>
          <cell r="D47">
            <v>0.4</v>
          </cell>
          <cell r="E47">
            <v>10</v>
          </cell>
          <cell r="F47">
            <v>60</v>
          </cell>
          <cell r="G47">
            <v>2.5909</v>
          </cell>
          <cell r="H47">
            <v>7.2</v>
          </cell>
          <cell r="I47">
            <v>52</v>
          </cell>
          <cell r="J47">
            <v>10</v>
          </cell>
          <cell r="O47">
            <v>64</v>
          </cell>
        </row>
        <row r="48">
          <cell r="A48">
            <v>37470</v>
          </cell>
          <cell r="B48">
            <v>18</v>
          </cell>
          <cell r="C48">
            <v>0.2</v>
          </cell>
          <cell r="D48">
            <v>1.5</v>
          </cell>
          <cell r="E48">
            <v>10</v>
          </cell>
          <cell r="F48">
            <v>4</v>
          </cell>
          <cell r="G48">
            <v>2.5906699999999998</v>
          </cell>
          <cell r="H48">
            <v>7.2</v>
          </cell>
          <cell r="I48">
            <v>53</v>
          </cell>
          <cell r="J48">
            <v>1000</v>
          </cell>
          <cell r="O48">
            <v>57</v>
          </cell>
        </row>
        <row r="49">
          <cell r="A49">
            <v>37505</v>
          </cell>
          <cell r="B49">
            <v>11</v>
          </cell>
          <cell r="C49">
            <v>0.38</v>
          </cell>
          <cell r="D49">
            <v>1.5</v>
          </cell>
          <cell r="E49">
            <v>11</v>
          </cell>
          <cell r="F49">
            <v>30</v>
          </cell>
          <cell r="G49">
            <v>2.6871</v>
          </cell>
          <cell r="H49">
            <v>7</v>
          </cell>
          <cell r="I49">
            <v>50</v>
          </cell>
          <cell r="J49">
            <v>100</v>
          </cell>
          <cell r="O49">
            <v>18</v>
          </cell>
        </row>
        <row r="50">
          <cell r="A50">
            <v>37538</v>
          </cell>
          <cell r="B50">
            <v>10</v>
          </cell>
          <cell r="C50">
            <v>0.57999999999999996</v>
          </cell>
          <cell r="D50">
            <v>1</v>
          </cell>
          <cell r="E50">
            <v>14</v>
          </cell>
          <cell r="F50">
            <v>14</v>
          </cell>
          <cell r="G50">
            <v>2.7776999999999998</v>
          </cell>
          <cell r="H50">
            <v>7.1</v>
          </cell>
          <cell r="I50">
            <v>51</v>
          </cell>
          <cell r="J50">
            <v>10000</v>
          </cell>
          <cell r="O50">
            <v>31</v>
          </cell>
        </row>
        <row r="51">
          <cell r="A51">
            <v>37567</v>
          </cell>
          <cell r="F51">
            <v>60</v>
          </cell>
        </row>
        <row r="52">
          <cell r="A52">
            <v>37572</v>
          </cell>
          <cell r="B52">
            <v>5</v>
          </cell>
          <cell r="C52">
            <v>0.1</v>
          </cell>
          <cell r="D52">
            <v>2.5</v>
          </cell>
          <cell r="E52">
            <v>12</v>
          </cell>
          <cell r="F52">
            <v>80</v>
          </cell>
          <cell r="G52">
            <v>2.8010999999999999</v>
          </cell>
          <cell r="H52">
            <v>7.1</v>
          </cell>
          <cell r="I52">
            <v>53</v>
          </cell>
          <cell r="J52">
            <v>1000</v>
          </cell>
          <cell r="O52">
            <v>28</v>
          </cell>
        </row>
        <row r="53">
          <cell r="A53">
            <v>37592</v>
          </cell>
          <cell r="O53">
            <v>32.6</v>
          </cell>
        </row>
        <row r="54">
          <cell r="A54">
            <v>37595</v>
          </cell>
          <cell r="B54">
            <v>10</v>
          </cell>
          <cell r="C54">
            <v>0.28999999999999998</v>
          </cell>
          <cell r="D54">
            <v>0.8</v>
          </cell>
          <cell r="E54">
            <v>12</v>
          </cell>
          <cell r="F54">
            <v>8</v>
          </cell>
          <cell r="G54">
            <v>2.7624300000000002</v>
          </cell>
          <cell r="H54">
            <v>6.9</v>
          </cell>
          <cell r="I54">
            <v>52</v>
          </cell>
          <cell r="J54">
            <v>1000</v>
          </cell>
          <cell r="O54">
            <v>46</v>
          </cell>
        </row>
        <row r="55">
          <cell r="A55">
            <v>37596</v>
          </cell>
          <cell r="O55">
            <v>89</v>
          </cell>
        </row>
        <row r="56">
          <cell r="A56">
            <v>37599</v>
          </cell>
          <cell r="O56">
            <v>45.7</v>
          </cell>
        </row>
        <row r="57">
          <cell r="A57">
            <v>37601</v>
          </cell>
          <cell r="O57">
            <v>34.799999999999997</v>
          </cell>
        </row>
        <row r="58">
          <cell r="A58">
            <v>37606</v>
          </cell>
          <cell r="O58">
            <v>67</v>
          </cell>
        </row>
        <row r="59">
          <cell r="A59">
            <v>37610</v>
          </cell>
          <cell r="O59">
            <v>30.03</v>
          </cell>
        </row>
        <row r="60">
          <cell r="A60">
            <v>37613</v>
          </cell>
          <cell r="O60">
            <v>148</v>
          </cell>
        </row>
        <row r="61">
          <cell r="A61">
            <v>37635</v>
          </cell>
          <cell r="B61">
            <v>12</v>
          </cell>
          <cell r="C61">
            <v>0.34</v>
          </cell>
          <cell r="D61">
            <v>2.5</v>
          </cell>
          <cell r="E61">
            <v>7</v>
          </cell>
          <cell r="F61">
            <v>18</v>
          </cell>
          <cell r="G61">
            <v>2.5706899999999999</v>
          </cell>
          <cell r="H61">
            <v>7.74</v>
          </cell>
          <cell r="I61">
            <v>57</v>
          </cell>
          <cell r="J61">
            <v>100</v>
          </cell>
          <cell r="O61">
            <v>16</v>
          </cell>
        </row>
        <row r="62">
          <cell r="A62">
            <v>37658</v>
          </cell>
          <cell r="B62">
            <v>11</v>
          </cell>
          <cell r="C62">
            <v>0.16</v>
          </cell>
          <cell r="D62">
            <v>4</v>
          </cell>
          <cell r="E62">
            <v>6</v>
          </cell>
          <cell r="F62">
            <v>4</v>
          </cell>
          <cell r="G62">
            <v>2.5905999999999998</v>
          </cell>
          <cell r="H62">
            <v>7.71</v>
          </cell>
          <cell r="I62">
            <v>54</v>
          </cell>
          <cell r="J62">
            <v>100</v>
          </cell>
          <cell r="O62">
            <v>25</v>
          </cell>
        </row>
        <row r="63">
          <cell r="A63">
            <v>37705</v>
          </cell>
          <cell r="B63">
            <v>11</v>
          </cell>
          <cell r="C63">
            <v>0.2</v>
          </cell>
          <cell r="D63">
            <v>2</v>
          </cell>
          <cell r="E63">
            <v>6</v>
          </cell>
          <cell r="F63">
            <v>30</v>
          </cell>
          <cell r="G63">
            <v>2.7100200000000001</v>
          </cell>
          <cell r="H63">
            <v>7.45</v>
          </cell>
          <cell r="I63">
            <v>57</v>
          </cell>
          <cell r="J63">
            <v>1000</v>
          </cell>
          <cell r="O63">
            <v>7</v>
          </cell>
        </row>
        <row r="64">
          <cell r="A64">
            <v>37748</v>
          </cell>
          <cell r="C64">
            <v>0.75</v>
          </cell>
        </row>
        <row r="65">
          <cell r="A65">
            <v>37753</v>
          </cell>
          <cell r="O65">
            <v>8</v>
          </cell>
        </row>
        <row r="66">
          <cell r="A66">
            <v>37763</v>
          </cell>
          <cell r="B66">
            <v>9</v>
          </cell>
          <cell r="C66">
            <v>0.19</v>
          </cell>
          <cell r="D66">
            <v>2</v>
          </cell>
          <cell r="E66">
            <v>10</v>
          </cell>
          <cell r="F66">
            <v>8</v>
          </cell>
          <cell r="G66">
            <v>3.1644999999999999</v>
          </cell>
          <cell r="H66">
            <v>7.61</v>
          </cell>
          <cell r="I66">
            <v>50</v>
          </cell>
          <cell r="J66">
            <v>100</v>
          </cell>
          <cell r="O66">
            <v>126</v>
          </cell>
        </row>
        <row r="67">
          <cell r="A67">
            <v>37764</v>
          </cell>
          <cell r="O67">
            <v>102</v>
          </cell>
        </row>
        <row r="68">
          <cell r="A68">
            <v>37769</v>
          </cell>
          <cell r="O68">
            <v>51</v>
          </cell>
        </row>
        <row r="69">
          <cell r="A69">
            <v>37771</v>
          </cell>
          <cell r="O69">
            <v>50.4</v>
          </cell>
        </row>
        <row r="70">
          <cell r="A70">
            <v>37774</v>
          </cell>
          <cell r="O70">
            <v>74.3</v>
          </cell>
        </row>
        <row r="71">
          <cell r="A71">
            <v>37776</v>
          </cell>
          <cell r="O71">
            <v>26.1</v>
          </cell>
        </row>
        <row r="72">
          <cell r="A72">
            <v>37781</v>
          </cell>
          <cell r="O72">
            <v>85.3</v>
          </cell>
        </row>
        <row r="73">
          <cell r="A73">
            <v>37788</v>
          </cell>
          <cell r="O73">
            <v>19.899999999999999</v>
          </cell>
        </row>
        <row r="74">
          <cell r="A74">
            <v>37799</v>
          </cell>
          <cell r="O74">
            <v>17.100000000000001</v>
          </cell>
        </row>
        <row r="75">
          <cell r="A75">
            <v>37803</v>
          </cell>
          <cell r="O75">
            <v>100.9</v>
          </cell>
        </row>
        <row r="76">
          <cell r="A76">
            <v>37805</v>
          </cell>
          <cell r="B76">
            <v>14</v>
          </cell>
          <cell r="C76">
            <v>0.17</v>
          </cell>
          <cell r="D76">
            <v>2</v>
          </cell>
          <cell r="E76">
            <v>8</v>
          </cell>
          <cell r="F76">
            <v>4</v>
          </cell>
          <cell r="G76">
            <v>3.3112582781456954</v>
          </cell>
          <cell r="H76">
            <v>7.32</v>
          </cell>
          <cell r="I76">
            <v>51</v>
          </cell>
          <cell r="J76">
            <v>1000</v>
          </cell>
          <cell r="O76">
            <v>77</v>
          </cell>
        </row>
        <row r="77">
          <cell r="A77">
            <v>37806</v>
          </cell>
          <cell r="O77">
            <v>112.8</v>
          </cell>
        </row>
        <row r="78">
          <cell r="A78">
            <v>37823</v>
          </cell>
          <cell r="O78">
            <v>21.44</v>
          </cell>
        </row>
        <row r="79">
          <cell r="A79">
            <v>37827</v>
          </cell>
          <cell r="O79">
            <v>19.809999999999999</v>
          </cell>
        </row>
        <row r="80">
          <cell r="A80">
            <v>37834</v>
          </cell>
          <cell r="O80">
            <v>229.82</v>
          </cell>
        </row>
        <row r="81">
          <cell r="A81">
            <v>37837</v>
          </cell>
          <cell r="O81">
            <v>38.74</v>
          </cell>
        </row>
        <row r="82">
          <cell r="A82">
            <v>37839</v>
          </cell>
          <cell r="O82">
            <v>14.78</v>
          </cell>
        </row>
        <row r="83">
          <cell r="A83">
            <v>37841</v>
          </cell>
          <cell r="O83">
            <v>22.08</v>
          </cell>
        </row>
        <row r="84">
          <cell r="A84">
            <v>37844</v>
          </cell>
          <cell r="O84">
            <v>34.64</v>
          </cell>
        </row>
        <row r="85">
          <cell r="A85">
            <v>37845</v>
          </cell>
          <cell r="B85">
            <v>16</v>
          </cell>
          <cell r="C85">
            <v>0.12</v>
          </cell>
          <cell r="D85">
            <v>5</v>
          </cell>
          <cell r="E85">
            <v>11</v>
          </cell>
          <cell r="F85">
            <v>4</v>
          </cell>
          <cell r="G85">
            <v>3.165</v>
          </cell>
          <cell r="H85">
            <v>7.57</v>
          </cell>
          <cell r="I85">
            <v>53</v>
          </cell>
          <cell r="J85">
            <v>10</v>
          </cell>
          <cell r="O85">
            <v>9</v>
          </cell>
        </row>
        <row r="86">
          <cell r="A86">
            <v>37846</v>
          </cell>
          <cell r="O86">
            <v>15.33</v>
          </cell>
        </row>
        <row r="87">
          <cell r="A87">
            <v>37848</v>
          </cell>
          <cell r="O87">
            <v>74.040000000000006</v>
          </cell>
        </row>
        <row r="88">
          <cell r="A88">
            <v>37853</v>
          </cell>
          <cell r="O88">
            <v>163.68</v>
          </cell>
        </row>
        <row r="89">
          <cell r="A89">
            <v>37858</v>
          </cell>
          <cell r="O89">
            <v>561.12</v>
          </cell>
        </row>
        <row r="90">
          <cell r="A90">
            <v>37860</v>
          </cell>
          <cell r="O90">
            <v>366.52</v>
          </cell>
        </row>
        <row r="91">
          <cell r="A91">
            <v>37861</v>
          </cell>
          <cell r="O91">
            <v>178</v>
          </cell>
        </row>
        <row r="92">
          <cell r="A92">
            <v>37865</v>
          </cell>
          <cell r="O92">
            <v>41.85</v>
          </cell>
        </row>
        <row r="93">
          <cell r="A93">
            <v>37869</v>
          </cell>
          <cell r="O93">
            <v>57.64</v>
          </cell>
        </row>
        <row r="94">
          <cell r="A94">
            <v>37872</v>
          </cell>
          <cell r="O94">
            <v>29.24</v>
          </cell>
        </row>
        <row r="95">
          <cell r="A95">
            <v>37874</v>
          </cell>
          <cell r="O95">
            <v>23.34</v>
          </cell>
        </row>
        <row r="96">
          <cell r="A96">
            <v>37881</v>
          </cell>
          <cell r="O96">
            <v>16.87</v>
          </cell>
        </row>
        <row r="97">
          <cell r="A97">
            <v>37883</v>
          </cell>
          <cell r="O97">
            <v>47.04</v>
          </cell>
        </row>
        <row r="98">
          <cell r="A98">
            <v>37886</v>
          </cell>
          <cell r="O98">
            <v>43.22</v>
          </cell>
        </row>
        <row r="99">
          <cell r="A99">
            <v>37888</v>
          </cell>
          <cell r="O99">
            <v>22.39</v>
          </cell>
        </row>
        <row r="100">
          <cell r="A100">
            <v>37895</v>
          </cell>
          <cell r="O100">
            <v>329</v>
          </cell>
        </row>
        <row r="101">
          <cell r="A101">
            <v>37897</v>
          </cell>
          <cell r="O101">
            <v>43.72</v>
          </cell>
        </row>
        <row r="102">
          <cell r="A102">
            <v>37900</v>
          </cell>
          <cell r="O102">
            <v>79.2</v>
          </cell>
        </row>
        <row r="103">
          <cell r="A103">
            <v>37902</v>
          </cell>
          <cell r="O103">
            <v>151</v>
          </cell>
        </row>
        <row r="104">
          <cell r="A104">
            <v>37904</v>
          </cell>
          <cell r="O104">
            <v>13.96</v>
          </cell>
        </row>
        <row r="105">
          <cell r="A105">
            <v>37907</v>
          </cell>
          <cell r="O105">
            <v>12.08</v>
          </cell>
        </row>
        <row r="106">
          <cell r="A106">
            <v>37909</v>
          </cell>
          <cell r="O106">
            <v>16.12</v>
          </cell>
        </row>
        <row r="107">
          <cell r="A107">
            <v>37911</v>
          </cell>
          <cell r="O107">
            <v>23</v>
          </cell>
        </row>
        <row r="108">
          <cell r="A108">
            <v>37914</v>
          </cell>
          <cell r="O108">
            <v>29</v>
          </cell>
        </row>
        <row r="109">
          <cell r="A109">
            <v>37916</v>
          </cell>
          <cell r="O109">
            <v>24</v>
          </cell>
        </row>
        <row r="110">
          <cell r="A110">
            <v>37917</v>
          </cell>
          <cell r="B110">
            <v>14</v>
          </cell>
          <cell r="C110">
            <v>0.1</v>
          </cell>
          <cell r="D110">
            <v>1.5</v>
          </cell>
          <cell r="E110">
            <v>10</v>
          </cell>
          <cell r="F110">
            <v>14</v>
          </cell>
          <cell r="G110">
            <v>2.4649999999999999</v>
          </cell>
          <cell r="H110">
            <v>7.2</v>
          </cell>
          <cell r="I110">
            <v>52</v>
          </cell>
          <cell r="J110">
            <v>100</v>
          </cell>
          <cell r="O110">
            <v>13</v>
          </cell>
        </row>
        <row r="111">
          <cell r="A111">
            <v>37918</v>
          </cell>
          <cell r="O111">
            <v>15</v>
          </cell>
        </row>
        <row r="112">
          <cell r="A112">
            <v>37923</v>
          </cell>
          <cell r="O112">
            <v>16</v>
          </cell>
        </row>
        <row r="113">
          <cell r="A113">
            <v>37925</v>
          </cell>
          <cell r="O113">
            <v>15.5</v>
          </cell>
        </row>
        <row r="114">
          <cell r="A114">
            <v>37929</v>
          </cell>
          <cell r="O114">
            <v>11</v>
          </cell>
        </row>
        <row r="115">
          <cell r="A115">
            <v>37930</v>
          </cell>
          <cell r="O115">
            <v>84</v>
          </cell>
        </row>
        <row r="116">
          <cell r="A116">
            <v>37932</v>
          </cell>
          <cell r="O116">
            <v>17</v>
          </cell>
        </row>
        <row r="117">
          <cell r="A117">
            <v>37935</v>
          </cell>
          <cell r="O117">
            <v>30</v>
          </cell>
        </row>
        <row r="118">
          <cell r="A118">
            <v>37938</v>
          </cell>
          <cell r="O118">
            <v>36</v>
          </cell>
        </row>
        <row r="119">
          <cell r="A119">
            <v>37939</v>
          </cell>
          <cell r="O119">
            <v>54</v>
          </cell>
        </row>
        <row r="120">
          <cell r="A120">
            <v>37942</v>
          </cell>
          <cell r="O120">
            <v>11</v>
          </cell>
        </row>
        <row r="121">
          <cell r="A121">
            <v>37944</v>
          </cell>
          <cell r="O121">
            <v>21</v>
          </cell>
        </row>
        <row r="122">
          <cell r="A122">
            <v>37949</v>
          </cell>
          <cell r="O122">
            <v>8</v>
          </cell>
        </row>
        <row r="123">
          <cell r="A123">
            <v>37951</v>
          </cell>
          <cell r="O123">
            <v>42</v>
          </cell>
        </row>
        <row r="124">
          <cell r="A124">
            <v>37956</v>
          </cell>
          <cell r="O124">
            <v>24</v>
          </cell>
        </row>
        <row r="125">
          <cell r="A125">
            <v>37958</v>
          </cell>
          <cell r="O125">
            <v>14.5</v>
          </cell>
        </row>
        <row r="126">
          <cell r="A126">
            <v>37960</v>
          </cell>
          <cell r="O126">
            <v>21.1</v>
          </cell>
        </row>
        <row r="127">
          <cell r="A127">
            <v>37964</v>
          </cell>
          <cell r="O127">
            <v>128</v>
          </cell>
        </row>
        <row r="128">
          <cell r="A128">
            <v>37966</v>
          </cell>
          <cell r="O128">
            <v>250</v>
          </cell>
        </row>
        <row r="129">
          <cell r="A129">
            <v>37970</v>
          </cell>
          <cell r="O129">
            <v>55.6</v>
          </cell>
        </row>
        <row r="130">
          <cell r="A130">
            <v>37972</v>
          </cell>
          <cell r="O130">
            <v>20.7</v>
          </cell>
        </row>
        <row r="131">
          <cell r="A131">
            <v>37977</v>
          </cell>
          <cell r="O131">
            <v>80</v>
          </cell>
        </row>
        <row r="132">
          <cell r="A132">
            <v>37978</v>
          </cell>
          <cell r="O132">
            <v>84</v>
          </cell>
        </row>
        <row r="133">
          <cell r="A133">
            <v>37991</v>
          </cell>
          <cell r="O133">
            <v>85</v>
          </cell>
        </row>
        <row r="134">
          <cell r="A134">
            <v>37993</v>
          </cell>
          <cell r="O134">
            <v>23.5</v>
          </cell>
        </row>
        <row r="135">
          <cell r="A135">
            <v>37995</v>
          </cell>
          <cell r="O135">
            <v>51</v>
          </cell>
        </row>
        <row r="136">
          <cell r="A136">
            <v>37998</v>
          </cell>
          <cell r="O136">
            <v>16</v>
          </cell>
        </row>
        <row r="137">
          <cell r="A137">
            <v>38000</v>
          </cell>
          <cell r="O137">
            <v>46</v>
          </cell>
        </row>
        <row r="138">
          <cell r="A138">
            <v>38002</v>
          </cell>
          <cell r="O138">
            <v>35.6</v>
          </cell>
        </row>
        <row r="139">
          <cell r="A139">
            <v>38005</v>
          </cell>
          <cell r="O139">
            <v>48</v>
          </cell>
        </row>
        <row r="140">
          <cell r="A140">
            <v>38009</v>
          </cell>
          <cell r="O140">
            <v>11</v>
          </cell>
        </row>
        <row r="141">
          <cell r="A141">
            <v>38012</v>
          </cell>
          <cell r="O141">
            <v>18</v>
          </cell>
        </row>
        <row r="142">
          <cell r="A142">
            <v>38044</v>
          </cell>
          <cell r="J142">
            <v>10</v>
          </cell>
        </row>
        <row r="143">
          <cell r="A143">
            <v>38019</v>
          </cell>
          <cell r="O143">
            <v>18.399999999999999</v>
          </cell>
        </row>
        <row r="144">
          <cell r="A144">
            <v>38021</v>
          </cell>
          <cell r="O144">
            <v>20.9</v>
          </cell>
        </row>
        <row r="145">
          <cell r="A145">
            <v>38023</v>
          </cell>
          <cell r="O145">
            <v>12.7</v>
          </cell>
        </row>
        <row r="146">
          <cell r="A146">
            <v>38026</v>
          </cell>
          <cell r="O146">
            <v>7.1</v>
          </cell>
        </row>
        <row r="147">
          <cell r="A147">
            <v>38028</v>
          </cell>
          <cell r="O147">
            <v>23</v>
          </cell>
        </row>
        <row r="148">
          <cell r="A148">
            <v>38030</v>
          </cell>
          <cell r="O148">
            <v>13</v>
          </cell>
        </row>
        <row r="149">
          <cell r="A149">
            <v>38033</v>
          </cell>
          <cell r="O149">
            <v>16.3</v>
          </cell>
        </row>
        <row r="150">
          <cell r="A150">
            <v>38035</v>
          </cell>
          <cell r="O150">
            <v>10.8</v>
          </cell>
        </row>
        <row r="151">
          <cell r="A151">
            <v>38037</v>
          </cell>
          <cell r="O151">
            <v>10.6</v>
          </cell>
        </row>
        <row r="152">
          <cell r="A152">
            <v>38040</v>
          </cell>
          <cell r="O152">
            <v>35.6</v>
          </cell>
        </row>
        <row r="153">
          <cell r="A153">
            <v>38044</v>
          </cell>
          <cell r="O153">
            <v>14</v>
          </cell>
        </row>
        <row r="154">
          <cell r="A154">
            <v>38051</v>
          </cell>
          <cell r="O154">
            <v>80</v>
          </cell>
        </row>
        <row r="155">
          <cell r="A155">
            <v>38054</v>
          </cell>
          <cell r="O155">
            <v>17</v>
          </cell>
        </row>
        <row r="156">
          <cell r="A156">
            <v>38056</v>
          </cell>
          <cell r="O156">
            <v>46</v>
          </cell>
        </row>
        <row r="157">
          <cell r="A157">
            <v>38058</v>
          </cell>
          <cell r="O157">
            <v>66</v>
          </cell>
        </row>
        <row r="158">
          <cell r="A158">
            <v>38063</v>
          </cell>
          <cell r="O158">
            <v>10</v>
          </cell>
        </row>
        <row r="159">
          <cell r="A159">
            <v>38065</v>
          </cell>
          <cell r="O159">
            <v>17</v>
          </cell>
        </row>
        <row r="160">
          <cell r="A160">
            <v>38068</v>
          </cell>
          <cell r="O160">
            <v>95</v>
          </cell>
        </row>
        <row r="161">
          <cell r="A161">
            <v>38072</v>
          </cell>
          <cell r="O161">
            <v>150</v>
          </cell>
        </row>
        <row r="162">
          <cell r="A162">
            <v>38076</v>
          </cell>
          <cell r="O162">
            <v>25</v>
          </cell>
        </row>
        <row r="163">
          <cell r="A163">
            <v>38083</v>
          </cell>
          <cell r="J163">
            <v>10</v>
          </cell>
        </row>
        <row r="164">
          <cell r="A164">
            <v>38085</v>
          </cell>
          <cell r="O164">
            <v>35.200000000000003</v>
          </cell>
        </row>
        <row r="165">
          <cell r="A165">
            <v>38087</v>
          </cell>
          <cell r="O165">
            <v>18.399999999999999</v>
          </cell>
        </row>
        <row r="166">
          <cell r="A166">
            <v>38089</v>
          </cell>
          <cell r="J166">
            <v>0</v>
          </cell>
          <cell r="O166">
            <v>26</v>
          </cell>
        </row>
        <row r="167">
          <cell r="A167">
            <v>38091</v>
          </cell>
          <cell r="O167">
            <v>168.8</v>
          </cell>
        </row>
        <row r="168">
          <cell r="A168">
            <v>38093</v>
          </cell>
          <cell r="O168">
            <v>17.2</v>
          </cell>
        </row>
        <row r="169">
          <cell r="A169">
            <v>38094</v>
          </cell>
          <cell r="B169">
            <v>11</v>
          </cell>
          <cell r="C169">
            <v>0.22</v>
          </cell>
          <cell r="D169">
            <v>7.5</v>
          </cell>
          <cell r="E169">
            <v>9</v>
          </cell>
          <cell r="F169">
            <v>12</v>
          </cell>
          <cell r="G169">
            <v>2.0750000000000002</v>
          </cell>
          <cell r="H169">
            <v>7.3</v>
          </cell>
          <cell r="I169">
            <v>56</v>
          </cell>
          <cell r="J169">
            <v>10</v>
          </cell>
          <cell r="O169">
            <v>31</v>
          </cell>
        </row>
        <row r="170">
          <cell r="A170">
            <v>38095</v>
          </cell>
          <cell r="O170">
            <v>16.8</v>
          </cell>
        </row>
        <row r="171">
          <cell r="A171">
            <v>38098</v>
          </cell>
          <cell r="O171">
            <v>43.4</v>
          </cell>
        </row>
        <row r="172">
          <cell r="A172">
            <v>38103</v>
          </cell>
          <cell r="O172">
            <v>30.4</v>
          </cell>
        </row>
        <row r="173">
          <cell r="A173">
            <v>38106</v>
          </cell>
          <cell r="O173">
            <v>14.9</v>
          </cell>
        </row>
        <row r="174">
          <cell r="A174">
            <v>38110</v>
          </cell>
          <cell r="O174">
            <v>28</v>
          </cell>
        </row>
        <row r="175">
          <cell r="A175">
            <v>38111</v>
          </cell>
          <cell r="J175">
            <v>10</v>
          </cell>
          <cell r="O175">
            <v>34</v>
          </cell>
        </row>
        <row r="176">
          <cell r="A176">
            <v>38112</v>
          </cell>
          <cell r="O176">
            <v>20</v>
          </cell>
        </row>
        <row r="177">
          <cell r="A177">
            <v>38114</v>
          </cell>
          <cell r="O177">
            <v>22.5</v>
          </cell>
        </row>
        <row r="178">
          <cell r="A178">
            <v>38117</v>
          </cell>
          <cell r="O178">
            <v>79.2</v>
          </cell>
        </row>
        <row r="179">
          <cell r="A179">
            <v>38119</v>
          </cell>
          <cell r="O179">
            <v>31.8</v>
          </cell>
        </row>
        <row r="180">
          <cell r="A180">
            <v>38121</v>
          </cell>
          <cell r="O180">
            <v>18.5</v>
          </cell>
        </row>
        <row r="181">
          <cell r="A181">
            <v>38124</v>
          </cell>
          <cell r="O181">
            <v>16</v>
          </cell>
        </row>
        <row r="182">
          <cell r="A182">
            <v>38126</v>
          </cell>
          <cell r="O182">
            <v>68</v>
          </cell>
        </row>
        <row r="183">
          <cell r="A183">
            <v>38127</v>
          </cell>
          <cell r="B183">
            <v>15</v>
          </cell>
          <cell r="C183">
            <v>0.32</v>
          </cell>
          <cell r="D183">
            <v>2</v>
          </cell>
          <cell r="E183">
            <v>6</v>
          </cell>
          <cell r="F183">
            <v>1</v>
          </cell>
          <cell r="H183">
            <v>7.7</v>
          </cell>
          <cell r="I183">
            <v>57</v>
          </cell>
          <cell r="J183">
            <v>1000</v>
          </cell>
          <cell r="O183">
            <v>42</v>
          </cell>
        </row>
        <row r="184">
          <cell r="A184">
            <v>38128</v>
          </cell>
          <cell r="O184">
            <v>135</v>
          </cell>
        </row>
        <row r="185">
          <cell r="A185">
            <v>38135</v>
          </cell>
          <cell r="O185">
            <v>90</v>
          </cell>
        </row>
        <row r="186">
          <cell r="A186">
            <v>38140</v>
          </cell>
          <cell r="O186">
            <v>61.2</v>
          </cell>
        </row>
        <row r="187">
          <cell r="A187">
            <v>38147</v>
          </cell>
          <cell r="O187">
            <v>25.62</v>
          </cell>
        </row>
        <row r="188">
          <cell r="A188">
            <v>38149</v>
          </cell>
          <cell r="O188">
            <v>24.6</v>
          </cell>
        </row>
        <row r="189">
          <cell r="A189">
            <v>38152</v>
          </cell>
          <cell r="O189">
            <v>193.63</v>
          </cell>
        </row>
        <row r="190">
          <cell r="A190">
            <v>38156</v>
          </cell>
          <cell r="O190">
            <v>28.14</v>
          </cell>
        </row>
        <row r="191">
          <cell r="A191">
            <v>38159</v>
          </cell>
          <cell r="O191">
            <v>33.880000000000003</v>
          </cell>
        </row>
        <row r="192">
          <cell r="A192">
            <v>38163</v>
          </cell>
          <cell r="O192">
            <v>65.2</v>
          </cell>
        </row>
        <row r="193">
          <cell r="A193">
            <v>38168</v>
          </cell>
          <cell r="O193">
            <v>68.44</v>
          </cell>
        </row>
        <row r="194">
          <cell r="A194">
            <v>38170</v>
          </cell>
          <cell r="O194">
            <v>36.799999999999997</v>
          </cell>
        </row>
        <row r="195">
          <cell r="A195">
            <v>38175</v>
          </cell>
          <cell r="O195">
            <v>16.899999999999999</v>
          </cell>
        </row>
        <row r="196">
          <cell r="A196">
            <v>38176</v>
          </cell>
          <cell r="O196">
            <v>19</v>
          </cell>
        </row>
        <row r="197">
          <cell r="A197">
            <v>38182</v>
          </cell>
          <cell r="O197">
            <v>7</v>
          </cell>
        </row>
        <row r="198">
          <cell r="A198">
            <v>38184</v>
          </cell>
          <cell r="O198">
            <v>13.9</v>
          </cell>
        </row>
        <row r="199">
          <cell r="A199">
            <v>38187</v>
          </cell>
          <cell r="O199">
            <v>16.39</v>
          </cell>
        </row>
        <row r="200">
          <cell r="A200">
            <v>38189</v>
          </cell>
          <cell r="O200">
            <v>36.81</v>
          </cell>
        </row>
        <row r="201">
          <cell r="A201">
            <v>38194</v>
          </cell>
          <cell r="O201">
            <v>40.32</v>
          </cell>
        </row>
        <row r="202">
          <cell r="A202">
            <v>38196</v>
          </cell>
          <cell r="O202">
            <v>5.35</v>
          </cell>
        </row>
        <row r="203">
          <cell r="A203">
            <v>38198</v>
          </cell>
          <cell r="O203">
            <v>31.1</v>
          </cell>
        </row>
        <row r="204">
          <cell r="A204">
            <v>38201</v>
          </cell>
          <cell r="O204">
            <v>14.3</v>
          </cell>
        </row>
        <row r="205">
          <cell r="A205">
            <v>38203</v>
          </cell>
          <cell r="O205">
            <v>8.9</v>
          </cell>
        </row>
        <row r="206">
          <cell r="A206">
            <v>38205</v>
          </cell>
          <cell r="O206">
            <v>47.11</v>
          </cell>
        </row>
        <row r="207">
          <cell r="A207">
            <v>38208</v>
          </cell>
          <cell r="O207">
            <v>9.6</v>
          </cell>
        </row>
        <row r="208">
          <cell r="A208">
            <v>38210</v>
          </cell>
          <cell r="O208">
            <v>19.3</v>
          </cell>
        </row>
        <row r="209">
          <cell r="A209">
            <v>38212</v>
          </cell>
          <cell r="O209">
            <v>5.2</v>
          </cell>
        </row>
        <row r="210">
          <cell r="A210">
            <v>38216</v>
          </cell>
          <cell r="O210">
            <v>32</v>
          </cell>
        </row>
        <row r="211">
          <cell r="A211">
            <v>38218</v>
          </cell>
          <cell r="B211">
            <v>4</v>
          </cell>
          <cell r="C211">
            <v>0.6</v>
          </cell>
          <cell r="D211">
            <v>3</v>
          </cell>
          <cell r="E211">
            <v>10</v>
          </cell>
          <cell r="F211">
            <v>4</v>
          </cell>
          <cell r="G211">
            <v>2.1785999999999999</v>
          </cell>
          <cell r="H211">
            <v>7.6</v>
          </cell>
          <cell r="I211">
            <v>58</v>
          </cell>
          <cell r="J211">
            <v>10</v>
          </cell>
          <cell r="O211">
            <v>13</v>
          </cell>
        </row>
        <row r="212">
          <cell r="A212">
            <v>38219</v>
          </cell>
          <cell r="O212">
            <v>13.5</v>
          </cell>
        </row>
        <row r="213">
          <cell r="A213">
            <v>38222</v>
          </cell>
          <cell r="O213">
            <v>24</v>
          </cell>
        </row>
        <row r="214">
          <cell r="A214">
            <v>38224</v>
          </cell>
          <cell r="O214">
            <v>34</v>
          </cell>
        </row>
        <row r="215">
          <cell r="A215">
            <v>38226</v>
          </cell>
          <cell r="O215">
            <v>10</v>
          </cell>
        </row>
        <row r="216">
          <cell r="A216">
            <v>38229</v>
          </cell>
          <cell r="O216">
            <v>19</v>
          </cell>
        </row>
        <row r="217">
          <cell r="A217">
            <v>38231</v>
          </cell>
          <cell r="O217">
            <v>31.44</v>
          </cell>
          <cell r="P217" t="str">
            <v>Lab. C.D. 31 ppm H.C:</v>
          </cell>
        </row>
        <row r="218">
          <cell r="A218">
            <v>38233</v>
          </cell>
          <cell r="O218">
            <v>9</v>
          </cell>
        </row>
        <row r="219">
          <cell r="A219">
            <v>38236</v>
          </cell>
          <cell r="O219">
            <v>25</v>
          </cell>
        </row>
        <row r="220">
          <cell r="A220">
            <v>38238</v>
          </cell>
          <cell r="O220">
            <v>18</v>
          </cell>
        </row>
        <row r="221">
          <cell r="A221">
            <v>38240</v>
          </cell>
          <cell r="O221">
            <v>23</v>
          </cell>
        </row>
        <row r="222">
          <cell r="A222">
            <v>38243</v>
          </cell>
          <cell r="O222">
            <v>24</v>
          </cell>
        </row>
        <row r="223">
          <cell r="A223">
            <v>38245</v>
          </cell>
          <cell r="O223">
            <v>16</v>
          </cell>
        </row>
        <row r="224">
          <cell r="A224">
            <v>38247</v>
          </cell>
          <cell r="O224">
            <v>9</v>
          </cell>
        </row>
        <row r="225">
          <cell r="A225">
            <v>38252</v>
          </cell>
          <cell r="O225">
            <v>77</v>
          </cell>
        </row>
        <row r="226">
          <cell r="A226">
            <v>38267</v>
          </cell>
          <cell r="D226">
            <v>1.5</v>
          </cell>
          <cell r="E226">
            <v>5</v>
          </cell>
          <cell r="F226">
            <v>4</v>
          </cell>
          <cell r="H226">
            <v>7.4</v>
          </cell>
          <cell r="I226">
            <v>53</v>
          </cell>
          <cell r="J226">
            <v>1000</v>
          </cell>
          <cell r="O226">
            <v>54</v>
          </cell>
        </row>
        <row r="227">
          <cell r="A227">
            <v>38280</v>
          </cell>
          <cell r="J227">
            <v>10</v>
          </cell>
        </row>
        <row r="228">
          <cell r="A228">
            <v>38301</v>
          </cell>
          <cell r="D228">
            <v>2</v>
          </cell>
          <cell r="E228">
            <v>7</v>
          </cell>
          <cell r="F228">
            <v>70</v>
          </cell>
          <cell r="H228">
            <v>7.67</v>
          </cell>
          <cell r="I228">
            <v>58</v>
          </cell>
          <cell r="J228">
            <v>1000</v>
          </cell>
          <cell r="O228">
            <v>32</v>
          </cell>
        </row>
        <row r="229">
          <cell r="A229">
            <v>38324</v>
          </cell>
          <cell r="O229">
            <v>25</v>
          </cell>
        </row>
        <row r="230">
          <cell r="A230">
            <v>38327</v>
          </cell>
          <cell r="O230">
            <v>13</v>
          </cell>
        </row>
        <row r="231">
          <cell r="A231">
            <v>38329</v>
          </cell>
          <cell r="O231">
            <v>11</v>
          </cell>
        </row>
        <row r="232">
          <cell r="A232">
            <v>38331</v>
          </cell>
          <cell r="D232">
            <v>3</v>
          </cell>
          <cell r="E232">
            <v>6</v>
          </cell>
          <cell r="F232">
            <v>50</v>
          </cell>
          <cell r="H232">
            <v>8.1</v>
          </cell>
          <cell r="I232">
            <v>55</v>
          </cell>
          <cell r="J232">
            <v>100</v>
          </cell>
          <cell r="O232">
            <v>30</v>
          </cell>
        </row>
        <row r="233">
          <cell r="A233">
            <v>38338</v>
          </cell>
          <cell r="O233">
            <v>59</v>
          </cell>
        </row>
        <row r="234">
          <cell r="A234">
            <v>38341</v>
          </cell>
          <cell r="O234">
            <v>32.36</v>
          </cell>
        </row>
        <row r="235">
          <cell r="A235">
            <v>38343</v>
          </cell>
          <cell r="O235">
            <v>22.14</v>
          </cell>
        </row>
        <row r="236">
          <cell r="A236">
            <v>38376</v>
          </cell>
          <cell r="B236">
            <v>14</v>
          </cell>
          <cell r="C236">
            <v>0.12</v>
          </cell>
          <cell r="D236">
            <v>5</v>
          </cell>
          <cell r="E236">
            <v>8</v>
          </cell>
          <cell r="F236">
            <v>2</v>
          </cell>
          <cell r="G236">
            <v>2.8010999999999999</v>
          </cell>
          <cell r="H236">
            <v>8.17</v>
          </cell>
          <cell r="I236">
            <v>58</v>
          </cell>
          <cell r="J236">
            <v>0</v>
          </cell>
          <cell r="O236">
            <v>17</v>
          </cell>
        </row>
        <row r="237">
          <cell r="A237">
            <v>38350</v>
          </cell>
          <cell r="O237">
            <v>31.72</v>
          </cell>
        </row>
        <row r="238">
          <cell r="A238">
            <v>38357</v>
          </cell>
          <cell r="O238">
            <v>26</v>
          </cell>
        </row>
        <row r="239">
          <cell r="A239">
            <v>38359</v>
          </cell>
          <cell r="O239">
            <v>26.8</v>
          </cell>
        </row>
        <row r="240">
          <cell r="A240">
            <v>38362</v>
          </cell>
          <cell r="O240">
            <v>17.2</v>
          </cell>
        </row>
        <row r="241">
          <cell r="A241">
            <v>38366</v>
          </cell>
          <cell r="O241">
            <v>13.7</v>
          </cell>
        </row>
        <row r="242">
          <cell r="A242">
            <v>38371</v>
          </cell>
          <cell r="O242">
            <v>28.9</v>
          </cell>
        </row>
        <row r="243">
          <cell r="A243">
            <v>38373</v>
          </cell>
          <cell r="O243">
            <v>12</v>
          </cell>
        </row>
        <row r="244">
          <cell r="A244">
            <v>38376</v>
          </cell>
          <cell r="O244">
            <v>49</v>
          </cell>
        </row>
        <row r="245">
          <cell r="A245">
            <v>38378</v>
          </cell>
          <cell r="O245">
            <v>14.7</v>
          </cell>
        </row>
        <row r="246">
          <cell r="A246">
            <v>38380</v>
          </cell>
          <cell r="O246">
            <v>18.2</v>
          </cell>
        </row>
        <row r="247">
          <cell r="A247">
            <v>38383</v>
          </cell>
          <cell r="O247">
            <v>12.2</v>
          </cell>
        </row>
        <row r="248">
          <cell r="A248">
            <v>38385</v>
          </cell>
          <cell r="O248">
            <v>11</v>
          </cell>
        </row>
        <row r="249">
          <cell r="A249">
            <v>38387</v>
          </cell>
          <cell r="O249">
            <v>10.6</v>
          </cell>
        </row>
        <row r="250">
          <cell r="A250">
            <v>38390</v>
          </cell>
          <cell r="O250">
            <v>16.5</v>
          </cell>
        </row>
        <row r="251">
          <cell r="A251">
            <v>38392</v>
          </cell>
          <cell r="O251">
            <v>20</v>
          </cell>
        </row>
        <row r="252">
          <cell r="A252">
            <v>38394</v>
          </cell>
          <cell r="O252">
            <v>11.1</v>
          </cell>
        </row>
        <row r="253">
          <cell r="A253">
            <v>38397</v>
          </cell>
          <cell r="O253">
            <v>10.3</v>
          </cell>
        </row>
        <row r="254">
          <cell r="A254">
            <v>38399</v>
          </cell>
          <cell r="O254">
            <v>30</v>
          </cell>
        </row>
        <row r="255">
          <cell r="A255">
            <v>38401</v>
          </cell>
          <cell r="B255">
            <v>28</v>
          </cell>
          <cell r="C255">
            <v>0.19</v>
          </cell>
          <cell r="D255">
            <v>4</v>
          </cell>
          <cell r="E255">
            <v>6</v>
          </cell>
          <cell r="F255">
            <v>60</v>
          </cell>
          <cell r="G255">
            <v>2.7776999999999998</v>
          </cell>
          <cell r="H255">
            <v>8.1199999999999992</v>
          </cell>
          <cell r="I255">
            <v>61</v>
          </cell>
          <cell r="J255">
            <v>100</v>
          </cell>
          <cell r="O255">
            <v>5</v>
          </cell>
        </row>
        <row r="256">
          <cell r="A256">
            <v>38404</v>
          </cell>
          <cell r="O256">
            <v>7.16</v>
          </cell>
        </row>
        <row r="257">
          <cell r="A257">
            <v>38406</v>
          </cell>
          <cell r="O257">
            <v>20.399999999999999</v>
          </cell>
        </row>
        <row r="258">
          <cell r="A258">
            <v>38411</v>
          </cell>
          <cell r="O258">
            <v>21.01</v>
          </cell>
        </row>
        <row r="259">
          <cell r="A259">
            <v>38413</v>
          </cell>
          <cell r="O259">
            <v>20</v>
          </cell>
        </row>
        <row r="260">
          <cell r="A260">
            <v>38414</v>
          </cell>
          <cell r="B260">
            <v>22</v>
          </cell>
          <cell r="C260">
            <v>0.1</v>
          </cell>
          <cell r="D260">
            <v>1</v>
          </cell>
          <cell r="E260">
            <v>8</v>
          </cell>
          <cell r="F260">
            <v>150</v>
          </cell>
          <cell r="G260">
            <v>2.7471999999999999</v>
          </cell>
          <cell r="H260">
            <v>7.78</v>
          </cell>
          <cell r="I260">
            <v>58</v>
          </cell>
          <cell r="J260">
            <v>10</v>
          </cell>
          <cell r="O260">
            <v>6</v>
          </cell>
        </row>
        <row r="261">
          <cell r="A261">
            <v>38415</v>
          </cell>
          <cell r="O261">
            <v>37.200000000000003</v>
          </cell>
        </row>
        <row r="262">
          <cell r="A262">
            <v>38418</v>
          </cell>
          <cell r="O262">
            <v>12.7</v>
          </cell>
        </row>
        <row r="263">
          <cell r="A263">
            <v>38420</v>
          </cell>
          <cell r="O263">
            <v>10.6</v>
          </cell>
        </row>
        <row r="264">
          <cell r="A264">
            <v>38425</v>
          </cell>
          <cell r="O264">
            <v>24.82</v>
          </cell>
        </row>
        <row r="265">
          <cell r="A265">
            <v>38427</v>
          </cell>
          <cell r="O265">
            <v>39.15</v>
          </cell>
        </row>
        <row r="266">
          <cell r="A266">
            <v>38429</v>
          </cell>
          <cell r="O266">
            <v>14.62</v>
          </cell>
        </row>
        <row r="267">
          <cell r="A267">
            <v>38432</v>
          </cell>
          <cell r="O267">
            <v>12.85</v>
          </cell>
        </row>
        <row r="268">
          <cell r="A268">
            <v>38434</v>
          </cell>
          <cell r="O268">
            <v>34.86</v>
          </cell>
        </row>
        <row r="269">
          <cell r="A269">
            <v>38439</v>
          </cell>
          <cell r="O269">
            <v>78</v>
          </cell>
        </row>
        <row r="270">
          <cell r="A270">
            <v>38447</v>
          </cell>
          <cell r="O270">
            <v>10.4</v>
          </cell>
        </row>
        <row r="271">
          <cell r="A271">
            <v>38450</v>
          </cell>
          <cell r="O271">
            <v>44.3</v>
          </cell>
        </row>
        <row r="272">
          <cell r="A272">
            <v>38453</v>
          </cell>
          <cell r="O272">
            <v>7.5</v>
          </cell>
        </row>
        <row r="273">
          <cell r="A273">
            <v>38455</v>
          </cell>
          <cell r="O273">
            <v>14</v>
          </cell>
        </row>
        <row r="274">
          <cell r="A274">
            <v>38456</v>
          </cell>
          <cell r="B274" t="str">
            <v>S/M</v>
          </cell>
          <cell r="C274" t="str">
            <v>S/M</v>
          </cell>
          <cell r="D274" t="str">
            <v>S/M</v>
          </cell>
          <cell r="E274" t="str">
            <v>S/M</v>
          </cell>
          <cell r="F274" t="str">
            <v>S/M</v>
          </cell>
          <cell r="G274" t="str">
            <v>S/M</v>
          </cell>
          <cell r="H274" t="str">
            <v>S/M</v>
          </cell>
          <cell r="I274" t="str">
            <v>S/M</v>
          </cell>
          <cell r="J274" t="str">
            <v>S/M</v>
          </cell>
          <cell r="K274" t="str">
            <v>S/M</v>
          </cell>
          <cell r="L274" t="str">
            <v>S/M</v>
          </cell>
          <cell r="M274" t="str">
            <v>S/M</v>
          </cell>
          <cell r="N274" t="str">
            <v>S/M</v>
          </cell>
          <cell r="O274" t="str">
            <v>S/M</v>
          </cell>
          <cell r="P274" t="str">
            <v>S/M</v>
          </cell>
        </row>
        <row r="275">
          <cell r="A275">
            <v>38460</v>
          </cell>
          <cell r="O275">
            <v>5.54</v>
          </cell>
        </row>
        <row r="276">
          <cell r="A276">
            <v>38461</v>
          </cell>
          <cell r="O276">
            <v>17.18</v>
          </cell>
        </row>
        <row r="277">
          <cell r="A277">
            <v>38462</v>
          </cell>
          <cell r="O277">
            <v>16.39</v>
          </cell>
        </row>
        <row r="278">
          <cell r="A278">
            <v>38462</v>
          </cell>
          <cell r="O278">
            <v>156.72</v>
          </cell>
        </row>
        <row r="279">
          <cell r="A279">
            <v>38467</v>
          </cell>
          <cell r="O279">
            <v>28.1</v>
          </cell>
          <cell r="P279" t="str">
            <v>otra muestracon 20.2 ppm de Hc</v>
          </cell>
        </row>
        <row r="280">
          <cell r="A280">
            <v>38468</v>
          </cell>
          <cell r="O280">
            <v>43.1</v>
          </cell>
        </row>
        <row r="281">
          <cell r="A281">
            <v>38485</v>
          </cell>
          <cell r="B281" t="str">
            <v>F/S</v>
          </cell>
          <cell r="C281" t="str">
            <v>F/S</v>
          </cell>
          <cell r="D281" t="str">
            <v>F/S</v>
          </cell>
          <cell r="E281" t="str">
            <v>F/S</v>
          </cell>
          <cell r="F281" t="str">
            <v>F/S</v>
          </cell>
          <cell r="G281" t="str">
            <v>F/S</v>
          </cell>
          <cell r="H281" t="str">
            <v>F/S</v>
          </cell>
          <cell r="I281" t="str">
            <v>F/S</v>
          </cell>
          <cell r="J281" t="str">
            <v>F/S</v>
          </cell>
          <cell r="K281" t="str">
            <v>F/S</v>
          </cell>
          <cell r="L281" t="str">
            <v>F/S</v>
          </cell>
          <cell r="M281" t="str">
            <v>F/S</v>
          </cell>
          <cell r="N281" t="str">
            <v>F/S</v>
          </cell>
          <cell r="O281" t="str">
            <v>F/S</v>
          </cell>
          <cell r="P281" t="str">
            <v>F/S</v>
          </cell>
        </row>
        <row r="282">
          <cell r="A282">
            <v>38505</v>
          </cell>
        </row>
        <row r="283">
          <cell r="A283">
            <v>38506</v>
          </cell>
          <cell r="B283" t="str">
            <v>F/S</v>
          </cell>
          <cell r="C283" t="str">
            <v>F/S</v>
          </cell>
          <cell r="D283" t="str">
            <v>F/S</v>
          </cell>
          <cell r="E283" t="str">
            <v>F/S</v>
          </cell>
          <cell r="F283" t="str">
            <v>F/S</v>
          </cell>
          <cell r="G283" t="str">
            <v>F/S</v>
          </cell>
          <cell r="H283" t="str">
            <v>F/S</v>
          </cell>
          <cell r="I283" t="str">
            <v>F/S</v>
          </cell>
          <cell r="J283" t="str">
            <v>F/S</v>
          </cell>
          <cell r="K283" t="str">
            <v>F/S</v>
          </cell>
          <cell r="L283" t="str">
            <v>F/S</v>
          </cell>
          <cell r="M283" t="str">
            <v>F/S</v>
          </cell>
          <cell r="N283" t="str">
            <v>F/S</v>
          </cell>
          <cell r="O283" t="str">
            <v>F/S</v>
          </cell>
          <cell r="P283" t="str">
            <v>F/S</v>
          </cell>
        </row>
        <row r="284">
          <cell r="A284">
            <v>38509</v>
          </cell>
          <cell r="O284">
            <v>14.9</v>
          </cell>
        </row>
        <row r="285">
          <cell r="A285">
            <v>38511</v>
          </cell>
          <cell r="O285">
            <v>10.6</v>
          </cell>
        </row>
        <row r="286">
          <cell r="A286">
            <v>38519</v>
          </cell>
          <cell r="O286">
            <v>12</v>
          </cell>
        </row>
        <row r="287">
          <cell r="A287">
            <v>38544</v>
          </cell>
          <cell r="D287">
            <v>4</v>
          </cell>
          <cell r="E287">
            <v>4</v>
          </cell>
          <cell r="F287">
            <v>30</v>
          </cell>
          <cell r="H287">
            <v>7.78</v>
          </cell>
          <cell r="I287">
            <v>55</v>
          </cell>
          <cell r="J287">
            <v>1000</v>
          </cell>
          <cell r="O287">
            <v>36</v>
          </cell>
        </row>
        <row r="288">
          <cell r="A288">
            <v>38545</v>
          </cell>
          <cell r="O288">
            <v>9.4</v>
          </cell>
        </row>
        <row r="289">
          <cell r="A289">
            <v>38551</v>
          </cell>
          <cell r="O289">
            <v>29.7</v>
          </cell>
        </row>
        <row r="290">
          <cell r="A290">
            <v>38555</v>
          </cell>
          <cell r="O290">
            <v>16.7</v>
          </cell>
        </row>
        <row r="291">
          <cell r="A291">
            <v>38559</v>
          </cell>
          <cell r="O291">
            <v>12.2</v>
          </cell>
        </row>
        <row r="292">
          <cell r="A292">
            <v>38560</v>
          </cell>
          <cell r="O292">
            <v>25.4</v>
          </cell>
        </row>
        <row r="293">
          <cell r="A293">
            <v>38562</v>
          </cell>
          <cell r="O293">
            <v>25.3</v>
          </cell>
        </row>
        <row r="294">
          <cell r="A294">
            <v>38565</v>
          </cell>
          <cell r="O294">
            <v>22</v>
          </cell>
        </row>
        <row r="295">
          <cell r="A295">
            <v>38567</v>
          </cell>
          <cell r="O295">
            <v>9.5</v>
          </cell>
        </row>
        <row r="296">
          <cell r="A296">
            <v>38569</v>
          </cell>
          <cell r="O296">
            <v>35.1</v>
          </cell>
        </row>
        <row r="297">
          <cell r="A297">
            <v>38574</v>
          </cell>
          <cell r="O297">
            <v>31.4</v>
          </cell>
        </row>
        <row r="298">
          <cell r="A298">
            <v>38576</v>
          </cell>
          <cell r="O298">
            <v>34.5</v>
          </cell>
        </row>
        <row r="299">
          <cell r="A299">
            <v>38581</v>
          </cell>
          <cell r="O299">
            <v>21.2</v>
          </cell>
        </row>
        <row r="300">
          <cell r="A300">
            <v>38583</v>
          </cell>
          <cell r="O300">
            <v>25.4</v>
          </cell>
        </row>
        <row r="301">
          <cell r="A301">
            <v>38586</v>
          </cell>
          <cell r="O301">
            <v>11</v>
          </cell>
        </row>
        <row r="302">
          <cell r="A302">
            <v>38588</v>
          </cell>
          <cell r="D302">
            <v>5</v>
          </cell>
          <cell r="E302">
            <v>4</v>
          </cell>
          <cell r="F302">
            <v>18</v>
          </cell>
          <cell r="H302">
            <v>7.7</v>
          </cell>
          <cell r="I302">
            <v>48</v>
          </cell>
          <cell r="J302">
            <v>100</v>
          </cell>
          <cell r="O302">
            <v>15</v>
          </cell>
          <cell r="P302" t="str">
            <v>Lab. C.D. 14.7ppm H.C:</v>
          </cell>
        </row>
        <row r="303">
          <cell r="A303">
            <v>38590</v>
          </cell>
          <cell r="O303">
            <v>13.4</v>
          </cell>
        </row>
        <row r="304">
          <cell r="A304">
            <v>38593</v>
          </cell>
          <cell r="O304">
            <v>8.7200000000000006</v>
          </cell>
        </row>
        <row r="305">
          <cell r="A305">
            <v>38595</v>
          </cell>
          <cell r="O305">
            <v>11.1</v>
          </cell>
        </row>
        <row r="306">
          <cell r="A306">
            <v>38600</v>
          </cell>
          <cell r="O306">
            <v>7.7</v>
          </cell>
        </row>
        <row r="307">
          <cell r="A307">
            <v>38602</v>
          </cell>
          <cell r="O307">
            <v>15.2</v>
          </cell>
        </row>
        <row r="308">
          <cell r="A308">
            <v>38607</v>
          </cell>
          <cell r="O308">
            <v>10.7</v>
          </cell>
        </row>
        <row r="309">
          <cell r="A309">
            <v>38611</v>
          </cell>
          <cell r="O309">
            <v>6.5</v>
          </cell>
        </row>
        <row r="310">
          <cell r="A310">
            <v>38614</v>
          </cell>
          <cell r="O310">
            <v>19.899999999999999</v>
          </cell>
        </row>
        <row r="311">
          <cell r="A311">
            <v>38616</v>
          </cell>
          <cell r="O311">
            <v>17.5</v>
          </cell>
        </row>
        <row r="312">
          <cell r="A312">
            <v>38621</v>
          </cell>
          <cell r="O312">
            <v>17.600000000000001</v>
          </cell>
        </row>
        <row r="313">
          <cell r="A313">
            <v>38644</v>
          </cell>
          <cell r="O313">
            <v>12.9</v>
          </cell>
        </row>
        <row r="314">
          <cell r="A314">
            <v>38651</v>
          </cell>
          <cell r="O314">
            <v>15.3</v>
          </cell>
        </row>
        <row r="315">
          <cell r="A315">
            <v>38646</v>
          </cell>
          <cell r="D315">
            <v>3</v>
          </cell>
          <cell r="E315">
            <v>8</v>
          </cell>
          <cell r="F315">
            <v>20</v>
          </cell>
          <cell r="H315">
            <v>7.14</v>
          </cell>
          <cell r="I315">
            <v>54</v>
          </cell>
          <cell r="J315">
            <v>1000</v>
          </cell>
          <cell r="O315">
            <v>15</v>
          </cell>
        </row>
        <row r="316">
          <cell r="A316">
            <v>38659</v>
          </cell>
          <cell r="O316">
            <v>37.299999999999997</v>
          </cell>
        </row>
        <row r="317">
          <cell r="A317">
            <v>38672</v>
          </cell>
          <cell r="D317">
            <v>3</v>
          </cell>
          <cell r="E317">
            <v>10</v>
          </cell>
          <cell r="F317">
            <v>10</v>
          </cell>
          <cell r="H317">
            <v>7.49</v>
          </cell>
          <cell r="I317">
            <v>53</v>
          </cell>
          <cell r="J317">
            <v>10000</v>
          </cell>
          <cell r="O317">
            <v>6</v>
          </cell>
        </row>
        <row r="318">
          <cell r="A318">
            <v>38687</v>
          </cell>
          <cell r="O318">
            <v>6.3</v>
          </cell>
        </row>
        <row r="319">
          <cell r="A319">
            <v>38699</v>
          </cell>
          <cell r="O319">
            <v>8.4</v>
          </cell>
        </row>
        <row r="320">
          <cell r="A320">
            <v>38701</v>
          </cell>
          <cell r="D320">
            <v>1</v>
          </cell>
          <cell r="E320">
            <v>7</v>
          </cell>
          <cell r="F320">
            <v>60</v>
          </cell>
          <cell r="H320" t="str">
            <v>7,60</v>
          </cell>
          <cell r="I320">
            <v>55</v>
          </cell>
          <cell r="J320">
            <v>1000</v>
          </cell>
          <cell r="O320">
            <v>13</v>
          </cell>
        </row>
        <row r="321">
          <cell r="A321">
            <v>38707</v>
          </cell>
          <cell r="O321">
            <v>10.1</v>
          </cell>
        </row>
        <row r="322">
          <cell r="A322">
            <v>38729</v>
          </cell>
          <cell r="D322">
            <v>2</v>
          </cell>
          <cell r="E322">
            <v>6</v>
          </cell>
          <cell r="F322">
            <v>8</v>
          </cell>
          <cell r="H322">
            <v>7.48</v>
          </cell>
          <cell r="I322">
            <v>57</v>
          </cell>
          <cell r="J322">
            <v>10</v>
          </cell>
          <cell r="O322">
            <v>17</v>
          </cell>
        </row>
        <row r="323">
          <cell r="A323">
            <v>38737</v>
          </cell>
          <cell r="O323">
            <v>24.1</v>
          </cell>
        </row>
        <row r="324">
          <cell r="A324">
            <v>38763</v>
          </cell>
          <cell r="J324">
            <v>100</v>
          </cell>
        </row>
        <row r="325">
          <cell r="A325">
            <v>38810</v>
          </cell>
          <cell r="J325">
            <v>10</v>
          </cell>
        </row>
        <row r="326">
          <cell r="A326">
            <v>38827</v>
          </cell>
          <cell r="D326">
            <v>3</v>
          </cell>
          <cell r="E326">
            <v>8</v>
          </cell>
          <cell r="F326">
            <v>12</v>
          </cell>
          <cell r="H326">
            <v>7.58</v>
          </cell>
          <cell r="I326">
            <v>58</v>
          </cell>
          <cell r="J326">
            <v>100</v>
          </cell>
          <cell r="O326">
            <v>7</v>
          </cell>
        </row>
        <row r="327">
          <cell r="A327">
            <v>38866</v>
          </cell>
          <cell r="D327">
            <v>2</v>
          </cell>
          <cell r="E327">
            <v>12</v>
          </cell>
          <cell r="F327">
            <v>16</v>
          </cell>
          <cell r="H327">
            <v>7.29</v>
          </cell>
          <cell r="I327">
            <v>52</v>
          </cell>
          <cell r="J327">
            <v>1000</v>
          </cell>
          <cell r="O327">
            <v>5</v>
          </cell>
        </row>
        <row r="328">
          <cell r="A328">
            <v>38883</v>
          </cell>
          <cell r="D328">
            <v>3</v>
          </cell>
          <cell r="E328">
            <v>14</v>
          </cell>
          <cell r="F328">
            <v>12</v>
          </cell>
          <cell r="H328">
            <v>7.46</v>
          </cell>
          <cell r="I328">
            <v>53</v>
          </cell>
          <cell r="J328">
            <v>10000</v>
          </cell>
          <cell r="O328">
            <v>22</v>
          </cell>
        </row>
        <row r="329">
          <cell r="A329">
            <v>38910</v>
          </cell>
          <cell r="D329">
            <v>4</v>
          </cell>
          <cell r="E329">
            <v>11</v>
          </cell>
          <cell r="F329">
            <v>12</v>
          </cell>
          <cell r="H329">
            <v>7.57</v>
          </cell>
          <cell r="I329">
            <v>54</v>
          </cell>
          <cell r="J329">
            <v>100</v>
          </cell>
          <cell r="O329">
            <v>18</v>
          </cell>
        </row>
        <row r="330">
          <cell r="A330">
            <v>38958</v>
          </cell>
          <cell r="D330">
            <v>2</v>
          </cell>
          <cell r="E330">
            <v>10</v>
          </cell>
          <cell r="F330">
            <v>20</v>
          </cell>
          <cell r="H330">
            <v>7.68</v>
          </cell>
          <cell r="I330">
            <v>56</v>
          </cell>
          <cell r="J330">
            <v>100</v>
          </cell>
          <cell r="O330">
            <v>30</v>
          </cell>
        </row>
        <row r="331">
          <cell r="A331">
            <v>38981</v>
          </cell>
          <cell r="D331">
            <v>3</v>
          </cell>
          <cell r="E331">
            <v>8</v>
          </cell>
          <cell r="F331">
            <v>30</v>
          </cell>
          <cell r="H331">
            <v>7.45</v>
          </cell>
          <cell r="I331">
            <v>58</v>
          </cell>
          <cell r="J331">
            <v>1000</v>
          </cell>
          <cell r="O331">
            <v>9</v>
          </cell>
        </row>
        <row r="332">
          <cell r="A332">
            <v>39016</v>
          </cell>
          <cell r="D332">
            <v>2</v>
          </cell>
          <cell r="E332">
            <v>6</v>
          </cell>
          <cell r="F332">
            <v>20</v>
          </cell>
          <cell r="H332">
            <v>7.52</v>
          </cell>
          <cell r="I332">
            <v>56</v>
          </cell>
          <cell r="J332">
            <v>100</v>
          </cell>
          <cell r="O332">
            <v>6</v>
          </cell>
        </row>
        <row r="365">
          <cell r="A365" t="str">
            <v>OBSERVACIONES :</v>
          </cell>
        </row>
      </sheetData>
      <sheetData sheetId="9">
        <row r="4">
          <cell r="A4" t="str">
            <v>FECHA</v>
          </cell>
          <cell r="B4" t="str">
            <v>SO4=</v>
          </cell>
          <cell r="C4" t="str">
            <v>Fe</v>
          </cell>
          <cell r="D4" t="str">
            <v>S=</v>
          </cell>
          <cell r="E4" t="str">
            <v>CO2</v>
          </cell>
          <cell r="F4" t="str">
            <v>O2</v>
          </cell>
          <cell r="G4" t="str">
            <v>Rms.</v>
          </cell>
          <cell r="H4" t="str">
            <v>pH</v>
          </cell>
          <cell r="I4" t="str">
            <v>Temp.</v>
          </cell>
          <cell r="J4" t="str">
            <v>B.S.R.</v>
          </cell>
          <cell r="K4" t="str">
            <v xml:space="preserve">Solidos </v>
          </cell>
          <cell r="L4" t="str">
            <v>Solidos</v>
          </cell>
          <cell r="M4" t="str">
            <v>Organicos</v>
          </cell>
          <cell r="N4" t="str">
            <v>Sólidos Susp. Totales</v>
          </cell>
          <cell r="O4" t="str">
            <v>Oil/W</v>
          </cell>
          <cell r="P4" t="str">
            <v>Ca</v>
          </cell>
          <cell r="Q4" t="str">
            <v>Mg</v>
          </cell>
          <cell r="R4" t="str">
            <v>COH3-</v>
          </cell>
          <cell r="S4" t="str">
            <v>CO3=</v>
          </cell>
          <cell r="T4" t="str">
            <v>SO3=</v>
          </cell>
          <cell r="U4" t="str">
            <v>Observaciones</v>
          </cell>
        </row>
        <row r="5">
          <cell r="K5" t="str">
            <v>Insolubles</v>
          </cell>
          <cell r="L5" t="str">
            <v>Solubles</v>
          </cell>
          <cell r="O5" t="str">
            <v>(Expect)</v>
          </cell>
        </row>
        <row r="6">
          <cell r="B6" t="str">
            <v>mg / l</v>
          </cell>
          <cell r="C6" t="str">
            <v>mg / l</v>
          </cell>
          <cell r="D6" t="str">
            <v>mg / l</v>
          </cell>
          <cell r="E6" t="str">
            <v>mg / l</v>
          </cell>
          <cell r="F6" t="str">
            <v>ppb</v>
          </cell>
          <cell r="G6" t="str">
            <v>ohm/m</v>
          </cell>
          <cell r="I6" t="str">
            <v>°C</v>
          </cell>
          <cell r="J6" t="str">
            <v>col / ml</v>
          </cell>
          <cell r="K6" t="str">
            <v>mg / l</v>
          </cell>
          <cell r="L6" t="str">
            <v>mg / l</v>
          </cell>
          <cell r="M6" t="str">
            <v>mg / l</v>
          </cell>
          <cell r="N6" t="str">
            <v>mg / l</v>
          </cell>
          <cell r="O6" t="str">
            <v>ppm</v>
          </cell>
          <cell r="P6" t="str">
            <v>mg / l</v>
          </cell>
          <cell r="Q6" t="str">
            <v>mg / l</v>
          </cell>
          <cell r="R6" t="str">
            <v>mg / l</v>
          </cell>
          <cell r="S6" t="str">
            <v>mg / l</v>
          </cell>
          <cell r="T6" t="str">
            <v>mg / l</v>
          </cell>
        </row>
        <row r="7">
          <cell r="A7">
            <v>36854</v>
          </cell>
          <cell r="B7">
            <v>28</v>
          </cell>
          <cell r="C7">
            <v>2.56</v>
          </cell>
          <cell r="D7">
            <v>3.54</v>
          </cell>
          <cell r="E7">
            <v>15</v>
          </cell>
          <cell r="F7">
            <v>10</v>
          </cell>
          <cell r="G7">
            <v>2.2153300841825434</v>
          </cell>
          <cell r="H7">
            <v>7.71</v>
          </cell>
          <cell r="I7">
            <v>50</v>
          </cell>
          <cell r="J7">
            <v>1000</v>
          </cell>
          <cell r="K7">
            <v>1.3</v>
          </cell>
          <cell r="L7">
            <v>2.6</v>
          </cell>
          <cell r="M7">
            <v>56</v>
          </cell>
          <cell r="N7">
            <v>60</v>
          </cell>
          <cell r="O7">
            <v>51</v>
          </cell>
        </row>
        <row r="8">
          <cell r="A8">
            <v>36871</v>
          </cell>
          <cell r="B8">
            <v>29</v>
          </cell>
          <cell r="C8">
            <v>2.68</v>
          </cell>
          <cell r="D8">
            <v>4</v>
          </cell>
          <cell r="E8">
            <v>15</v>
          </cell>
          <cell r="G8">
            <v>2.2123893805309733</v>
          </cell>
          <cell r="H8">
            <v>7.73</v>
          </cell>
          <cell r="I8">
            <v>51</v>
          </cell>
          <cell r="J8">
            <v>1000</v>
          </cell>
          <cell r="K8">
            <v>2.8</v>
          </cell>
          <cell r="L8">
            <v>1</v>
          </cell>
          <cell r="M8">
            <v>35</v>
          </cell>
          <cell r="N8">
            <v>36</v>
          </cell>
          <cell r="O8">
            <v>23</v>
          </cell>
        </row>
        <row r="9">
          <cell r="A9">
            <v>36879</v>
          </cell>
          <cell r="B9">
            <v>27</v>
          </cell>
          <cell r="C9">
            <v>2.6</v>
          </cell>
          <cell r="D9">
            <v>2</v>
          </cell>
          <cell r="E9">
            <v>15</v>
          </cell>
          <cell r="G9">
            <v>2.2421524663677128</v>
          </cell>
          <cell r="H9">
            <v>7.68</v>
          </cell>
          <cell r="I9">
            <v>56</v>
          </cell>
          <cell r="J9">
            <v>1000</v>
          </cell>
          <cell r="K9">
            <v>0.8</v>
          </cell>
          <cell r="L9">
            <v>27</v>
          </cell>
          <cell r="M9">
            <v>52</v>
          </cell>
          <cell r="N9">
            <v>80</v>
          </cell>
          <cell r="O9">
            <v>52</v>
          </cell>
        </row>
        <row r="10">
          <cell r="A10">
            <v>36887</v>
          </cell>
          <cell r="B10">
            <v>24</v>
          </cell>
          <cell r="C10">
            <v>0.28000000000000003</v>
          </cell>
          <cell r="D10">
            <v>3.8</v>
          </cell>
          <cell r="E10">
            <v>15</v>
          </cell>
          <cell r="F10">
            <v>40</v>
          </cell>
          <cell r="G10">
            <v>2.2371364653243848</v>
          </cell>
          <cell r="H10">
            <v>7.73</v>
          </cell>
          <cell r="I10">
            <v>55</v>
          </cell>
          <cell r="J10">
            <v>1000</v>
          </cell>
          <cell r="K10">
            <v>2.8</v>
          </cell>
          <cell r="L10">
            <v>1</v>
          </cell>
          <cell r="M10">
            <v>50.75</v>
          </cell>
          <cell r="N10">
            <v>54</v>
          </cell>
          <cell r="O10">
            <v>35</v>
          </cell>
        </row>
        <row r="11">
          <cell r="A11">
            <v>36907</v>
          </cell>
          <cell r="B11">
            <v>35</v>
          </cell>
          <cell r="C11">
            <v>0.38</v>
          </cell>
          <cell r="D11">
            <v>5.5</v>
          </cell>
          <cell r="E11">
            <v>12</v>
          </cell>
          <cell r="G11">
            <v>2.1834061135371181</v>
          </cell>
          <cell r="H11">
            <v>7.78</v>
          </cell>
          <cell r="I11">
            <v>58</v>
          </cell>
          <cell r="K11">
            <v>2.2999999999999998</v>
          </cell>
          <cell r="L11">
            <v>0.5</v>
          </cell>
          <cell r="M11">
            <v>46</v>
          </cell>
          <cell r="N11">
            <v>49</v>
          </cell>
          <cell r="O11">
            <v>52</v>
          </cell>
        </row>
        <row r="12">
          <cell r="A12">
            <v>36924</v>
          </cell>
          <cell r="O12">
            <v>27</v>
          </cell>
        </row>
        <row r="13">
          <cell r="A13">
            <v>36931</v>
          </cell>
          <cell r="O13">
            <v>39</v>
          </cell>
        </row>
        <row r="14">
          <cell r="A14">
            <v>36938</v>
          </cell>
          <cell r="O14">
            <v>41</v>
          </cell>
        </row>
        <row r="15">
          <cell r="A15">
            <v>36945</v>
          </cell>
          <cell r="O15">
            <v>42</v>
          </cell>
        </row>
        <row r="16">
          <cell r="A16">
            <v>36957</v>
          </cell>
          <cell r="O16">
            <v>36</v>
          </cell>
        </row>
        <row r="17">
          <cell r="A17">
            <v>36958</v>
          </cell>
          <cell r="B17">
            <v>12</v>
          </cell>
          <cell r="C17">
            <v>0.48</v>
          </cell>
          <cell r="D17">
            <v>1.81</v>
          </cell>
          <cell r="E17">
            <v>10</v>
          </cell>
          <cell r="F17">
            <v>25</v>
          </cell>
          <cell r="I17">
            <v>50</v>
          </cell>
          <cell r="J17">
            <v>10</v>
          </cell>
          <cell r="O17">
            <v>44</v>
          </cell>
        </row>
        <row r="18">
          <cell r="A18">
            <v>36959</v>
          </cell>
          <cell r="O18">
            <v>21</v>
          </cell>
        </row>
        <row r="19">
          <cell r="A19">
            <v>36962</v>
          </cell>
          <cell r="O19">
            <v>34</v>
          </cell>
        </row>
        <row r="20">
          <cell r="A20">
            <v>36964</v>
          </cell>
          <cell r="O20">
            <v>39</v>
          </cell>
        </row>
        <row r="21">
          <cell r="A21">
            <v>36966</v>
          </cell>
          <cell r="O21">
            <v>26</v>
          </cell>
        </row>
        <row r="22">
          <cell r="A22">
            <v>36969</v>
          </cell>
          <cell r="O22">
            <v>17</v>
          </cell>
        </row>
        <row r="23">
          <cell r="A23">
            <v>36973</v>
          </cell>
          <cell r="O23">
            <v>29</v>
          </cell>
        </row>
        <row r="24">
          <cell r="A24">
            <v>36976</v>
          </cell>
          <cell r="O24">
            <v>25</v>
          </cell>
        </row>
        <row r="25">
          <cell r="A25">
            <v>36978</v>
          </cell>
          <cell r="O25">
            <v>18</v>
          </cell>
        </row>
        <row r="26">
          <cell r="A26">
            <v>36984</v>
          </cell>
          <cell r="C26">
            <v>0.6</v>
          </cell>
          <cell r="D26">
            <v>2</v>
          </cell>
          <cell r="E26">
            <v>10</v>
          </cell>
          <cell r="F26">
            <v>100</v>
          </cell>
          <cell r="G26">
            <v>2.2222222222222223</v>
          </cell>
          <cell r="H26">
            <v>7.51</v>
          </cell>
          <cell r="I26">
            <v>56</v>
          </cell>
          <cell r="J26">
            <v>10</v>
          </cell>
          <cell r="O26">
            <v>36</v>
          </cell>
        </row>
        <row r="27">
          <cell r="A27">
            <v>37006</v>
          </cell>
          <cell r="B27">
            <v>30</v>
          </cell>
          <cell r="C27">
            <v>0.27</v>
          </cell>
          <cell r="D27">
            <v>0.1</v>
          </cell>
          <cell r="E27">
            <v>10</v>
          </cell>
          <cell r="F27">
            <v>90</v>
          </cell>
          <cell r="H27">
            <v>7.8</v>
          </cell>
          <cell r="I27">
            <v>50</v>
          </cell>
          <cell r="J27">
            <v>100</v>
          </cell>
          <cell r="K27">
            <v>1.6</v>
          </cell>
          <cell r="L27">
            <v>0.9</v>
          </cell>
          <cell r="M27">
            <v>15.6</v>
          </cell>
          <cell r="N27">
            <v>18.399999999999999</v>
          </cell>
        </row>
        <row r="28">
          <cell r="A28">
            <v>37033</v>
          </cell>
          <cell r="B28">
            <v>21</v>
          </cell>
          <cell r="C28">
            <v>0.1</v>
          </cell>
          <cell r="D28">
            <v>1.5</v>
          </cell>
          <cell r="E28">
            <v>6</v>
          </cell>
          <cell r="F28">
            <v>250</v>
          </cell>
          <cell r="G28">
            <v>2.347417840375587</v>
          </cell>
          <cell r="H28">
            <v>8.1</v>
          </cell>
          <cell r="I28">
            <v>54</v>
          </cell>
          <cell r="J28">
            <v>100</v>
          </cell>
          <cell r="K28">
            <v>0.3</v>
          </cell>
          <cell r="L28">
            <v>0.8</v>
          </cell>
          <cell r="M28">
            <v>12.9</v>
          </cell>
          <cell r="N28">
            <v>13.9</v>
          </cell>
          <cell r="O28">
            <v>24</v>
          </cell>
        </row>
        <row r="29">
          <cell r="A29">
            <v>37062</v>
          </cell>
          <cell r="B29">
            <v>26</v>
          </cell>
          <cell r="C29">
            <v>0.15</v>
          </cell>
          <cell r="D29">
            <v>0.7</v>
          </cell>
          <cell r="E29">
            <v>12</v>
          </cell>
          <cell r="F29">
            <v>250</v>
          </cell>
          <cell r="G29">
            <v>2.1779999999999999</v>
          </cell>
          <cell r="H29">
            <v>7.97</v>
          </cell>
          <cell r="I29">
            <v>55</v>
          </cell>
          <cell r="J29">
            <v>100</v>
          </cell>
          <cell r="O29">
            <v>57</v>
          </cell>
          <cell r="U29" t="str">
            <v>Durante Junio hay mucho petróleo en pileta porque se tiro por no haber capacidad en Caleta Cordoba</v>
          </cell>
        </row>
        <row r="30">
          <cell r="A30">
            <v>37089</v>
          </cell>
          <cell r="B30">
            <v>9</v>
          </cell>
          <cell r="C30">
            <v>0.1</v>
          </cell>
          <cell r="D30">
            <v>2.5</v>
          </cell>
          <cell r="E30">
            <v>15</v>
          </cell>
          <cell r="F30">
            <v>80</v>
          </cell>
          <cell r="G30">
            <v>2.2519999999999998</v>
          </cell>
          <cell r="H30">
            <v>7.65</v>
          </cell>
          <cell r="I30">
            <v>49</v>
          </cell>
          <cell r="J30">
            <v>100</v>
          </cell>
          <cell r="K30">
            <v>1.6</v>
          </cell>
          <cell r="L30">
            <v>1.3</v>
          </cell>
          <cell r="M30">
            <v>43.3</v>
          </cell>
          <cell r="N30">
            <v>46.1</v>
          </cell>
          <cell r="O30">
            <v>42</v>
          </cell>
        </row>
        <row r="31">
          <cell r="A31">
            <v>37090</v>
          </cell>
          <cell r="O31">
            <v>45</v>
          </cell>
        </row>
        <row r="32">
          <cell r="A32">
            <v>37092</v>
          </cell>
          <cell r="O32">
            <v>54</v>
          </cell>
        </row>
        <row r="33">
          <cell r="A33">
            <v>37106</v>
          </cell>
          <cell r="O33">
            <v>50</v>
          </cell>
        </row>
        <row r="34">
          <cell r="A34">
            <v>37130</v>
          </cell>
          <cell r="O34">
            <v>55</v>
          </cell>
        </row>
        <row r="35">
          <cell r="A35">
            <v>37134</v>
          </cell>
          <cell r="O35">
            <v>89</v>
          </cell>
        </row>
        <row r="36">
          <cell r="A36">
            <v>37137</v>
          </cell>
          <cell r="O36">
            <v>44</v>
          </cell>
        </row>
        <row r="37">
          <cell r="A37">
            <v>37144</v>
          </cell>
          <cell r="B37">
            <v>22</v>
          </cell>
          <cell r="C37">
            <v>0.25</v>
          </cell>
          <cell r="D37">
            <v>2</v>
          </cell>
          <cell r="E37">
            <v>12</v>
          </cell>
          <cell r="F37">
            <v>15</v>
          </cell>
          <cell r="G37">
            <v>2.2669999999999999</v>
          </cell>
          <cell r="H37">
            <v>7.79</v>
          </cell>
          <cell r="I37">
            <v>48</v>
          </cell>
          <cell r="J37">
            <v>10</v>
          </cell>
          <cell r="K37">
            <v>1.9</v>
          </cell>
          <cell r="L37">
            <v>1.1000000000000001</v>
          </cell>
          <cell r="M37">
            <v>32.9</v>
          </cell>
          <cell r="N37">
            <v>35.9</v>
          </cell>
          <cell r="O37">
            <v>48</v>
          </cell>
          <cell r="U37" t="str">
            <v>Fecha de lect.Bact. 27/08/2001</v>
          </cell>
        </row>
        <row r="38">
          <cell r="A38">
            <v>37146</v>
          </cell>
          <cell r="O38">
            <v>67</v>
          </cell>
        </row>
        <row r="39">
          <cell r="A39">
            <v>37148</v>
          </cell>
          <cell r="O39">
            <v>50</v>
          </cell>
        </row>
        <row r="40">
          <cell r="A40">
            <v>37151</v>
          </cell>
          <cell r="O40">
            <v>28</v>
          </cell>
        </row>
        <row r="41">
          <cell r="A41">
            <v>37153</v>
          </cell>
          <cell r="O41">
            <v>37</v>
          </cell>
        </row>
        <row r="42">
          <cell r="A42">
            <v>37155</v>
          </cell>
          <cell r="O42">
            <v>32</v>
          </cell>
        </row>
        <row r="43">
          <cell r="A43">
            <v>37158</v>
          </cell>
          <cell r="O43">
            <v>36</v>
          </cell>
        </row>
        <row r="44">
          <cell r="A44">
            <v>37160</v>
          </cell>
          <cell r="O44">
            <v>25</v>
          </cell>
        </row>
        <row r="45">
          <cell r="A45">
            <v>37173</v>
          </cell>
          <cell r="B45">
            <v>17</v>
          </cell>
          <cell r="C45">
            <v>0.7</v>
          </cell>
          <cell r="D45">
            <v>2.5</v>
          </cell>
          <cell r="E45">
            <v>10</v>
          </cell>
          <cell r="F45">
            <v>6</v>
          </cell>
          <cell r="G45">
            <v>2.3148</v>
          </cell>
          <cell r="H45">
            <v>8.32</v>
          </cell>
          <cell r="I45">
            <v>54</v>
          </cell>
          <cell r="J45">
            <v>10</v>
          </cell>
          <cell r="K45">
            <v>1.2</v>
          </cell>
          <cell r="L45">
            <v>0.8</v>
          </cell>
          <cell r="M45">
            <v>31.5</v>
          </cell>
          <cell r="N45">
            <v>33.5</v>
          </cell>
          <cell r="O45">
            <v>29</v>
          </cell>
        </row>
        <row r="46">
          <cell r="A46">
            <v>37175</v>
          </cell>
          <cell r="O46">
            <v>32</v>
          </cell>
        </row>
        <row r="47">
          <cell r="A47">
            <v>37183</v>
          </cell>
          <cell r="O47">
            <v>16</v>
          </cell>
        </row>
        <row r="48">
          <cell r="A48">
            <v>37186</v>
          </cell>
          <cell r="O48">
            <v>179</v>
          </cell>
        </row>
        <row r="49">
          <cell r="A49">
            <v>37188</v>
          </cell>
          <cell r="O49">
            <v>51</v>
          </cell>
        </row>
        <row r="50">
          <cell r="A50">
            <v>37193</v>
          </cell>
          <cell r="J50">
            <v>1000</v>
          </cell>
          <cell r="O50">
            <v>42</v>
          </cell>
          <cell r="U50" t="str">
            <v>Fecha de Cult. 29/10</v>
          </cell>
        </row>
        <row r="51">
          <cell r="A51">
            <v>37203</v>
          </cell>
          <cell r="B51">
            <v>19</v>
          </cell>
          <cell r="C51">
            <v>0.15</v>
          </cell>
          <cell r="D51">
            <v>2</v>
          </cell>
          <cell r="E51">
            <v>13</v>
          </cell>
          <cell r="F51">
            <v>30</v>
          </cell>
          <cell r="G51">
            <v>2.2778999999999998</v>
          </cell>
          <cell r="H51">
            <v>7.5</v>
          </cell>
          <cell r="I51">
            <v>56</v>
          </cell>
          <cell r="J51">
            <v>1000</v>
          </cell>
          <cell r="K51">
            <v>0.6</v>
          </cell>
          <cell r="L51">
            <v>1.8</v>
          </cell>
          <cell r="M51">
            <v>40.1</v>
          </cell>
          <cell r="N51">
            <v>42.5</v>
          </cell>
          <cell r="O51">
            <v>37</v>
          </cell>
          <cell r="U51" t="str">
            <v>Octubre Petroleo en Pileta</v>
          </cell>
        </row>
        <row r="52">
          <cell r="A52">
            <v>37229</v>
          </cell>
          <cell r="B52">
            <v>18</v>
          </cell>
          <cell r="C52">
            <v>0.15</v>
          </cell>
          <cell r="D52">
            <v>2</v>
          </cell>
          <cell r="E52">
            <v>10</v>
          </cell>
          <cell r="F52">
            <v>12</v>
          </cell>
          <cell r="G52">
            <v>2.3923000000000001</v>
          </cell>
          <cell r="H52">
            <v>6.8</v>
          </cell>
          <cell r="I52">
            <v>54</v>
          </cell>
          <cell r="J52">
            <v>1000</v>
          </cell>
          <cell r="K52">
            <v>1.3</v>
          </cell>
          <cell r="L52">
            <v>2</v>
          </cell>
          <cell r="M52">
            <v>48</v>
          </cell>
          <cell r="N52">
            <v>51.3</v>
          </cell>
          <cell r="O52">
            <v>57</v>
          </cell>
          <cell r="U52" t="str">
            <v>Lect.Bact.8/11/01</v>
          </cell>
        </row>
        <row r="53">
          <cell r="A53">
            <v>37230</v>
          </cell>
          <cell r="M53">
            <v>9.4</v>
          </cell>
          <cell r="N53">
            <v>16.100000000000001</v>
          </cell>
          <cell r="U53" t="str">
            <v>Realizó BAKER</v>
          </cell>
        </row>
        <row r="54">
          <cell r="A54">
            <v>37236</v>
          </cell>
          <cell r="M54">
            <v>12.4</v>
          </cell>
          <cell r="N54">
            <v>18.5</v>
          </cell>
          <cell r="U54" t="str">
            <v>Realizó BAKER</v>
          </cell>
        </row>
        <row r="55">
          <cell r="A55">
            <v>37260</v>
          </cell>
          <cell r="O55">
            <v>32</v>
          </cell>
        </row>
        <row r="56">
          <cell r="A56">
            <v>37265</v>
          </cell>
          <cell r="B56">
            <v>23</v>
          </cell>
          <cell r="C56">
            <v>0.1</v>
          </cell>
          <cell r="D56">
            <v>0</v>
          </cell>
          <cell r="E56">
            <v>10</v>
          </cell>
          <cell r="F56">
            <v>250</v>
          </cell>
          <cell r="G56">
            <v>2.32558</v>
          </cell>
          <cell r="H56">
            <v>7.1</v>
          </cell>
          <cell r="I56">
            <v>42</v>
          </cell>
          <cell r="J56">
            <v>1000</v>
          </cell>
          <cell r="K56">
            <v>1.7</v>
          </cell>
          <cell r="L56">
            <v>1.1000000000000001</v>
          </cell>
          <cell r="M56">
            <v>25.2</v>
          </cell>
          <cell r="N56">
            <v>28</v>
          </cell>
          <cell r="O56">
            <v>40</v>
          </cell>
          <cell r="U56" t="str">
            <v>Lect.Bact. 8/11/01-O2med.23/01</v>
          </cell>
        </row>
        <row r="57">
          <cell r="A57">
            <v>37281</v>
          </cell>
          <cell r="O57">
            <v>7</v>
          </cell>
        </row>
        <row r="58">
          <cell r="A58">
            <v>37284</v>
          </cell>
          <cell r="O58">
            <v>15</v>
          </cell>
        </row>
        <row r="59">
          <cell r="A59">
            <v>37286</v>
          </cell>
          <cell r="O59">
            <v>21</v>
          </cell>
        </row>
        <row r="60">
          <cell r="A60">
            <v>37289</v>
          </cell>
          <cell r="O60">
            <v>30</v>
          </cell>
        </row>
        <row r="61">
          <cell r="A61">
            <v>37291</v>
          </cell>
          <cell r="O61">
            <v>11</v>
          </cell>
        </row>
        <row r="62">
          <cell r="A62">
            <v>37293</v>
          </cell>
          <cell r="O62">
            <v>14</v>
          </cell>
        </row>
        <row r="63">
          <cell r="A63">
            <v>37288</v>
          </cell>
          <cell r="B63">
            <v>15</v>
          </cell>
          <cell r="C63">
            <v>0.1</v>
          </cell>
          <cell r="D63">
            <v>0.9</v>
          </cell>
          <cell r="E63">
            <v>8</v>
          </cell>
          <cell r="F63">
            <v>6</v>
          </cell>
          <cell r="G63">
            <v>2.3450000000000002</v>
          </cell>
          <cell r="H63">
            <v>7.3</v>
          </cell>
          <cell r="I63">
            <v>52</v>
          </cell>
          <cell r="J63">
            <v>1000</v>
          </cell>
          <cell r="K63">
            <v>1.8</v>
          </cell>
          <cell r="L63">
            <v>1</v>
          </cell>
          <cell r="M63">
            <v>22.1</v>
          </cell>
          <cell r="N63">
            <v>24.9</v>
          </cell>
          <cell r="O63">
            <v>41</v>
          </cell>
        </row>
        <row r="64">
          <cell r="A64">
            <v>37295</v>
          </cell>
          <cell r="O64">
            <v>32</v>
          </cell>
        </row>
        <row r="65">
          <cell r="A65">
            <v>37298</v>
          </cell>
          <cell r="O65">
            <v>17</v>
          </cell>
        </row>
        <row r="66">
          <cell r="A66">
            <v>37300</v>
          </cell>
          <cell r="O66">
            <v>29</v>
          </cell>
        </row>
        <row r="67">
          <cell r="A67">
            <v>37302</v>
          </cell>
          <cell r="O67">
            <v>33</v>
          </cell>
        </row>
        <row r="68">
          <cell r="A68">
            <v>37305</v>
          </cell>
          <cell r="O68">
            <v>23</v>
          </cell>
        </row>
        <row r="69">
          <cell r="A69">
            <v>37309</v>
          </cell>
          <cell r="O69">
            <v>14</v>
          </cell>
        </row>
        <row r="70">
          <cell r="A70">
            <v>37314</v>
          </cell>
          <cell r="O70">
            <v>16</v>
          </cell>
        </row>
        <row r="71">
          <cell r="A71">
            <v>37319</v>
          </cell>
          <cell r="O71">
            <v>22</v>
          </cell>
        </row>
        <row r="72">
          <cell r="A72">
            <v>37321</v>
          </cell>
          <cell r="O72">
            <v>91</v>
          </cell>
        </row>
        <row r="73">
          <cell r="A73">
            <v>37322</v>
          </cell>
          <cell r="O73">
            <v>16</v>
          </cell>
        </row>
        <row r="74">
          <cell r="A74">
            <v>37323</v>
          </cell>
          <cell r="O74">
            <v>30</v>
          </cell>
        </row>
        <row r="75">
          <cell r="A75">
            <v>37326</v>
          </cell>
          <cell r="O75">
            <v>40</v>
          </cell>
        </row>
        <row r="76">
          <cell r="A76">
            <v>37327</v>
          </cell>
          <cell r="O76">
            <v>33</v>
          </cell>
        </row>
        <row r="77">
          <cell r="A77">
            <v>37328</v>
          </cell>
          <cell r="B77">
            <v>8</v>
          </cell>
          <cell r="C77">
            <v>0.1</v>
          </cell>
          <cell r="D77">
            <v>3.5</v>
          </cell>
          <cell r="E77">
            <v>10</v>
          </cell>
          <cell r="F77">
            <v>16</v>
          </cell>
          <cell r="G77">
            <v>2.331</v>
          </cell>
          <cell r="H77">
            <v>7.3</v>
          </cell>
          <cell r="I77">
            <v>55</v>
          </cell>
          <cell r="J77">
            <v>1000</v>
          </cell>
          <cell r="K77">
            <v>3</v>
          </cell>
          <cell r="L77">
            <v>1.7</v>
          </cell>
          <cell r="M77">
            <v>36.799999999999997</v>
          </cell>
          <cell r="N77">
            <v>51.5</v>
          </cell>
          <cell r="O77">
            <v>37</v>
          </cell>
          <cell r="P77">
            <v>52</v>
          </cell>
          <cell r="Q77">
            <v>2.88</v>
          </cell>
        </row>
        <row r="78">
          <cell r="A78">
            <v>37333</v>
          </cell>
          <cell r="O78">
            <v>51</v>
          </cell>
        </row>
        <row r="79">
          <cell r="A79">
            <v>37335</v>
          </cell>
          <cell r="O79">
            <v>40</v>
          </cell>
        </row>
        <row r="80">
          <cell r="A80">
            <v>37337</v>
          </cell>
          <cell r="O80">
            <v>44</v>
          </cell>
        </row>
        <row r="81">
          <cell r="A81">
            <v>37340</v>
          </cell>
          <cell r="O81">
            <v>29</v>
          </cell>
        </row>
        <row r="82">
          <cell r="A82">
            <v>37342</v>
          </cell>
          <cell r="O82">
            <v>119</v>
          </cell>
        </row>
        <row r="83">
          <cell r="A83">
            <v>37349</v>
          </cell>
          <cell r="O83">
            <v>52</v>
          </cell>
        </row>
        <row r="84">
          <cell r="A84">
            <v>37351</v>
          </cell>
          <cell r="O84">
            <v>103</v>
          </cell>
        </row>
        <row r="85">
          <cell r="A85">
            <v>37354</v>
          </cell>
          <cell r="O85">
            <v>22</v>
          </cell>
        </row>
        <row r="86">
          <cell r="A86">
            <v>37356</v>
          </cell>
          <cell r="O86">
            <v>132</v>
          </cell>
        </row>
        <row r="87">
          <cell r="A87">
            <v>37358</v>
          </cell>
          <cell r="O87">
            <v>16</v>
          </cell>
        </row>
        <row r="88">
          <cell r="A88">
            <v>37361</v>
          </cell>
          <cell r="B88">
            <v>14</v>
          </cell>
          <cell r="C88">
            <v>0.1</v>
          </cell>
          <cell r="D88">
            <v>2.5</v>
          </cell>
          <cell r="E88">
            <v>11</v>
          </cell>
          <cell r="F88">
            <v>8</v>
          </cell>
          <cell r="G88">
            <v>2.5</v>
          </cell>
          <cell r="H88">
            <v>7.2</v>
          </cell>
          <cell r="I88">
            <v>54</v>
          </cell>
          <cell r="J88">
            <v>100</v>
          </cell>
          <cell r="K88">
            <v>3.8</v>
          </cell>
          <cell r="L88">
            <v>0.6</v>
          </cell>
          <cell r="M88">
            <v>78.400000000000006</v>
          </cell>
          <cell r="N88">
            <v>82.8</v>
          </cell>
          <cell r="O88">
            <v>40</v>
          </cell>
          <cell r="P88">
            <v>64</v>
          </cell>
          <cell r="Q88">
            <v>0</v>
          </cell>
        </row>
        <row r="89">
          <cell r="A89">
            <v>37363</v>
          </cell>
          <cell r="O89">
            <v>91</v>
          </cell>
        </row>
        <row r="90">
          <cell r="A90">
            <v>37365</v>
          </cell>
          <cell r="O90">
            <v>38</v>
          </cell>
        </row>
        <row r="91">
          <cell r="A91">
            <v>37368</v>
          </cell>
          <cell r="O91">
            <v>40</v>
          </cell>
        </row>
        <row r="92">
          <cell r="A92">
            <v>37370</v>
          </cell>
          <cell r="O92">
            <v>35</v>
          </cell>
        </row>
        <row r="93">
          <cell r="A93">
            <v>37372</v>
          </cell>
          <cell r="O93">
            <v>23</v>
          </cell>
        </row>
        <row r="94">
          <cell r="A94">
            <v>37376</v>
          </cell>
          <cell r="O94">
            <v>11</v>
          </cell>
        </row>
        <row r="95">
          <cell r="A95">
            <v>37379</v>
          </cell>
          <cell r="O95">
            <v>13</v>
          </cell>
        </row>
        <row r="96">
          <cell r="A96">
            <v>37382</v>
          </cell>
          <cell r="O96">
            <v>20</v>
          </cell>
        </row>
        <row r="97">
          <cell r="A97">
            <v>37384</v>
          </cell>
          <cell r="O97">
            <v>7</v>
          </cell>
        </row>
        <row r="98">
          <cell r="A98">
            <v>37386</v>
          </cell>
          <cell r="O98">
            <v>6</v>
          </cell>
        </row>
        <row r="99">
          <cell r="A99">
            <v>37389</v>
          </cell>
          <cell r="O99">
            <v>14</v>
          </cell>
        </row>
        <row r="100">
          <cell r="A100">
            <v>37391</v>
          </cell>
          <cell r="O100">
            <v>37</v>
          </cell>
        </row>
        <row r="101">
          <cell r="A101">
            <v>37393</v>
          </cell>
          <cell r="O101">
            <v>8</v>
          </cell>
        </row>
        <row r="102">
          <cell r="A102">
            <v>37395</v>
          </cell>
          <cell r="O102">
            <v>15</v>
          </cell>
        </row>
        <row r="103">
          <cell r="A103">
            <v>37398</v>
          </cell>
          <cell r="O103">
            <v>10</v>
          </cell>
        </row>
        <row r="104">
          <cell r="A104">
            <v>37400</v>
          </cell>
          <cell r="O104">
            <v>17</v>
          </cell>
        </row>
        <row r="105">
          <cell r="A105">
            <v>37403</v>
          </cell>
          <cell r="O105">
            <v>14</v>
          </cell>
        </row>
        <row r="106">
          <cell r="A106">
            <v>37405</v>
          </cell>
          <cell r="O106">
            <v>10</v>
          </cell>
        </row>
        <row r="107">
          <cell r="A107">
            <v>37407</v>
          </cell>
          <cell r="O107">
            <v>32</v>
          </cell>
        </row>
        <row r="108">
          <cell r="A108">
            <v>37410</v>
          </cell>
          <cell r="B108">
            <v>16</v>
          </cell>
          <cell r="C108">
            <v>0.2</v>
          </cell>
          <cell r="D108">
            <v>3.5</v>
          </cell>
          <cell r="E108">
            <v>10</v>
          </cell>
          <cell r="F108">
            <v>600</v>
          </cell>
          <cell r="G108">
            <v>2.6953999999999998</v>
          </cell>
          <cell r="H108">
            <v>7</v>
          </cell>
          <cell r="I108">
            <v>44</v>
          </cell>
          <cell r="J108">
            <v>100</v>
          </cell>
          <cell r="K108">
            <v>1.8</v>
          </cell>
          <cell r="L108">
            <v>1</v>
          </cell>
          <cell r="M108">
            <v>43.1</v>
          </cell>
          <cell r="N108">
            <v>45.9</v>
          </cell>
          <cell r="O108">
            <v>36</v>
          </cell>
          <cell r="P108">
            <v>64</v>
          </cell>
          <cell r="Q108">
            <v>0</v>
          </cell>
        </row>
        <row r="109">
          <cell r="A109">
            <v>37418</v>
          </cell>
          <cell r="O109">
            <v>163</v>
          </cell>
        </row>
        <row r="110">
          <cell r="A110">
            <v>37424</v>
          </cell>
          <cell r="O110">
            <v>17.100000000000001</v>
          </cell>
        </row>
        <row r="111">
          <cell r="A111">
            <v>37426</v>
          </cell>
          <cell r="O111">
            <v>21</v>
          </cell>
        </row>
        <row r="112">
          <cell r="A112">
            <v>37428</v>
          </cell>
          <cell r="O112">
            <v>13.1</v>
          </cell>
        </row>
        <row r="113">
          <cell r="A113">
            <v>37431</v>
          </cell>
          <cell r="O113">
            <v>17.5</v>
          </cell>
        </row>
        <row r="114">
          <cell r="A114">
            <v>37434</v>
          </cell>
          <cell r="O114">
            <v>8.4</v>
          </cell>
        </row>
        <row r="115">
          <cell r="A115">
            <v>37435</v>
          </cell>
          <cell r="O115">
            <v>18.3</v>
          </cell>
        </row>
        <row r="116">
          <cell r="A116">
            <v>37438</v>
          </cell>
          <cell r="O116">
            <v>9.6999999999999993</v>
          </cell>
        </row>
        <row r="117">
          <cell r="A117">
            <v>37440</v>
          </cell>
          <cell r="B117">
            <v>17</v>
          </cell>
          <cell r="C117">
            <v>0.6</v>
          </cell>
          <cell r="D117">
            <v>0.6</v>
          </cell>
          <cell r="E117">
            <v>10</v>
          </cell>
          <cell r="F117">
            <v>600</v>
          </cell>
          <cell r="G117">
            <v>2.6040999999999999</v>
          </cell>
          <cell r="H117">
            <v>7.1</v>
          </cell>
          <cell r="I117">
            <v>54</v>
          </cell>
          <cell r="J117">
            <v>100</v>
          </cell>
          <cell r="K117">
            <v>2.6</v>
          </cell>
          <cell r="L117">
            <v>1.2</v>
          </cell>
          <cell r="M117">
            <v>50.4</v>
          </cell>
          <cell r="N117">
            <v>54.2</v>
          </cell>
          <cell r="O117">
            <v>7.4</v>
          </cell>
          <cell r="P117">
            <v>64</v>
          </cell>
          <cell r="Q117">
            <v>0</v>
          </cell>
        </row>
        <row r="118">
          <cell r="A118">
            <v>37445</v>
          </cell>
          <cell r="O118">
            <v>31</v>
          </cell>
        </row>
        <row r="119">
          <cell r="A119">
            <v>37447</v>
          </cell>
          <cell r="O119">
            <v>10.5</v>
          </cell>
        </row>
        <row r="120">
          <cell r="A120">
            <v>37449</v>
          </cell>
          <cell r="O120">
            <v>17.399999999999999</v>
          </cell>
        </row>
        <row r="121">
          <cell r="A121">
            <v>37452</v>
          </cell>
          <cell r="O121">
            <v>10.8</v>
          </cell>
        </row>
        <row r="122">
          <cell r="A122">
            <v>37454</v>
          </cell>
          <cell r="O122">
            <v>9.8000000000000007</v>
          </cell>
        </row>
        <row r="123">
          <cell r="A123">
            <v>37456</v>
          </cell>
          <cell r="O123">
            <v>25.5</v>
          </cell>
        </row>
        <row r="124">
          <cell r="A124">
            <v>37459</v>
          </cell>
          <cell r="O124">
            <v>17.399999999999999</v>
          </cell>
        </row>
        <row r="125">
          <cell r="A125">
            <v>37461</v>
          </cell>
          <cell r="O125">
            <v>11.4</v>
          </cell>
        </row>
        <row r="126">
          <cell r="A126">
            <v>37463</v>
          </cell>
          <cell r="O126">
            <v>21.4</v>
          </cell>
        </row>
        <row r="127">
          <cell r="A127">
            <v>37470</v>
          </cell>
          <cell r="B127">
            <v>15</v>
          </cell>
          <cell r="C127">
            <v>0.2</v>
          </cell>
          <cell r="D127">
            <v>0.6</v>
          </cell>
          <cell r="E127">
            <v>11</v>
          </cell>
          <cell r="F127">
            <v>50</v>
          </cell>
          <cell r="G127">
            <v>2.5906699999999998</v>
          </cell>
          <cell r="H127">
            <v>7</v>
          </cell>
          <cell r="I127">
            <v>57</v>
          </cell>
          <cell r="J127">
            <v>1000</v>
          </cell>
          <cell r="K127">
            <v>2.2999999999999998</v>
          </cell>
          <cell r="L127">
            <v>1.7</v>
          </cell>
          <cell r="M127">
            <v>38.200000000000003</v>
          </cell>
          <cell r="N127">
            <v>42.2</v>
          </cell>
          <cell r="O127">
            <v>44</v>
          </cell>
          <cell r="P127">
            <v>48</v>
          </cell>
          <cell r="Q127">
            <v>6</v>
          </cell>
        </row>
        <row r="128">
          <cell r="A128">
            <v>37473</v>
          </cell>
          <cell r="O128">
            <v>15.6</v>
          </cell>
        </row>
        <row r="129">
          <cell r="A129">
            <v>37475</v>
          </cell>
          <cell r="O129">
            <v>19.100000000000001</v>
          </cell>
        </row>
        <row r="130">
          <cell r="A130">
            <v>37477</v>
          </cell>
          <cell r="O130">
            <v>25.1</v>
          </cell>
        </row>
        <row r="131">
          <cell r="A131">
            <v>37480</v>
          </cell>
          <cell r="O131">
            <v>14.9</v>
          </cell>
        </row>
        <row r="132">
          <cell r="A132">
            <v>37482</v>
          </cell>
          <cell r="O132">
            <v>27.5</v>
          </cell>
        </row>
        <row r="133">
          <cell r="A133">
            <v>37484</v>
          </cell>
          <cell r="O133">
            <v>19.8</v>
          </cell>
        </row>
        <row r="134">
          <cell r="A134">
            <v>37489</v>
          </cell>
          <cell r="O134">
            <v>25.2</v>
          </cell>
        </row>
        <row r="135">
          <cell r="A135">
            <v>37491</v>
          </cell>
          <cell r="O135">
            <v>9.9</v>
          </cell>
        </row>
        <row r="136">
          <cell r="A136">
            <v>37494</v>
          </cell>
          <cell r="O136">
            <v>18.899999999999999</v>
          </cell>
        </row>
        <row r="137">
          <cell r="A137">
            <v>37496</v>
          </cell>
          <cell r="O137">
            <v>10.9</v>
          </cell>
        </row>
        <row r="138">
          <cell r="A138">
            <v>37498</v>
          </cell>
          <cell r="O138">
            <v>21.7</v>
          </cell>
        </row>
        <row r="139">
          <cell r="A139">
            <v>37501</v>
          </cell>
          <cell r="O139">
            <v>12.8</v>
          </cell>
        </row>
        <row r="140">
          <cell r="A140">
            <v>37503</v>
          </cell>
          <cell r="O140">
            <v>12.1</v>
          </cell>
        </row>
        <row r="141">
          <cell r="A141">
            <v>37505</v>
          </cell>
          <cell r="B141">
            <v>10</v>
          </cell>
          <cell r="C141">
            <v>0.37</v>
          </cell>
          <cell r="D141">
            <v>0.6</v>
          </cell>
          <cell r="E141">
            <v>11</v>
          </cell>
          <cell r="F141">
            <v>80</v>
          </cell>
          <cell r="G141">
            <v>2.8248000000000002</v>
          </cell>
          <cell r="H141">
            <v>7</v>
          </cell>
          <cell r="I141">
            <v>56</v>
          </cell>
          <cell r="J141">
            <v>10</v>
          </cell>
          <cell r="K141">
            <v>3.3</v>
          </cell>
          <cell r="L141">
            <v>0.6</v>
          </cell>
          <cell r="M141">
            <v>50.3</v>
          </cell>
          <cell r="N141">
            <v>54.1</v>
          </cell>
          <cell r="O141">
            <v>19.100000000000001</v>
          </cell>
          <cell r="P141">
            <v>72</v>
          </cell>
          <cell r="Q141">
            <v>0</v>
          </cell>
        </row>
        <row r="142">
          <cell r="A142">
            <v>37508</v>
          </cell>
          <cell r="O142">
            <v>7.3</v>
          </cell>
        </row>
        <row r="143">
          <cell r="A143">
            <v>37510</v>
          </cell>
          <cell r="O143">
            <v>37</v>
          </cell>
        </row>
        <row r="144">
          <cell r="A144">
            <v>37512</v>
          </cell>
          <cell r="O144">
            <v>10</v>
          </cell>
        </row>
        <row r="145">
          <cell r="A145">
            <v>37515</v>
          </cell>
          <cell r="O145">
            <v>30</v>
          </cell>
        </row>
        <row r="146">
          <cell r="A146">
            <v>37517</v>
          </cell>
          <cell r="O146">
            <v>87.6</v>
          </cell>
        </row>
        <row r="147">
          <cell r="A147">
            <v>37519</v>
          </cell>
          <cell r="O147">
            <v>31.8</v>
          </cell>
        </row>
        <row r="148">
          <cell r="A148">
            <v>37524</v>
          </cell>
          <cell r="O148">
            <v>10.1</v>
          </cell>
        </row>
        <row r="149">
          <cell r="A149">
            <v>37526</v>
          </cell>
          <cell r="O149">
            <v>14.8</v>
          </cell>
        </row>
        <row r="150">
          <cell r="A150">
            <v>37529</v>
          </cell>
          <cell r="O150">
            <v>28.8</v>
          </cell>
        </row>
        <row r="151">
          <cell r="A151">
            <v>37531</v>
          </cell>
          <cell r="O151">
            <v>15.9</v>
          </cell>
        </row>
        <row r="152">
          <cell r="A152">
            <v>37533</v>
          </cell>
          <cell r="O152">
            <v>31.8</v>
          </cell>
        </row>
        <row r="153">
          <cell r="A153">
            <v>37536</v>
          </cell>
          <cell r="O153">
            <v>38.9</v>
          </cell>
        </row>
        <row r="154">
          <cell r="A154">
            <v>37538</v>
          </cell>
          <cell r="B154">
            <v>9</v>
          </cell>
          <cell r="C154">
            <v>0.5</v>
          </cell>
          <cell r="D154">
            <v>1.5</v>
          </cell>
          <cell r="E154">
            <v>13</v>
          </cell>
          <cell r="F154">
            <v>40</v>
          </cell>
          <cell r="G154">
            <v>2.77</v>
          </cell>
          <cell r="H154">
            <v>7.1</v>
          </cell>
          <cell r="I154">
            <v>53</v>
          </cell>
          <cell r="J154">
            <v>1000</v>
          </cell>
          <cell r="K154">
            <v>1.7</v>
          </cell>
          <cell r="L154">
            <v>1.5</v>
          </cell>
          <cell r="M154">
            <v>11.2</v>
          </cell>
          <cell r="N154">
            <v>14.3</v>
          </cell>
          <cell r="O154">
            <v>6.5</v>
          </cell>
          <cell r="P154">
            <v>96</v>
          </cell>
          <cell r="Q154">
            <v>0</v>
          </cell>
        </row>
        <row r="155">
          <cell r="A155">
            <v>37540</v>
          </cell>
          <cell r="O155">
            <v>9.5</v>
          </cell>
        </row>
        <row r="156">
          <cell r="A156">
            <v>37544</v>
          </cell>
          <cell r="O156">
            <v>30.9</v>
          </cell>
        </row>
        <row r="157">
          <cell r="A157">
            <v>37545</v>
          </cell>
          <cell r="O157">
            <v>12.04</v>
          </cell>
        </row>
        <row r="158">
          <cell r="A158">
            <v>37547</v>
          </cell>
          <cell r="O158">
            <v>30.06</v>
          </cell>
        </row>
        <row r="159">
          <cell r="A159">
            <v>37550</v>
          </cell>
          <cell r="O159">
            <v>5.2</v>
          </cell>
        </row>
        <row r="160">
          <cell r="A160">
            <v>37552</v>
          </cell>
          <cell r="O160">
            <v>32.799999999999997</v>
          </cell>
        </row>
        <row r="161">
          <cell r="A161">
            <v>37554</v>
          </cell>
          <cell r="O161">
            <v>16</v>
          </cell>
        </row>
        <row r="162">
          <cell r="A162">
            <v>37557</v>
          </cell>
          <cell r="O162">
            <v>37</v>
          </cell>
        </row>
        <row r="163">
          <cell r="A163">
            <v>37559</v>
          </cell>
          <cell r="O163">
            <v>18</v>
          </cell>
        </row>
        <row r="164">
          <cell r="A164">
            <v>37561</v>
          </cell>
          <cell r="O164">
            <v>21.3</v>
          </cell>
        </row>
        <row r="165">
          <cell r="A165">
            <v>37564</v>
          </cell>
          <cell r="O165">
            <v>31</v>
          </cell>
        </row>
        <row r="166">
          <cell r="A166">
            <v>37566</v>
          </cell>
          <cell r="O166">
            <v>19</v>
          </cell>
        </row>
        <row r="167">
          <cell r="A167">
            <v>37567</v>
          </cell>
          <cell r="F167">
            <v>80</v>
          </cell>
        </row>
        <row r="168">
          <cell r="A168">
            <v>37568</v>
          </cell>
          <cell r="O168">
            <v>10.6</v>
          </cell>
        </row>
        <row r="169">
          <cell r="A169">
            <v>37571</v>
          </cell>
          <cell r="O169">
            <v>9.9</v>
          </cell>
        </row>
        <row r="170">
          <cell r="A170">
            <v>37572</v>
          </cell>
          <cell r="B170">
            <v>6</v>
          </cell>
          <cell r="C170">
            <v>0.15</v>
          </cell>
          <cell r="D170">
            <v>2</v>
          </cell>
          <cell r="E170">
            <v>12</v>
          </cell>
          <cell r="F170">
            <v>12</v>
          </cell>
          <cell r="G170">
            <v>2.8328000000000002</v>
          </cell>
          <cell r="H170">
            <v>6.6</v>
          </cell>
          <cell r="I170">
            <v>58</v>
          </cell>
          <cell r="J170">
            <v>100</v>
          </cell>
          <cell r="K170">
            <v>2.2000000000000002</v>
          </cell>
          <cell r="L170">
            <v>1.8</v>
          </cell>
          <cell r="M170">
            <v>20.2</v>
          </cell>
          <cell r="N170">
            <v>24.2</v>
          </cell>
          <cell r="O170">
            <v>15</v>
          </cell>
          <cell r="P170">
            <v>80</v>
          </cell>
          <cell r="Q170">
            <v>0</v>
          </cell>
        </row>
        <row r="171">
          <cell r="A171">
            <v>37573</v>
          </cell>
          <cell r="O171">
            <v>26.6</v>
          </cell>
        </row>
        <row r="172">
          <cell r="A172">
            <v>37575</v>
          </cell>
          <cell r="O172">
            <v>52.3</v>
          </cell>
        </row>
        <row r="173">
          <cell r="A173">
            <v>37578</v>
          </cell>
          <cell r="O173">
            <v>8.8000000000000007</v>
          </cell>
        </row>
        <row r="174">
          <cell r="A174">
            <v>37580</v>
          </cell>
          <cell r="O174">
            <v>29.4</v>
          </cell>
        </row>
        <row r="175">
          <cell r="A175">
            <v>37582</v>
          </cell>
          <cell r="O175">
            <v>23.7</v>
          </cell>
          <cell r="U175">
            <v>474.6</v>
          </cell>
        </row>
        <row r="176">
          <cell r="A176">
            <v>37585</v>
          </cell>
          <cell r="O176">
            <v>29</v>
          </cell>
          <cell r="U176" t="str">
            <v xml:space="preserve">Comienza a dosificar Nalco </v>
          </cell>
        </row>
        <row r="177">
          <cell r="A177">
            <v>37589</v>
          </cell>
          <cell r="O177">
            <v>55.4</v>
          </cell>
        </row>
        <row r="178">
          <cell r="A178">
            <v>37595</v>
          </cell>
          <cell r="B178">
            <v>12</v>
          </cell>
          <cell r="C178">
            <v>0.8</v>
          </cell>
          <cell r="D178">
            <v>0.4</v>
          </cell>
          <cell r="E178">
            <v>10</v>
          </cell>
          <cell r="F178">
            <v>100</v>
          </cell>
          <cell r="G178">
            <v>2.7397</v>
          </cell>
          <cell r="H178">
            <v>6.9</v>
          </cell>
          <cell r="I178">
            <v>53</v>
          </cell>
          <cell r="J178">
            <v>1000</v>
          </cell>
          <cell r="O178">
            <v>27</v>
          </cell>
          <cell r="P178">
            <v>64</v>
          </cell>
          <cell r="Q178">
            <v>0</v>
          </cell>
        </row>
        <row r="179">
          <cell r="A179">
            <v>37592</v>
          </cell>
          <cell r="O179">
            <v>17.899999999999999</v>
          </cell>
        </row>
        <row r="180">
          <cell r="A180">
            <v>37596</v>
          </cell>
          <cell r="O180">
            <v>54</v>
          </cell>
        </row>
        <row r="181">
          <cell r="A181">
            <v>37599</v>
          </cell>
          <cell r="O181">
            <v>26.9</v>
          </cell>
        </row>
        <row r="182">
          <cell r="A182">
            <v>37601</v>
          </cell>
          <cell r="O182">
            <v>23.3</v>
          </cell>
        </row>
        <row r="183">
          <cell r="A183">
            <v>37606</v>
          </cell>
          <cell r="O183">
            <v>46.02</v>
          </cell>
        </row>
        <row r="184">
          <cell r="A184">
            <v>37608</v>
          </cell>
          <cell r="O184">
            <v>22.7</v>
          </cell>
        </row>
        <row r="185">
          <cell r="A185">
            <v>37610</v>
          </cell>
          <cell r="O185">
            <v>21.8</v>
          </cell>
        </row>
        <row r="186">
          <cell r="A186">
            <v>37613</v>
          </cell>
          <cell r="O186">
            <v>52.1</v>
          </cell>
          <cell r="U186" t="str">
            <v>Comienza a dosificar WA-720 y FLW-162</v>
          </cell>
        </row>
        <row r="187">
          <cell r="A187">
            <v>37635</v>
          </cell>
          <cell r="B187">
            <v>13</v>
          </cell>
          <cell r="C187">
            <v>0.27</v>
          </cell>
          <cell r="D187">
            <v>3</v>
          </cell>
          <cell r="E187">
            <v>9</v>
          </cell>
          <cell r="F187">
            <v>20</v>
          </cell>
          <cell r="G187">
            <v>2.5839699999999999</v>
          </cell>
          <cell r="H187">
            <v>7.82</v>
          </cell>
          <cell r="I187">
            <v>60</v>
          </cell>
          <cell r="J187">
            <v>100</v>
          </cell>
          <cell r="K187">
            <v>1.1000000000000001</v>
          </cell>
          <cell r="L187">
            <v>1.4</v>
          </cell>
          <cell r="M187">
            <v>14.9</v>
          </cell>
          <cell r="N187">
            <v>17.399999999999999</v>
          </cell>
          <cell r="O187">
            <v>14</v>
          </cell>
          <cell r="P187">
            <v>72</v>
          </cell>
          <cell r="Q187">
            <v>11</v>
          </cell>
        </row>
        <row r="188">
          <cell r="A188">
            <v>37655</v>
          </cell>
          <cell r="O188">
            <v>21</v>
          </cell>
        </row>
        <row r="189">
          <cell r="A189">
            <v>37657</v>
          </cell>
          <cell r="O189">
            <v>5</v>
          </cell>
        </row>
        <row r="190">
          <cell r="A190">
            <v>37658</v>
          </cell>
          <cell r="B190">
            <v>12</v>
          </cell>
          <cell r="C190">
            <v>0.13</v>
          </cell>
          <cell r="D190">
            <v>2</v>
          </cell>
          <cell r="E190">
            <v>10</v>
          </cell>
          <cell r="F190">
            <v>2</v>
          </cell>
          <cell r="G190">
            <v>2.5838999999999999</v>
          </cell>
          <cell r="H190">
            <v>7.55</v>
          </cell>
          <cell r="I190">
            <v>58</v>
          </cell>
          <cell r="J190">
            <v>100</v>
          </cell>
          <cell r="K190">
            <v>0.2</v>
          </cell>
          <cell r="L190">
            <v>2.1</v>
          </cell>
          <cell r="M190">
            <v>11.4</v>
          </cell>
          <cell r="N190">
            <v>13.6</v>
          </cell>
          <cell r="O190">
            <v>11</v>
          </cell>
          <cell r="P190">
            <v>64</v>
          </cell>
          <cell r="Q190">
            <v>0</v>
          </cell>
        </row>
        <row r="191">
          <cell r="A191">
            <v>37659</v>
          </cell>
          <cell r="O191">
            <v>13</v>
          </cell>
        </row>
        <row r="192">
          <cell r="A192">
            <v>37666</v>
          </cell>
          <cell r="O192">
            <v>23</v>
          </cell>
        </row>
        <row r="193">
          <cell r="A193">
            <v>37669</v>
          </cell>
          <cell r="O193">
            <v>10</v>
          </cell>
        </row>
        <row r="194">
          <cell r="A194">
            <v>37671</v>
          </cell>
          <cell r="O194">
            <v>61</v>
          </cell>
        </row>
        <row r="195">
          <cell r="A195">
            <v>37676</v>
          </cell>
          <cell r="O195">
            <v>47</v>
          </cell>
        </row>
        <row r="196">
          <cell r="A196">
            <v>37678</v>
          </cell>
          <cell r="O196">
            <v>22.48</v>
          </cell>
        </row>
        <row r="197">
          <cell r="A197">
            <v>37683</v>
          </cell>
          <cell r="O197">
            <v>33.4</v>
          </cell>
        </row>
        <row r="198">
          <cell r="A198">
            <v>37685</v>
          </cell>
          <cell r="O198">
            <v>11.8</v>
          </cell>
        </row>
        <row r="199">
          <cell r="A199">
            <v>37690</v>
          </cell>
          <cell r="O199">
            <v>24.26</v>
          </cell>
        </row>
        <row r="200">
          <cell r="A200">
            <v>37692</v>
          </cell>
          <cell r="O200">
            <v>14.6</v>
          </cell>
        </row>
        <row r="201">
          <cell r="A201">
            <v>37694</v>
          </cell>
          <cell r="O201">
            <v>13.6</v>
          </cell>
        </row>
        <row r="202">
          <cell r="A202">
            <v>37697</v>
          </cell>
          <cell r="O202">
            <v>8.9</v>
          </cell>
        </row>
        <row r="203">
          <cell r="A203">
            <v>37699</v>
          </cell>
          <cell r="O203">
            <v>23.42</v>
          </cell>
        </row>
        <row r="204">
          <cell r="A204">
            <v>37701</v>
          </cell>
          <cell r="O204">
            <v>6.25</v>
          </cell>
        </row>
        <row r="205">
          <cell r="A205">
            <v>37704</v>
          </cell>
          <cell r="O205">
            <v>19.739999999999998</v>
          </cell>
        </row>
        <row r="206">
          <cell r="A206">
            <v>37705</v>
          </cell>
          <cell r="B206">
            <v>6</v>
          </cell>
          <cell r="C206">
            <v>0.16</v>
          </cell>
          <cell r="D206">
            <v>2</v>
          </cell>
          <cell r="E206">
            <v>7</v>
          </cell>
          <cell r="F206">
            <v>10</v>
          </cell>
          <cell r="G206">
            <v>2.7027000000000001</v>
          </cell>
          <cell r="H206">
            <v>7.38</v>
          </cell>
          <cell r="I206">
            <v>60</v>
          </cell>
          <cell r="J206">
            <v>1000</v>
          </cell>
          <cell r="K206">
            <v>1.2</v>
          </cell>
          <cell r="L206">
            <v>0.7</v>
          </cell>
          <cell r="M206">
            <v>3.9</v>
          </cell>
          <cell r="N206">
            <v>5.8</v>
          </cell>
          <cell r="O206">
            <v>6</v>
          </cell>
          <cell r="P206">
            <v>72</v>
          </cell>
          <cell r="Q206">
            <v>0</v>
          </cell>
          <cell r="R206">
            <v>158</v>
          </cell>
          <cell r="S206">
            <v>0</v>
          </cell>
        </row>
        <row r="207">
          <cell r="A207">
            <v>37708</v>
          </cell>
          <cell r="O207">
            <v>4.5199999999999996</v>
          </cell>
        </row>
        <row r="208">
          <cell r="A208">
            <v>37720</v>
          </cell>
          <cell r="O208">
            <v>6</v>
          </cell>
        </row>
        <row r="209">
          <cell r="A209">
            <v>37725</v>
          </cell>
          <cell r="O209">
            <v>39.200000000000003</v>
          </cell>
          <cell r="U209" t="str">
            <v>No dosificó FLW-162 por rotura de retención de entrada de bba</v>
          </cell>
        </row>
        <row r="210">
          <cell r="A210">
            <v>37727</v>
          </cell>
          <cell r="O210">
            <v>17.8</v>
          </cell>
        </row>
        <row r="211">
          <cell r="A211">
            <v>37729</v>
          </cell>
          <cell r="O211">
            <v>8.9</v>
          </cell>
        </row>
        <row r="212">
          <cell r="A212">
            <v>37732</v>
          </cell>
          <cell r="O212">
            <v>6.1</v>
          </cell>
        </row>
        <row r="213">
          <cell r="A213">
            <v>37734</v>
          </cell>
          <cell r="O213">
            <v>6.3</v>
          </cell>
        </row>
        <row r="214">
          <cell r="A214">
            <v>37739</v>
          </cell>
          <cell r="O214">
            <v>49</v>
          </cell>
          <cell r="U214" t="str">
            <v>Problemas con el flexible de la bba dosif. Fué cambiado.</v>
          </cell>
        </row>
        <row r="215">
          <cell r="A215">
            <v>37746</v>
          </cell>
          <cell r="O215">
            <v>24</v>
          </cell>
        </row>
        <row r="216">
          <cell r="A216">
            <v>37750</v>
          </cell>
          <cell r="O216">
            <v>23.9</v>
          </cell>
        </row>
        <row r="217">
          <cell r="A217">
            <v>37753</v>
          </cell>
          <cell r="O217">
            <v>6</v>
          </cell>
        </row>
        <row r="218">
          <cell r="A218">
            <v>37760</v>
          </cell>
          <cell r="O218">
            <v>31</v>
          </cell>
          <cell r="U218" t="str">
            <v>No inyectó floculante</v>
          </cell>
        </row>
        <row r="219">
          <cell r="A219">
            <v>37763</v>
          </cell>
          <cell r="B219">
            <v>8</v>
          </cell>
          <cell r="C219">
            <v>0.17</v>
          </cell>
          <cell r="D219">
            <v>1.5</v>
          </cell>
          <cell r="E219">
            <v>8</v>
          </cell>
          <cell r="F219">
            <v>50</v>
          </cell>
          <cell r="G219">
            <v>3.1745999999999999</v>
          </cell>
          <cell r="H219">
            <v>7.48</v>
          </cell>
          <cell r="I219">
            <v>52</v>
          </cell>
          <cell r="J219">
            <v>10</v>
          </cell>
          <cell r="K219">
            <v>5.3</v>
          </cell>
          <cell r="L219">
            <v>3</v>
          </cell>
          <cell r="M219">
            <v>128</v>
          </cell>
          <cell r="N219">
            <v>136.30000000000001</v>
          </cell>
          <cell r="O219">
            <v>110</v>
          </cell>
          <cell r="P219">
            <v>40</v>
          </cell>
          <cell r="Q219">
            <v>17</v>
          </cell>
          <cell r="R219">
            <v>161</v>
          </cell>
          <cell r="U219" t="str">
            <v>Problemas eléctricos en la bba de floculante desde 18/2</v>
          </cell>
        </row>
        <row r="220">
          <cell r="A220">
            <v>37764</v>
          </cell>
          <cell r="O220">
            <v>59</v>
          </cell>
          <cell r="U220" t="str">
            <v>No inyectó floculante</v>
          </cell>
        </row>
        <row r="221">
          <cell r="A221">
            <v>37767</v>
          </cell>
          <cell r="O221">
            <v>54</v>
          </cell>
        </row>
        <row r="222">
          <cell r="A222">
            <v>37769</v>
          </cell>
          <cell r="O222">
            <v>21</v>
          </cell>
        </row>
        <row r="223">
          <cell r="A223">
            <v>37771</v>
          </cell>
          <cell r="O223">
            <v>12.6</v>
          </cell>
        </row>
        <row r="224">
          <cell r="A224">
            <v>37774</v>
          </cell>
          <cell r="O224">
            <v>24</v>
          </cell>
        </row>
        <row r="225">
          <cell r="A225">
            <v>37776</v>
          </cell>
          <cell r="O225">
            <v>10.5</v>
          </cell>
        </row>
        <row r="226">
          <cell r="A226">
            <v>37781</v>
          </cell>
          <cell r="O226">
            <v>64.3</v>
          </cell>
          <cell r="U226" t="str">
            <v>No inyectó floculante</v>
          </cell>
        </row>
        <row r="227">
          <cell r="A227">
            <v>37788</v>
          </cell>
          <cell r="O227">
            <v>6.5</v>
          </cell>
        </row>
        <row r="228">
          <cell r="A228">
            <v>37799</v>
          </cell>
          <cell r="O228">
            <v>14.3</v>
          </cell>
        </row>
        <row r="229">
          <cell r="A229">
            <v>37803</v>
          </cell>
          <cell r="O229">
            <v>53.9</v>
          </cell>
        </row>
        <row r="230">
          <cell r="A230">
            <v>37805</v>
          </cell>
          <cell r="B230">
            <v>19</v>
          </cell>
          <cell r="C230">
            <v>0.17</v>
          </cell>
          <cell r="D230">
            <v>1</v>
          </cell>
          <cell r="E230">
            <v>8</v>
          </cell>
          <cell r="F230">
            <v>2</v>
          </cell>
          <cell r="G230">
            <v>3.3333333333333335</v>
          </cell>
          <cell r="H230">
            <v>7.35</v>
          </cell>
          <cell r="I230">
            <v>57</v>
          </cell>
          <cell r="J230">
            <v>10</v>
          </cell>
          <cell r="K230">
            <v>4</v>
          </cell>
          <cell r="L230">
            <v>1.7</v>
          </cell>
          <cell r="M230">
            <v>59</v>
          </cell>
          <cell r="N230">
            <v>64.8</v>
          </cell>
          <cell r="O230">
            <v>40</v>
          </cell>
          <cell r="P230">
            <v>168</v>
          </cell>
          <cell r="Q230">
            <v>58</v>
          </cell>
          <cell r="R230">
            <v>162</v>
          </cell>
          <cell r="S230">
            <v>0</v>
          </cell>
        </row>
        <row r="231">
          <cell r="A231">
            <v>37806</v>
          </cell>
          <cell r="O231">
            <v>61.46</v>
          </cell>
        </row>
        <row r="232">
          <cell r="A232">
            <v>37823</v>
          </cell>
          <cell r="O232">
            <v>17.440000000000001</v>
          </cell>
        </row>
        <row r="233">
          <cell r="A233">
            <v>37827</v>
          </cell>
          <cell r="O233">
            <v>10.62</v>
          </cell>
        </row>
        <row r="234">
          <cell r="A234">
            <v>37834</v>
          </cell>
          <cell r="O234">
            <v>113.71</v>
          </cell>
        </row>
        <row r="235">
          <cell r="A235">
            <v>37837</v>
          </cell>
          <cell r="O235">
            <v>13.76</v>
          </cell>
        </row>
        <row r="236">
          <cell r="A236">
            <v>37839</v>
          </cell>
          <cell r="O236">
            <v>10.83</v>
          </cell>
        </row>
        <row r="237">
          <cell r="A237">
            <v>37841</v>
          </cell>
          <cell r="O237">
            <v>9.43</v>
          </cell>
        </row>
        <row r="238">
          <cell r="A238">
            <v>37844</v>
          </cell>
          <cell r="O238">
            <v>11.25</v>
          </cell>
        </row>
        <row r="239">
          <cell r="A239">
            <v>37845</v>
          </cell>
          <cell r="B239">
            <v>13</v>
          </cell>
          <cell r="C239">
            <v>0.14000000000000001</v>
          </cell>
          <cell r="D239">
            <v>1</v>
          </cell>
          <cell r="E239">
            <v>10</v>
          </cell>
          <cell r="F239">
            <v>2</v>
          </cell>
          <cell r="G239">
            <v>3.1850000000000001</v>
          </cell>
          <cell r="H239">
            <v>7.08</v>
          </cell>
          <cell r="I239">
            <v>57</v>
          </cell>
          <cell r="J239">
            <v>10</v>
          </cell>
          <cell r="K239">
            <v>4.2</v>
          </cell>
          <cell r="L239">
            <v>1.6</v>
          </cell>
          <cell r="M239">
            <v>13</v>
          </cell>
          <cell r="N239">
            <v>18.8</v>
          </cell>
          <cell r="O239">
            <v>10</v>
          </cell>
          <cell r="P239">
            <v>72</v>
          </cell>
          <cell r="Q239">
            <v>6</v>
          </cell>
          <cell r="R239">
            <v>184</v>
          </cell>
          <cell r="S239">
            <v>0</v>
          </cell>
          <cell r="T239">
            <v>14</v>
          </cell>
        </row>
        <row r="240">
          <cell r="A240">
            <v>37846</v>
          </cell>
          <cell r="O240">
            <v>8.48</v>
          </cell>
        </row>
        <row r="241">
          <cell r="A241">
            <v>37848</v>
          </cell>
          <cell r="O241">
            <v>36.28</v>
          </cell>
        </row>
        <row r="242">
          <cell r="A242">
            <v>37853</v>
          </cell>
          <cell r="O242">
            <v>87.12</v>
          </cell>
        </row>
        <row r="243">
          <cell r="A243">
            <v>37858</v>
          </cell>
          <cell r="O243">
            <v>51.02</v>
          </cell>
        </row>
        <row r="244">
          <cell r="A244">
            <v>37859</v>
          </cell>
          <cell r="O244">
            <v>42.79</v>
          </cell>
        </row>
        <row r="245">
          <cell r="A245">
            <v>37860</v>
          </cell>
          <cell r="O245">
            <v>10.58</v>
          </cell>
        </row>
        <row r="246">
          <cell r="A246">
            <v>37861</v>
          </cell>
          <cell r="O246">
            <v>10.48</v>
          </cell>
        </row>
        <row r="247">
          <cell r="A247">
            <v>37865</v>
          </cell>
          <cell r="O247">
            <v>33.68</v>
          </cell>
        </row>
        <row r="248">
          <cell r="A248">
            <v>37869</v>
          </cell>
          <cell r="O248">
            <v>17.07</v>
          </cell>
        </row>
        <row r="249">
          <cell r="A249">
            <v>37872</v>
          </cell>
          <cell r="O249">
            <v>13.54</v>
          </cell>
        </row>
        <row r="250">
          <cell r="A250">
            <v>37874</v>
          </cell>
          <cell r="O250">
            <v>14.16</v>
          </cell>
        </row>
        <row r="251">
          <cell r="A251">
            <v>37881</v>
          </cell>
          <cell r="O251">
            <v>16.12</v>
          </cell>
        </row>
        <row r="252">
          <cell r="A252">
            <v>37883</v>
          </cell>
          <cell r="O252">
            <v>8.25</v>
          </cell>
        </row>
        <row r="253">
          <cell r="A253">
            <v>37886</v>
          </cell>
          <cell r="O253">
            <v>11.1</v>
          </cell>
        </row>
        <row r="254">
          <cell r="A254">
            <v>37888</v>
          </cell>
          <cell r="O254">
            <v>10.45</v>
          </cell>
        </row>
        <row r="255">
          <cell r="A255">
            <v>37895</v>
          </cell>
          <cell r="O255">
            <v>11.88</v>
          </cell>
        </row>
        <row r="256">
          <cell r="A256">
            <v>37896</v>
          </cell>
          <cell r="O256">
            <v>12</v>
          </cell>
          <cell r="U256" t="str">
            <v>Muestra registrada por Baker</v>
          </cell>
        </row>
        <row r="257">
          <cell r="A257">
            <v>37897</v>
          </cell>
          <cell r="O257">
            <v>10.4</v>
          </cell>
        </row>
        <row r="258">
          <cell r="A258">
            <v>37900</v>
          </cell>
          <cell r="O258">
            <v>56.56</v>
          </cell>
        </row>
        <row r="259">
          <cell r="A259">
            <v>37902</v>
          </cell>
          <cell r="O259">
            <v>111.5</v>
          </cell>
        </row>
        <row r="260">
          <cell r="A260">
            <v>37903</v>
          </cell>
          <cell r="O260">
            <v>4.88</v>
          </cell>
        </row>
        <row r="261">
          <cell r="A261">
            <v>37904</v>
          </cell>
          <cell r="O261">
            <v>8.5500000000000007</v>
          </cell>
        </row>
        <row r="262">
          <cell r="A262">
            <v>37907</v>
          </cell>
          <cell r="O262">
            <v>11.49</v>
          </cell>
        </row>
        <row r="263">
          <cell r="A263">
            <v>37909</v>
          </cell>
          <cell r="O263">
            <v>8.84</v>
          </cell>
        </row>
        <row r="264">
          <cell r="A264">
            <v>37911</v>
          </cell>
          <cell r="O264">
            <v>17.399999999999999</v>
          </cell>
        </row>
        <row r="265">
          <cell r="A265">
            <v>37914</v>
          </cell>
          <cell r="O265">
            <v>19.5</v>
          </cell>
        </row>
        <row r="266">
          <cell r="A266">
            <v>37916</v>
          </cell>
          <cell r="O266">
            <v>16</v>
          </cell>
        </row>
        <row r="267">
          <cell r="A267">
            <v>37917</v>
          </cell>
          <cell r="B267">
            <v>18</v>
          </cell>
          <cell r="C267">
            <v>0.2</v>
          </cell>
          <cell r="D267">
            <v>1.5</v>
          </cell>
          <cell r="E267">
            <v>8</v>
          </cell>
          <cell r="F267">
            <v>30</v>
          </cell>
          <cell r="G267">
            <v>2.347417840375587</v>
          </cell>
          <cell r="H267">
            <v>7.5</v>
          </cell>
          <cell r="I267">
            <v>54</v>
          </cell>
          <cell r="J267">
            <v>100</v>
          </cell>
          <cell r="K267">
            <v>8</v>
          </cell>
          <cell r="L267">
            <v>2.7</v>
          </cell>
          <cell r="M267">
            <v>51</v>
          </cell>
          <cell r="N267">
            <v>61.7</v>
          </cell>
          <cell r="O267">
            <v>68</v>
          </cell>
          <cell r="P267">
            <v>64</v>
          </cell>
          <cell r="Q267">
            <v>6</v>
          </cell>
          <cell r="R267">
            <v>158</v>
          </cell>
          <cell r="S267">
            <v>0</v>
          </cell>
          <cell r="T267">
            <v>10</v>
          </cell>
        </row>
        <row r="268">
          <cell r="A268">
            <v>37918</v>
          </cell>
          <cell r="O268">
            <v>8.5</v>
          </cell>
        </row>
        <row r="269">
          <cell r="A269">
            <v>37923</v>
          </cell>
          <cell r="O269">
            <v>5.4</v>
          </cell>
        </row>
        <row r="270">
          <cell r="A270">
            <v>37925</v>
          </cell>
          <cell r="O270">
            <v>6.2</v>
          </cell>
        </row>
        <row r="271">
          <cell r="A271">
            <v>37929</v>
          </cell>
          <cell r="O271">
            <v>6</v>
          </cell>
        </row>
        <row r="272">
          <cell r="A272">
            <v>37930</v>
          </cell>
          <cell r="O272">
            <v>27</v>
          </cell>
        </row>
        <row r="273">
          <cell r="A273">
            <v>37932</v>
          </cell>
          <cell r="O273">
            <v>11</v>
          </cell>
        </row>
        <row r="274">
          <cell r="A274">
            <v>37935</v>
          </cell>
          <cell r="O274">
            <v>25</v>
          </cell>
        </row>
        <row r="275">
          <cell r="A275">
            <v>37938</v>
          </cell>
          <cell r="O275">
            <v>16</v>
          </cell>
        </row>
        <row r="276">
          <cell r="A276">
            <v>37939</v>
          </cell>
          <cell r="O276">
            <v>31</v>
          </cell>
        </row>
        <row r="277">
          <cell r="A277">
            <v>37942</v>
          </cell>
          <cell r="O277">
            <v>4</v>
          </cell>
        </row>
        <row r="278">
          <cell r="A278">
            <v>37944</v>
          </cell>
          <cell r="O278">
            <v>11</v>
          </cell>
        </row>
        <row r="279">
          <cell r="A279">
            <v>37949</v>
          </cell>
          <cell r="O279">
            <v>3</v>
          </cell>
        </row>
        <row r="280">
          <cell r="A280">
            <v>37951</v>
          </cell>
          <cell r="O280">
            <v>19</v>
          </cell>
        </row>
        <row r="281">
          <cell r="A281">
            <v>37956</v>
          </cell>
          <cell r="O281">
            <v>9</v>
          </cell>
        </row>
        <row r="282">
          <cell r="A282">
            <v>37958</v>
          </cell>
          <cell r="O282">
            <v>13</v>
          </cell>
        </row>
        <row r="283">
          <cell r="A283">
            <v>37960</v>
          </cell>
          <cell r="O283">
            <v>17.5</v>
          </cell>
        </row>
        <row r="284">
          <cell r="A284">
            <v>37964</v>
          </cell>
          <cell r="O284">
            <v>75.7</v>
          </cell>
        </row>
        <row r="285">
          <cell r="A285">
            <v>37966</v>
          </cell>
          <cell r="O285">
            <v>32.4</v>
          </cell>
        </row>
        <row r="286">
          <cell r="A286">
            <v>37970</v>
          </cell>
          <cell r="O286">
            <v>11.3</v>
          </cell>
        </row>
        <row r="287">
          <cell r="A287">
            <v>37972</v>
          </cell>
          <cell r="O287">
            <v>9.5</v>
          </cell>
        </row>
        <row r="288">
          <cell r="A288">
            <v>37977</v>
          </cell>
          <cell r="O288">
            <v>6</v>
          </cell>
        </row>
        <row r="289">
          <cell r="A289">
            <v>37978</v>
          </cell>
          <cell r="O289">
            <v>11.5</v>
          </cell>
        </row>
        <row r="290">
          <cell r="A290">
            <v>37991</v>
          </cell>
          <cell r="O290">
            <v>74</v>
          </cell>
        </row>
        <row r="291">
          <cell r="A291">
            <v>37993</v>
          </cell>
          <cell r="O291">
            <v>5.6</v>
          </cell>
        </row>
        <row r="292">
          <cell r="A292">
            <v>37995</v>
          </cell>
          <cell r="O292">
            <v>33</v>
          </cell>
        </row>
        <row r="293">
          <cell r="A293">
            <v>37998</v>
          </cell>
          <cell r="O293">
            <v>5.7</v>
          </cell>
        </row>
        <row r="294">
          <cell r="A294">
            <v>38000</v>
          </cell>
          <cell r="O294">
            <v>17</v>
          </cell>
        </row>
        <row r="295">
          <cell r="A295">
            <v>38002</v>
          </cell>
          <cell r="O295">
            <v>8.5</v>
          </cell>
        </row>
        <row r="296">
          <cell r="A296">
            <v>38005</v>
          </cell>
          <cell r="O296">
            <v>4.4000000000000004</v>
          </cell>
        </row>
        <row r="297">
          <cell r="A297">
            <v>38009</v>
          </cell>
          <cell r="O297">
            <v>10.1</v>
          </cell>
        </row>
        <row r="298">
          <cell r="A298">
            <v>38012</v>
          </cell>
          <cell r="O298">
            <v>12</v>
          </cell>
        </row>
        <row r="299">
          <cell r="A299">
            <v>38044</v>
          </cell>
          <cell r="J299">
            <v>10</v>
          </cell>
        </row>
        <row r="300">
          <cell r="A300">
            <v>38019</v>
          </cell>
          <cell r="O300">
            <v>8.4</v>
          </cell>
        </row>
        <row r="301">
          <cell r="A301">
            <v>38021</v>
          </cell>
          <cell r="O301">
            <v>8.4</v>
          </cell>
        </row>
        <row r="302">
          <cell r="A302">
            <v>38023</v>
          </cell>
          <cell r="O302">
            <v>6.7</v>
          </cell>
        </row>
        <row r="303">
          <cell r="A303">
            <v>38026</v>
          </cell>
          <cell r="O303">
            <v>6.2</v>
          </cell>
        </row>
        <row r="304">
          <cell r="A304">
            <v>38028</v>
          </cell>
          <cell r="O304">
            <v>23</v>
          </cell>
        </row>
        <row r="305">
          <cell r="A305">
            <v>38030</v>
          </cell>
          <cell r="O305">
            <v>9.8000000000000007</v>
          </cell>
        </row>
        <row r="306">
          <cell r="A306">
            <v>38033</v>
          </cell>
          <cell r="O306">
            <v>13</v>
          </cell>
        </row>
        <row r="307">
          <cell r="A307">
            <v>38035</v>
          </cell>
          <cell r="O307">
            <v>9.3000000000000007</v>
          </cell>
        </row>
        <row r="308">
          <cell r="A308">
            <v>38037</v>
          </cell>
          <cell r="O308">
            <v>7.5</v>
          </cell>
        </row>
        <row r="309">
          <cell r="A309">
            <v>38040</v>
          </cell>
          <cell r="O309">
            <v>18.600000000000001</v>
          </cell>
        </row>
        <row r="310">
          <cell r="A310">
            <v>38044</v>
          </cell>
          <cell r="O310">
            <v>2.2999999999999998</v>
          </cell>
        </row>
        <row r="311">
          <cell r="A311">
            <v>38040</v>
          </cell>
          <cell r="B311">
            <v>11</v>
          </cell>
          <cell r="C311">
            <v>1.1599999999999999</v>
          </cell>
          <cell r="D311">
            <v>2</v>
          </cell>
          <cell r="E311">
            <v>11</v>
          </cell>
          <cell r="F311">
            <v>8</v>
          </cell>
          <cell r="G311">
            <v>3.0209999999999999</v>
          </cell>
          <cell r="H311">
            <v>7.2</v>
          </cell>
          <cell r="I311">
            <v>53</v>
          </cell>
          <cell r="J311">
            <v>10</v>
          </cell>
          <cell r="K311">
            <v>3.6</v>
          </cell>
          <cell r="L311">
            <v>1.2</v>
          </cell>
          <cell r="M311">
            <v>19.899999999999999</v>
          </cell>
          <cell r="N311">
            <v>24.7</v>
          </cell>
          <cell r="P311">
            <v>64</v>
          </cell>
          <cell r="Q311">
            <v>0</v>
          </cell>
          <cell r="R311">
            <v>162</v>
          </cell>
          <cell r="S311">
            <v>0</v>
          </cell>
          <cell r="T311">
            <v>14</v>
          </cell>
          <cell r="U311" t="str">
            <v>Análisis realizado por LAI</v>
          </cell>
        </row>
        <row r="312">
          <cell r="A312">
            <v>38051</v>
          </cell>
          <cell r="O312">
            <v>12.6</v>
          </cell>
        </row>
        <row r="313">
          <cell r="A313">
            <v>38054</v>
          </cell>
          <cell r="O313">
            <v>15</v>
          </cell>
        </row>
        <row r="314">
          <cell r="A314">
            <v>38056</v>
          </cell>
          <cell r="O314">
            <v>15</v>
          </cell>
        </row>
        <row r="315">
          <cell r="A315">
            <v>38058</v>
          </cell>
          <cell r="O315">
            <v>13</v>
          </cell>
        </row>
        <row r="316">
          <cell r="A316">
            <v>38063</v>
          </cell>
          <cell r="O316">
            <v>17</v>
          </cell>
        </row>
        <row r="317">
          <cell r="A317">
            <v>38065</v>
          </cell>
          <cell r="O317">
            <v>19</v>
          </cell>
        </row>
        <row r="318">
          <cell r="A318">
            <v>38068</v>
          </cell>
          <cell r="O318">
            <v>39</v>
          </cell>
        </row>
        <row r="319">
          <cell r="A319">
            <v>38072</v>
          </cell>
          <cell r="O319">
            <v>17</v>
          </cell>
        </row>
        <row r="320">
          <cell r="A320">
            <v>38076</v>
          </cell>
          <cell r="O320">
            <v>20</v>
          </cell>
        </row>
        <row r="321">
          <cell r="A321">
            <v>38083</v>
          </cell>
          <cell r="J321">
            <v>10</v>
          </cell>
        </row>
        <row r="322">
          <cell r="A322">
            <v>38085</v>
          </cell>
          <cell r="O322">
            <v>7</v>
          </cell>
        </row>
        <row r="323">
          <cell r="A323">
            <v>38087</v>
          </cell>
          <cell r="O323">
            <v>15.9</v>
          </cell>
        </row>
        <row r="324">
          <cell r="A324">
            <v>38089</v>
          </cell>
          <cell r="J324">
            <v>100</v>
          </cell>
          <cell r="O324">
            <v>13.8</v>
          </cell>
        </row>
        <row r="325">
          <cell r="A325">
            <v>38091</v>
          </cell>
          <cell r="O325">
            <v>36.6</v>
          </cell>
        </row>
        <row r="326">
          <cell r="A326">
            <v>38093</v>
          </cell>
          <cell r="O326">
            <v>16.3</v>
          </cell>
        </row>
        <row r="327">
          <cell r="A327">
            <v>38094</v>
          </cell>
          <cell r="B327">
            <v>15</v>
          </cell>
          <cell r="C327">
            <v>0.13</v>
          </cell>
          <cell r="D327">
            <v>8.1</v>
          </cell>
          <cell r="E327">
            <v>15</v>
          </cell>
          <cell r="F327">
            <v>18</v>
          </cell>
          <cell r="G327">
            <v>2.0790000000000002</v>
          </cell>
          <cell r="H327">
            <v>7.5</v>
          </cell>
          <cell r="I327">
            <v>61</v>
          </cell>
          <cell r="J327">
            <v>10</v>
          </cell>
          <cell r="K327">
            <v>4.2</v>
          </cell>
          <cell r="L327">
            <v>1</v>
          </cell>
          <cell r="M327">
            <v>49.8</v>
          </cell>
          <cell r="N327">
            <v>55</v>
          </cell>
          <cell r="P327">
            <v>65</v>
          </cell>
          <cell r="Q327">
            <v>0</v>
          </cell>
          <cell r="R327">
            <v>235</v>
          </cell>
          <cell r="S327">
            <v>0</v>
          </cell>
          <cell r="T327">
            <v>13</v>
          </cell>
          <cell r="U327" t="str">
            <v>Análisis realizado por LAI</v>
          </cell>
        </row>
        <row r="328">
          <cell r="A328">
            <v>38095</v>
          </cell>
          <cell r="O328">
            <v>6.7</v>
          </cell>
        </row>
        <row r="329">
          <cell r="A329">
            <v>38098</v>
          </cell>
          <cell r="O329">
            <v>26.8</v>
          </cell>
        </row>
        <row r="330">
          <cell r="A330">
            <v>38103</v>
          </cell>
          <cell r="O330">
            <v>12.7</v>
          </cell>
        </row>
        <row r="331">
          <cell r="A331">
            <v>38106</v>
          </cell>
          <cell r="O331">
            <v>15.2</v>
          </cell>
        </row>
        <row r="332">
          <cell r="A332">
            <v>38107</v>
          </cell>
          <cell r="O332">
            <v>19</v>
          </cell>
        </row>
        <row r="333">
          <cell r="A333">
            <v>38110</v>
          </cell>
          <cell r="O333">
            <v>27.9</v>
          </cell>
        </row>
        <row r="334">
          <cell r="A334">
            <v>38111</v>
          </cell>
          <cell r="J334">
            <v>100</v>
          </cell>
        </row>
        <row r="335">
          <cell r="A335">
            <v>38112</v>
          </cell>
          <cell r="O335">
            <v>19.5</v>
          </cell>
        </row>
        <row r="336">
          <cell r="A336">
            <v>38114</v>
          </cell>
          <cell r="F336">
            <v>14</v>
          </cell>
          <cell r="O336">
            <v>11.4</v>
          </cell>
          <cell r="T336">
            <v>14</v>
          </cell>
        </row>
        <row r="337">
          <cell r="A337">
            <v>38117</v>
          </cell>
          <cell r="O337">
            <v>12.4</v>
          </cell>
        </row>
        <row r="338">
          <cell r="A338">
            <v>38119</v>
          </cell>
          <cell r="O338">
            <v>10.6</v>
          </cell>
        </row>
        <row r="339">
          <cell r="A339">
            <v>38121</v>
          </cell>
          <cell r="O339">
            <v>12.2</v>
          </cell>
        </row>
        <row r="340">
          <cell r="A340">
            <v>38124</v>
          </cell>
          <cell r="O340">
            <v>13.7</v>
          </cell>
        </row>
        <row r="341">
          <cell r="A341">
            <v>38126</v>
          </cell>
          <cell r="O341">
            <v>39.200000000000003</v>
          </cell>
        </row>
        <row r="342">
          <cell r="A342">
            <v>38127</v>
          </cell>
          <cell r="B342">
            <v>15</v>
          </cell>
          <cell r="C342">
            <v>0.2</v>
          </cell>
          <cell r="D342">
            <v>3</v>
          </cell>
          <cell r="E342">
            <v>14</v>
          </cell>
          <cell r="F342">
            <v>4</v>
          </cell>
          <cell r="H342">
            <v>7.15</v>
          </cell>
          <cell r="I342">
            <v>61</v>
          </cell>
          <cell r="J342">
            <v>10</v>
          </cell>
          <cell r="O342">
            <v>82</v>
          </cell>
          <cell r="P342">
            <v>120</v>
          </cell>
          <cell r="Q342">
            <v>0</v>
          </cell>
          <cell r="R342">
            <v>147</v>
          </cell>
          <cell r="S342">
            <v>0</v>
          </cell>
          <cell r="T342">
            <v>10</v>
          </cell>
        </row>
        <row r="343">
          <cell r="A343">
            <v>38128</v>
          </cell>
          <cell r="O343">
            <v>43</v>
          </cell>
        </row>
        <row r="344">
          <cell r="A344">
            <v>38135</v>
          </cell>
          <cell r="O344">
            <v>45.3</v>
          </cell>
        </row>
        <row r="345">
          <cell r="A345">
            <v>38140</v>
          </cell>
          <cell r="O345">
            <v>31.5</v>
          </cell>
        </row>
        <row r="346">
          <cell r="A346">
            <v>38145</v>
          </cell>
          <cell r="O346">
            <v>24</v>
          </cell>
        </row>
        <row r="347">
          <cell r="A347">
            <v>38146</v>
          </cell>
          <cell r="O347">
            <v>17</v>
          </cell>
        </row>
        <row r="348">
          <cell r="A348">
            <v>38147</v>
          </cell>
          <cell r="O348">
            <v>14.19</v>
          </cell>
        </row>
        <row r="349">
          <cell r="A349">
            <v>38149</v>
          </cell>
          <cell r="O349">
            <v>33.700000000000003</v>
          </cell>
        </row>
        <row r="350">
          <cell r="A350">
            <v>38152</v>
          </cell>
          <cell r="O350">
            <v>25.91</v>
          </cell>
        </row>
        <row r="351">
          <cell r="A351">
            <v>38153</v>
          </cell>
          <cell r="F351">
            <v>10</v>
          </cell>
          <cell r="O351">
            <v>18</v>
          </cell>
          <cell r="U351" t="str">
            <v>BAKER</v>
          </cell>
        </row>
        <row r="352">
          <cell r="A352">
            <v>38155</v>
          </cell>
          <cell r="F352">
            <v>8</v>
          </cell>
          <cell r="O352">
            <v>15</v>
          </cell>
          <cell r="U352" t="str">
            <v>BAKER</v>
          </cell>
        </row>
        <row r="353">
          <cell r="A353">
            <v>38156</v>
          </cell>
          <cell r="O353">
            <v>21.19</v>
          </cell>
        </row>
        <row r="354">
          <cell r="A354">
            <v>38159</v>
          </cell>
          <cell r="O354">
            <v>31.92</v>
          </cell>
        </row>
        <row r="355">
          <cell r="A355">
            <v>38160</v>
          </cell>
          <cell r="O355">
            <v>16</v>
          </cell>
          <cell r="U355" t="str">
            <v>BAKER</v>
          </cell>
        </row>
        <row r="356">
          <cell r="A356">
            <v>38161</v>
          </cell>
          <cell r="F356">
            <v>10</v>
          </cell>
          <cell r="U356" t="str">
            <v>BAKER</v>
          </cell>
        </row>
        <row r="357">
          <cell r="A357">
            <v>38162</v>
          </cell>
          <cell r="O357">
            <v>17.5</v>
          </cell>
          <cell r="U357" t="str">
            <v>BAKER</v>
          </cell>
        </row>
        <row r="358">
          <cell r="A358">
            <v>38163</v>
          </cell>
          <cell r="F358">
            <v>10</v>
          </cell>
          <cell r="O358">
            <v>25.7</v>
          </cell>
          <cell r="U358" t="str">
            <v>BAKER</v>
          </cell>
        </row>
        <row r="359">
          <cell r="A359">
            <v>38168</v>
          </cell>
          <cell r="O359">
            <v>9.18</v>
          </cell>
        </row>
        <row r="360">
          <cell r="A360">
            <v>38170</v>
          </cell>
          <cell r="O360">
            <v>32.700000000000003</v>
          </cell>
        </row>
        <row r="361">
          <cell r="A361">
            <v>38172</v>
          </cell>
          <cell r="O361">
            <v>25</v>
          </cell>
        </row>
        <row r="362">
          <cell r="A362">
            <v>38173</v>
          </cell>
          <cell r="O362">
            <v>22</v>
          </cell>
        </row>
        <row r="363">
          <cell r="A363">
            <v>38175</v>
          </cell>
          <cell r="O363">
            <v>98.6</v>
          </cell>
        </row>
        <row r="364">
          <cell r="A364">
            <v>38176</v>
          </cell>
          <cell r="O364">
            <v>48</v>
          </cell>
        </row>
        <row r="365">
          <cell r="A365">
            <v>38182</v>
          </cell>
          <cell r="O365">
            <v>25.7</v>
          </cell>
        </row>
        <row r="366">
          <cell r="A366">
            <v>38184</v>
          </cell>
          <cell r="O366">
            <v>21.46</v>
          </cell>
        </row>
        <row r="367">
          <cell r="A367">
            <v>38187</v>
          </cell>
          <cell r="O367">
            <v>19.920000000000002</v>
          </cell>
        </row>
        <row r="368">
          <cell r="A368">
            <v>38189</v>
          </cell>
          <cell r="O368">
            <v>18.52</v>
          </cell>
        </row>
        <row r="369">
          <cell r="A369">
            <v>38194</v>
          </cell>
          <cell r="O369">
            <v>35.78</v>
          </cell>
        </row>
        <row r="370">
          <cell r="A370">
            <v>38196</v>
          </cell>
          <cell r="O370">
            <v>25.24</v>
          </cell>
          <cell r="U370" t="str">
            <v xml:space="preserve">Se extrae otra Muestra con 22 ppm </v>
          </cell>
        </row>
        <row r="371">
          <cell r="A371">
            <v>38198</v>
          </cell>
          <cell r="O371">
            <v>12.4</v>
          </cell>
        </row>
        <row r="372">
          <cell r="A372">
            <v>38201</v>
          </cell>
          <cell r="O372">
            <v>34.700000000000003</v>
          </cell>
        </row>
        <row r="373">
          <cell r="A373">
            <v>38203</v>
          </cell>
          <cell r="O373">
            <v>18.68</v>
          </cell>
        </row>
        <row r="374">
          <cell r="A374">
            <v>38205</v>
          </cell>
          <cell r="O374">
            <v>19.75</v>
          </cell>
        </row>
        <row r="375">
          <cell r="A375">
            <v>38208</v>
          </cell>
          <cell r="O375">
            <v>10.9</v>
          </cell>
        </row>
        <row r="376">
          <cell r="A376">
            <v>38210</v>
          </cell>
          <cell r="O376">
            <v>30.9</v>
          </cell>
        </row>
        <row r="377">
          <cell r="A377">
            <v>38212</v>
          </cell>
          <cell r="O377">
            <v>44.1</v>
          </cell>
          <cell r="U377" t="str">
            <v xml:space="preserve">Se extrae otra Muestra con 15 ppm </v>
          </cell>
        </row>
        <row r="378">
          <cell r="A378">
            <v>38216</v>
          </cell>
          <cell r="O378">
            <v>92</v>
          </cell>
        </row>
        <row r="379">
          <cell r="A379">
            <v>38217</v>
          </cell>
          <cell r="O379">
            <v>20</v>
          </cell>
        </row>
        <row r="380">
          <cell r="A380">
            <v>38218</v>
          </cell>
          <cell r="B380">
            <v>12</v>
          </cell>
          <cell r="C380">
            <v>0.8</v>
          </cell>
          <cell r="D380">
            <v>1</v>
          </cell>
          <cell r="E380">
            <v>7</v>
          </cell>
          <cell r="F380">
            <v>6</v>
          </cell>
          <cell r="G380">
            <v>2.1739000000000002</v>
          </cell>
          <cell r="H380">
            <v>7.3</v>
          </cell>
          <cell r="I380">
            <v>62</v>
          </cell>
          <cell r="J380">
            <v>10</v>
          </cell>
          <cell r="K380">
            <v>3.7</v>
          </cell>
          <cell r="L380">
            <v>1.3</v>
          </cell>
          <cell r="M380">
            <v>51</v>
          </cell>
          <cell r="N380">
            <v>56</v>
          </cell>
          <cell r="O380">
            <v>18</v>
          </cell>
          <cell r="P380">
            <v>64</v>
          </cell>
          <cell r="Q380">
            <v>0</v>
          </cell>
          <cell r="R380">
            <v>146</v>
          </cell>
          <cell r="S380">
            <v>0</v>
          </cell>
          <cell r="T380">
            <v>20</v>
          </cell>
        </row>
        <row r="381">
          <cell r="A381">
            <v>38219</v>
          </cell>
          <cell r="O381">
            <v>24.6</v>
          </cell>
        </row>
        <row r="382">
          <cell r="A382">
            <v>38222</v>
          </cell>
          <cell r="O382">
            <v>35</v>
          </cell>
        </row>
        <row r="383">
          <cell r="A383">
            <v>38224</v>
          </cell>
          <cell r="O383">
            <v>37</v>
          </cell>
        </row>
        <row r="384">
          <cell r="A384">
            <v>38226</v>
          </cell>
          <cell r="O384">
            <v>6.6</v>
          </cell>
        </row>
        <row r="385">
          <cell r="A385">
            <v>38229</v>
          </cell>
          <cell r="O385">
            <v>17</v>
          </cell>
        </row>
        <row r="386">
          <cell r="A386">
            <v>38231</v>
          </cell>
          <cell r="O386">
            <v>23</v>
          </cell>
          <cell r="U386" t="str">
            <v>Lab. C.D. 23 ppm H.C.</v>
          </cell>
        </row>
        <row r="387">
          <cell r="A387">
            <v>38233</v>
          </cell>
          <cell r="O387">
            <v>5</v>
          </cell>
        </row>
        <row r="388">
          <cell r="A388">
            <v>38236</v>
          </cell>
          <cell r="O388">
            <v>21</v>
          </cell>
        </row>
        <row r="389">
          <cell r="A389">
            <v>38238</v>
          </cell>
          <cell r="O389">
            <v>34</v>
          </cell>
        </row>
        <row r="390">
          <cell r="A390">
            <v>38240</v>
          </cell>
          <cell r="O390">
            <v>54</v>
          </cell>
        </row>
        <row r="391">
          <cell r="A391">
            <v>38243</v>
          </cell>
          <cell r="O391">
            <v>20</v>
          </cell>
        </row>
        <row r="392">
          <cell r="A392">
            <v>38245</v>
          </cell>
          <cell r="O392">
            <v>27</v>
          </cell>
          <cell r="U392" t="str">
            <v>Lab. C.D. 19 ppm H.C.</v>
          </cell>
        </row>
        <row r="393">
          <cell r="A393">
            <v>38247</v>
          </cell>
          <cell r="O393">
            <v>10</v>
          </cell>
          <cell r="U393" t="str">
            <v>Lab. C.D. 6 ppm H.C.</v>
          </cell>
        </row>
        <row r="394">
          <cell r="A394">
            <v>38252</v>
          </cell>
          <cell r="O394">
            <v>35</v>
          </cell>
        </row>
        <row r="395">
          <cell r="A395">
            <v>38257</v>
          </cell>
          <cell r="O395">
            <v>8</v>
          </cell>
        </row>
        <row r="396">
          <cell r="A396">
            <v>38253</v>
          </cell>
          <cell r="O396">
            <v>10</v>
          </cell>
        </row>
        <row r="397">
          <cell r="A397">
            <v>38259</v>
          </cell>
          <cell r="O397">
            <v>46</v>
          </cell>
        </row>
        <row r="398">
          <cell r="A398">
            <v>38261</v>
          </cell>
          <cell r="F398">
            <v>700</v>
          </cell>
          <cell r="I398">
            <v>54</v>
          </cell>
          <cell r="J398">
            <v>10</v>
          </cell>
        </row>
        <row r="399">
          <cell r="A399">
            <v>38264</v>
          </cell>
          <cell r="O399">
            <v>11</v>
          </cell>
        </row>
        <row r="400">
          <cell r="A400">
            <v>38266</v>
          </cell>
          <cell r="O400">
            <v>16</v>
          </cell>
        </row>
        <row r="401">
          <cell r="A401">
            <v>38267</v>
          </cell>
          <cell r="D401">
            <v>3</v>
          </cell>
          <cell r="E401">
            <v>4</v>
          </cell>
          <cell r="F401">
            <v>16</v>
          </cell>
          <cell r="H401">
            <v>7.3</v>
          </cell>
          <cell r="I401">
            <v>54</v>
          </cell>
          <cell r="J401">
            <v>10000</v>
          </cell>
          <cell r="K401">
            <v>6</v>
          </cell>
          <cell r="L401">
            <v>1.6</v>
          </cell>
          <cell r="M401">
            <v>60</v>
          </cell>
          <cell r="N401">
            <v>67.599999999999994</v>
          </cell>
          <cell r="O401">
            <v>64</v>
          </cell>
          <cell r="T401">
            <v>14</v>
          </cell>
        </row>
        <row r="402">
          <cell r="A402">
            <v>38268</v>
          </cell>
          <cell r="O402">
            <v>6</v>
          </cell>
        </row>
        <row r="403">
          <cell r="A403">
            <v>38272</v>
          </cell>
          <cell r="O403">
            <v>45</v>
          </cell>
        </row>
        <row r="404">
          <cell r="A404">
            <v>38273</v>
          </cell>
          <cell r="O404">
            <v>13</v>
          </cell>
        </row>
        <row r="405">
          <cell r="A405">
            <v>38275</v>
          </cell>
          <cell r="O405">
            <v>35</v>
          </cell>
        </row>
        <row r="406">
          <cell r="A406">
            <v>38278</v>
          </cell>
          <cell r="O406">
            <v>13</v>
          </cell>
          <cell r="U406" t="str">
            <v>25ppm en lab. C.D.</v>
          </cell>
        </row>
        <row r="407">
          <cell r="A407">
            <v>38280</v>
          </cell>
          <cell r="J407">
            <v>100</v>
          </cell>
          <cell r="O407">
            <v>3</v>
          </cell>
        </row>
        <row r="408">
          <cell r="A408">
            <v>38285</v>
          </cell>
          <cell r="O408">
            <v>16</v>
          </cell>
          <cell r="U408" t="str">
            <v xml:space="preserve">Otra muestra con 18ppm </v>
          </cell>
        </row>
        <row r="409">
          <cell r="A409">
            <v>38286</v>
          </cell>
          <cell r="O409">
            <v>51</v>
          </cell>
        </row>
        <row r="410">
          <cell r="A410">
            <v>38287</v>
          </cell>
          <cell r="O410">
            <v>12</v>
          </cell>
        </row>
        <row r="411">
          <cell r="A411">
            <v>38288</v>
          </cell>
          <cell r="O411">
            <v>248</v>
          </cell>
        </row>
        <row r="412">
          <cell r="A412">
            <v>38289</v>
          </cell>
          <cell r="O412">
            <v>13</v>
          </cell>
        </row>
        <row r="413">
          <cell r="A413">
            <v>38292</v>
          </cell>
          <cell r="O413">
            <v>20</v>
          </cell>
          <cell r="U413" t="str">
            <v>20ppm en lab. C.D.</v>
          </cell>
        </row>
        <row r="414">
          <cell r="A414">
            <v>38293</v>
          </cell>
          <cell r="O414">
            <v>18</v>
          </cell>
        </row>
        <row r="415">
          <cell r="A415">
            <v>38294</v>
          </cell>
          <cell r="O415">
            <v>20</v>
          </cell>
        </row>
        <row r="416">
          <cell r="A416">
            <v>38295</v>
          </cell>
          <cell r="O416">
            <v>67</v>
          </cell>
        </row>
        <row r="417">
          <cell r="A417">
            <v>38301</v>
          </cell>
          <cell r="D417">
            <v>3</v>
          </cell>
          <cell r="E417">
            <v>8</v>
          </cell>
          <cell r="F417">
            <v>12</v>
          </cell>
          <cell r="H417">
            <v>7.34</v>
          </cell>
          <cell r="I417">
            <v>58</v>
          </cell>
          <cell r="J417">
            <v>10</v>
          </cell>
          <cell r="K417">
            <v>17.7</v>
          </cell>
          <cell r="L417">
            <v>0.2</v>
          </cell>
          <cell r="M417">
            <v>39.6</v>
          </cell>
          <cell r="N417">
            <v>57.5</v>
          </cell>
          <cell r="O417">
            <v>57</v>
          </cell>
        </row>
        <row r="418">
          <cell r="A418">
            <v>38302</v>
          </cell>
          <cell r="O418">
            <v>16</v>
          </cell>
        </row>
        <row r="419">
          <cell r="A419">
            <v>38303</v>
          </cell>
          <cell r="O419">
            <v>68</v>
          </cell>
          <cell r="U419" t="str">
            <v>70ppm en lab. C.D.</v>
          </cell>
        </row>
        <row r="420">
          <cell r="A420">
            <v>38306</v>
          </cell>
          <cell r="O420">
            <v>73</v>
          </cell>
          <cell r="U420" t="str">
            <v>83ppm en lab. C.D.</v>
          </cell>
        </row>
        <row r="421">
          <cell r="A421">
            <v>38307</v>
          </cell>
          <cell r="O421">
            <v>28</v>
          </cell>
        </row>
        <row r="422">
          <cell r="A422">
            <v>38308</v>
          </cell>
          <cell r="O422">
            <v>10</v>
          </cell>
          <cell r="U422" t="str">
            <v>21ppm en lab. C.D.</v>
          </cell>
        </row>
        <row r="423">
          <cell r="A423">
            <v>38313</v>
          </cell>
          <cell r="O423">
            <v>28</v>
          </cell>
        </row>
        <row r="424">
          <cell r="A424">
            <v>38314</v>
          </cell>
          <cell r="O424">
            <v>15</v>
          </cell>
        </row>
        <row r="425">
          <cell r="A425">
            <v>38315</v>
          </cell>
          <cell r="O425">
            <v>12</v>
          </cell>
          <cell r="U425" t="str">
            <v>16.2ppm en lab. C.D.</v>
          </cell>
        </row>
        <row r="426">
          <cell r="A426">
            <v>38316</v>
          </cell>
          <cell r="O426">
            <v>25</v>
          </cell>
        </row>
        <row r="427">
          <cell r="A427">
            <v>38317</v>
          </cell>
          <cell r="O427">
            <v>82</v>
          </cell>
        </row>
        <row r="428">
          <cell r="A428">
            <v>38324</v>
          </cell>
          <cell r="O428">
            <v>13</v>
          </cell>
        </row>
        <row r="429">
          <cell r="A429">
            <v>38327</v>
          </cell>
          <cell r="O429">
            <v>15</v>
          </cell>
        </row>
        <row r="430">
          <cell r="A430">
            <v>38329</v>
          </cell>
          <cell r="O430">
            <v>12</v>
          </cell>
        </row>
        <row r="431">
          <cell r="A431">
            <v>38331</v>
          </cell>
          <cell r="D431">
            <v>1</v>
          </cell>
          <cell r="E431">
            <v>8</v>
          </cell>
          <cell r="F431">
            <v>18</v>
          </cell>
          <cell r="H431">
            <v>7.75</v>
          </cell>
          <cell r="I431">
            <v>58</v>
          </cell>
          <cell r="J431">
            <v>100</v>
          </cell>
          <cell r="K431">
            <v>6.8</v>
          </cell>
          <cell r="L431">
            <v>2.4</v>
          </cell>
          <cell r="M431">
            <v>24.8</v>
          </cell>
          <cell r="N431">
            <v>34</v>
          </cell>
          <cell r="O431">
            <v>18</v>
          </cell>
        </row>
        <row r="432">
          <cell r="A432">
            <v>38338</v>
          </cell>
          <cell r="O432">
            <v>66</v>
          </cell>
          <cell r="U432" t="str">
            <v>65.8ppm en lab. C.D.</v>
          </cell>
        </row>
        <row r="433">
          <cell r="A433">
            <v>38341</v>
          </cell>
          <cell r="O433">
            <v>21</v>
          </cell>
          <cell r="U433" t="str">
            <v>21.8ppm en lab. C.D.</v>
          </cell>
        </row>
        <row r="434">
          <cell r="A434">
            <v>38343</v>
          </cell>
          <cell r="O434">
            <v>25</v>
          </cell>
          <cell r="U434" t="str">
            <v>24.6ppm en lab. C.D.</v>
          </cell>
        </row>
        <row r="435">
          <cell r="A435">
            <v>38350</v>
          </cell>
          <cell r="O435">
            <v>31</v>
          </cell>
          <cell r="U435" t="str">
            <v>30.5ppm en lab. C.D.</v>
          </cell>
        </row>
        <row r="436">
          <cell r="A436">
            <v>38357</v>
          </cell>
          <cell r="O436">
            <v>34</v>
          </cell>
        </row>
        <row r="437">
          <cell r="A437">
            <v>38359</v>
          </cell>
          <cell r="O437">
            <v>32.229999999999997</v>
          </cell>
        </row>
        <row r="438">
          <cell r="A438">
            <v>38362</v>
          </cell>
          <cell r="O438">
            <v>9</v>
          </cell>
          <cell r="U438" t="str">
            <v>92.78ppm en lab. C.D.</v>
          </cell>
        </row>
        <row r="439">
          <cell r="A439">
            <v>38363</v>
          </cell>
          <cell r="O439">
            <v>18</v>
          </cell>
        </row>
        <row r="440">
          <cell r="A440">
            <v>38364</v>
          </cell>
          <cell r="O440">
            <v>25</v>
          </cell>
          <cell r="U440" t="str">
            <v>transferencia resero 29ppm oil</v>
          </cell>
        </row>
        <row r="441">
          <cell r="A441">
            <v>38365</v>
          </cell>
          <cell r="O441">
            <v>23</v>
          </cell>
        </row>
        <row r="442">
          <cell r="A442">
            <v>38366</v>
          </cell>
          <cell r="O442">
            <v>44.98</v>
          </cell>
        </row>
        <row r="443">
          <cell r="A443">
            <v>38369</v>
          </cell>
          <cell r="O443">
            <v>27</v>
          </cell>
        </row>
        <row r="444">
          <cell r="A444">
            <v>38370</v>
          </cell>
          <cell r="O444">
            <v>33</v>
          </cell>
        </row>
        <row r="445">
          <cell r="A445">
            <v>38371</v>
          </cell>
          <cell r="O445">
            <v>29</v>
          </cell>
          <cell r="U445" t="str">
            <v>18.7ppm en lab. C.D.</v>
          </cell>
        </row>
        <row r="446">
          <cell r="A446">
            <v>38372</v>
          </cell>
          <cell r="O446">
            <v>24</v>
          </cell>
        </row>
        <row r="447">
          <cell r="A447">
            <v>38373</v>
          </cell>
          <cell r="O447">
            <v>27</v>
          </cell>
          <cell r="U447" t="str">
            <v>23.6ppm en lab. C.D.</v>
          </cell>
        </row>
        <row r="448">
          <cell r="A448">
            <v>38376</v>
          </cell>
          <cell r="B448">
            <v>16</v>
          </cell>
          <cell r="C448">
            <v>0.1</v>
          </cell>
          <cell r="D448">
            <v>2</v>
          </cell>
          <cell r="E448">
            <v>6</v>
          </cell>
          <cell r="F448">
            <v>2</v>
          </cell>
          <cell r="G448">
            <v>2.8010999999999999</v>
          </cell>
          <cell r="H448">
            <v>8.36</v>
          </cell>
          <cell r="I448">
            <v>57</v>
          </cell>
          <cell r="J448">
            <v>10000</v>
          </cell>
          <cell r="K448">
            <v>3</v>
          </cell>
          <cell r="L448">
            <v>0.8</v>
          </cell>
          <cell r="M448">
            <v>24.8</v>
          </cell>
          <cell r="N448">
            <v>28.6</v>
          </cell>
          <cell r="O448">
            <v>18</v>
          </cell>
          <cell r="P448">
            <v>56</v>
          </cell>
          <cell r="Q448">
            <v>11.52</v>
          </cell>
          <cell r="R448">
            <v>109</v>
          </cell>
          <cell r="S448" t="str">
            <v>*</v>
          </cell>
          <cell r="T448" t="str">
            <v>*</v>
          </cell>
          <cell r="U448" t="str">
            <v>48.6ppm en lab. C.D.</v>
          </cell>
        </row>
        <row r="449">
          <cell r="A449">
            <v>38377</v>
          </cell>
          <cell r="O449">
            <v>17</v>
          </cell>
        </row>
        <row r="450">
          <cell r="A450">
            <v>38378</v>
          </cell>
          <cell r="O450">
            <v>29</v>
          </cell>
          <cell r="U450" t="str">
            <v>5.0ppm en lab. C.D.</v>
          </cell>
        </row>
        <row r="451">
          <cell r="A451">
            <v>38379</v>
          </cell>
          <cell r="O451">
            <v>19</v>
          </cell>
        </row>
        <row r="452">
          <cell r="A452">
            <v>38380</v>
          </cell>
          <cell r="O452">
            <v>15</v>
          </cell>
        </row>
        <row r="453">
          <cell r="A453">
            <v>38383</v>
          </cell>
          <cell r="O453">
            <v>2</v>
          </cell>
          <cell r="U453" t="str">
            <v>1.76ppm en lab. C.D.</v>
          </cell>
        </row>
        <row r="454">
          <cell r="A454">
            <v>38384</v>
          </cell>
          <cell r="O454">
            <v>9</v>
          </cell>
        </row>
        <row r="455">
          <cell r="A455">
            <v>38384</v>
          </cell>
          <cell r="O455">
            <v>5</v>
          </cell>
        </row>
        <row r="456">
          <cell r="A456">
            <v>38385</v>
          </cell>
          <cell r="O456">
            <v>2</v>
          </cell>
          <cell r="U456" t="str">
            <v>3.8ppm en lab. C.D.</v>
          </cell>
        </row>
        <row r="457">
          <cell r="A457">
            <v>38386</v>
          </cell>
          <cell r="O457">
            <v>6</v>
          </cell>
        </row>
        <row r="458">
          <cell r="A458">
            <v>38386</v>
          </cell>
          <cell r="O458">
            <v>2</v>
          </cell>
        </row>
        <row r="459">
          <cell r="A459">
            <v>38387</v>
          </cell>
          <cell r="O459">
            <v>6</v>
          </cell>
        </row>
        <row r="460">
          <cell r="A460">
            <v>38390</v>
          </cell>
          <cell r="O460">
            <v>12.3</v>
          </cell>
        </row>
        <row r="461">
          <cell r="A461">
            <v>38392</v>
          </cell>
          <cell r="O461">
            <v>12.6</v>
          </cell>
        </row>
        <row r="462">
          <cell r="A462">
            <v>38394</v>
          </cell>
          <cell r="O462">
            <v>3.5</v>
          </cell>
        </row>
        <row r="463">
          <cell r="A463">
            <v>38397</v>
          </cell>
          <cell r="O463">
            <v>4.3</v>
          </cell>
        </row>
        <row r="464">
          <cell r="A464">
            <v>38399</v>
          </cell>
          <cell r="O464">
            <v>25</v>
          </cell>
        </row>
        <row r="465">
          <cell r="A465">
            <v>38401</v>
          </cell>
          <cell r="B465">
            <v>9</v>
          </cell>
          <cell r="C465">
            <v>0.2</v>
          </cell>
          <cell r="D465">
            <v>0.4</v>
          </cell>
          <cell r="E465">
            <v>7</v>
          </cell>
          <cell r="F465">
            <v>40</v>
          </cell>
          <cell r="G465">
            <v>2.8248000000000002</v>
          </cell>
          <cell r="H465">
            <v>8.1</v>
          </cell>
          <cell r="I465">
            <v>62</v>
          </cell>
          <cell r="J465">
            <v>10</v>
          </cell>
          <cell r="K465">
            <v>6.4</v>
          </cell>
          <cell r="L465">
            <v>0.8</v>
          </cell>
          <cell r="M465">
            <v>25.4</v>
          </cell>
          <cell r="N465">
            <v>32.6</v>
          </cell>
          <cell r="O465">
            <v>24</v>
          </cell>
          <cell r="P465">
            <v>112</v>
          </cell>
          <cell r="Q465">
            <v>0</v>
          </cell>
          <cell r="R465">
            <v>139</v>
          </cell>
          <cell r="S465" t="str">
            <v>*</v>
          </cell>
          <cell r="T465" t="str">
            <v>*</v>
          </cell>
        </row>
        <row r="466">
          <cell r="A466">
            <v>38404</v>
          </cell>
          <cell r="O466">
            <v>5.67</v>
          </cell>
        </row>
        <row r="467">
          <cell r="A467">
            <v>38406</v>
          </cell>
          <cell r="O467">
            <v>10.41</v>
          </cell>
        </row>
        <row r="468">
          <cell r="A468">
            <v>38411</v>
          </cell>
          <cell r="O468">
            <v>25.46</v>
          </cell>
        </row>
        <row r="469">
          <cell r="A469">
            <v>38413</v>
          </cell>
          <cell r="O469">
            <v>22</v>
          </cell>
        </row>
        <row r="470">
          <cell r="A470">
            <v>38414</v>
          </cell>
          <cell r="B470">
            <v>18</v>
          </cell>
          <cell r="C470">
            <v>0.25</v>
          </cell>
          <cell r="D470">
            <v>2</v>
          </cell>
          <cell r="E470">
            <v>4</v>
          </cell>
          <cell r="F470">
            <v>60</v>
          </cell>
          <cell r="G470">
            <v>2.7770000000000001</v>
          </cell>
          <cell r="H470">
            <v>7.74</v>
          </cell>
          <cell r="I470">
            <v>60</v>
          </cell>
          <cell r="J470">
            <v>10</v>
          </cell>
          <cell r="K470">
            <v>4.5</v>
          </cell>
          <cell r="L470">
            <v>1.3</v>
          </cell>
          <cell r="M470">
            <v>44</v>
          </cell>
          <cell r="N470">
            <v>49.8</v>
          </cell>
          <cell r="O470">
            <v>43</v>
          </cell>
          <cell r="P470">
            <v>96</v>
          </cell>
          <cell r="Q470">
            <v>0</v>
          </cell>
          <cell r="R470">
            <v>144</v>
          </cell>
          <cell r="S470" t="str">
            <v>*</v>
          </cell>
          <cell r="T470" t="str">
            <v>*</v>
          </cell>
        </row>
        <row r="471">
          <cell r="A471">
            <v>38415</v>
          </cell>
          <cell r="O471">
            <v>33.700000000000003</v>
          </cell>
        </row>
        <row r="472">
          <cell r="A472">
            <v>38418</v>
          </cell>
          <cell r="O472">
            <v>24.5</v>
          </cell>
        </row>
        <row r="473">
          <cell r="A473">
            <v>38420</v>
          </cell>
          <cell r="O473">
            <v>6.1</v>
          </cell>
        </row>
        <row r="474">
          <cell r="A474">
            <v>38425</v>
          </cell>
          <cell r="O474">
            <v>21.81</v>
          </cell>
        </row>
        <row r="475">
          <cell r="A475">
            <v>38427</v>
          </cell>
          <cell r="O475">
            <v>75.739999999999995</v>
          </cell>
        </row>
        <row r="476">
          <cell r="A476">
            <v>38429</v>
          </cell>
          <cell r="O476">
            <v>5.07</v>
          </cell>
        </row>
        <row r="477">
          <cell r="A477">
            <v>38432</v>
          </cell>
          <cell r="O477">
            <v>9.25</v>
          </cell>
        </row>
        <row r="478">
          <cell r="A478">
            <v>38434</v>
          </cell>
          <cell r="O478">
            <v>21.54</v>
          </cell>
        </row>
        <row r="479">
          <cell r="A479">
            <v>38439</v>
          </cell>
          <cell r="F479">
            <v>20</v>
          </cell>
          <cell r="O479">
            <v>168</v>
          </cell>
        </row>
        <row r="480">
          <cell r="A480">
            <v>38447</v>
          </cell>
          <cell r="O480">
            <v>12.4</v>
          </cell>
        </row>
        <row r="481">
          <cell r="A481">
            <v>38450</v>
          </cell>
          <cell r="O481">
            <v>11.7</v>
          </cell>
        </row>
        <row r="482">
          <cell r="A482">
            <v>38453</v>
          </cell>
          <cell r="O482">
            <v>6.6</v>
          </cell>
        </row>
        <row r="483">
          <cell r="A483">
            <v>38455</v>
          </cell>
          <cell r="O483">
            <v>15.6</v>
          </cell>
        </row>
        <row r="484">
          <cell r="A484">
            <v>38456</v>
          </cell>
          <cell r="B484">
            <v>12</v>
          </cell>
          <cell r="C484">
            <v>0.36</v>
          </cell>
          <cell r="D484">
            <v>3</v>
          </cell>
          <cell r="E484">
            <v>6</v>
          </cell>
          <cell r="F484">
            <v>30</v>
          </cell>
          <cell r="G484">
            <v>2.6579999999999999</v>
          </cell>
          <cell r="H484">
            <v>7.68</v>
          </cell>
          <cell r="I484">
            <v>56</v>
          </cell>
          <cell r="J484">
            <v>100</v>
          </cell>
          <cell r="K484">
            <v>2.4</v>
          </cell>
          <cell r="L484">
            <v>0.3</v>
          </cell>
          <cell r="M484">
            <v>12.4</v>
          </cell>
          <cell r="N484">
            <v>15.1</v>
          </cell>
          <cell r="O484">
            <v>15</v>
          </cell>
          <cell r="P484">
            <v>102</v>
          </cell>
          <cell r="Q484">
            <v>0</v>
          </cell>
          <cell r="R484">
            <v>154</v>
          </cell>
          <cell r="S484" t="str">
            <v>*</v>
          </cell>
          <cell r="T484" t="str">
            <v>*</v>
          </cell>
        </row>
        <row r="485">
          <cell r="A485">
            <v>38460</v>
          </cell>
          <cell r="O485">
            <v>13.53</v>
          </cell>
        </row>
        <row r="486">
          <cell r="A486">
            <v>38461</v>
          </cell>
          <cell r="O486">
            <v>17.239999999999998</v>
          </cell>
        </row>
        <row r="487">
          <cell r="A487">
            <v>38462</v>
          </cell>
          <cell r="O487">
            <v>8.7200000000000006</v>
          </cell>
          <cell r="U487" t="str">
            <v>Lab. C.D. 40.92</v>
          </cell>
        </row>
        <row r="488">
          <cell r="A488">
            <v>38463</v>
          </cell>
          <cell r="O488">
            <v>11.71</v>
          </cell>
        </row>
        <row r="489">
          <cell r="A489">
            <v>38464</v>
          </cell>
          <cell r="O489">
            <v>4.29</v>
          </cell>
        </row>
        <row r="490">
          <cell r="A490">
            <v>38467</v>
          </cell>
          <cell r="O490">
            <v>24.1</v>
          </cell>
          <cell r="U490" t="str">
            <v>otra muestra con 6.8ppm de Hc</v>
          </cell>
        </row>
        <row r="491">
          <cell r="A491">
            <v>38468</v>
          </cell>
          <cell r="O491">
            <v>32.700000000000003</v>
          </cell>
        </row>
        <row r="492">
          <cell r="A492">
            <v>38470</v>
          </cell>
          <cell r="O492">
            <v>11</v>
          </cell>
        </row>
        <row r="493">
          <cell r="A493">
            <v>38471</v>
          </cell>
          <cell r="O493">
            <v>10</v>
          </cell>
        </row>
        <row r="494">
          <cell r="A494">
            <v>38476</v>
          </cell>
          <cell r="O494">
            <v>29</v>
          </cell>
        </row>
        <row r="495">
          <cell r="A495">
            <v>38478</v>
          </cell>
          <cell r="O495">
            <v>48.5</v>
          </cell>
          <cell r="U495" t="str">
            <v>otra muestra con 31.8ppm de Hc</v>
          </cell>
        </row>
        <row r="496">
          <cell r="A496">
            <v>38481</v>
          </cell>
          <cell r="O496">
            <v>20.399999999999999</v>
          </cell>
        </row>
        <row r="497">
          <cell r="A497">
            <v>38483</v>
          </cell>
          <cell r="O497">
            <v>26.2</v>
          </cell>
        </row>
        <row r="498">
          <cell r="A498">
            <v>38485</v>
          </cell>
          <cell r="B498">
            <v>25</v>
          </cell>
          <cell r="C498">
            <v>0.26</v>
          </cell>
          <cell r="D498">
            <v>3</v>
          </cell>
          <cell r="E498">
            <v>9</v>
          </cell>
          <cell r="F498">
            <v>18</v>
          </cell>
          <cell r="G498">
            <v>2.5630000000000002</v>
          </cell>
          <cell r="H498">
            <v>7.86</v>
          </cell>
          <cell r="I498">
            <v>65</v>
          </cell>
          <cell r="J498">
            <v>100</v>
          </cell>
          <cell r="K498">
            <v>2.8</v>
          </cell>
          <cell r="L498">
            <v>0.2</v>
          </cell>
          <cell r="M498">
            <v>14.7</v>
          </cell>
          <cell r="N498">
            <v>17.7</v>
          </cell>
          <cell r="O498">
            <v>19</v>
          </cell>
          <cell r="P498">
            <v>112</v>
          </cell>
          <cell r="Q498">
            <v>12</v>
          </cell>
          <cell r="R498">
            <v>149</v>
          </cell>
          <cell r="S498" t="str">
            <v>*</v>
          </cell>
          <cell r="T498" t="str">
            <v>*</v>
          </cell>
          <cell r="U498" t="str">
            <v>otra muestra con 19.1ppm de Hc</v>
          </cell>
        </row>
        <row r="499">
          <cell r="A499">
            <v>38495</v>
          </cell>
          <cell r="O499">
            <v>32.85</v>
          </cell>
        </row>
        <row r="500">
          <cell r="A500">
            <v>38498</v>
          </cell>
          <cell r="O500">
            <v>20.47</v>
          </cell>
        </row>
        <row r="501">
          <cell r="A501">
            <v>38502</v>
          </cell>
          <cell r="O501">
            <v>14.4</v>
          </cell>
        </row>
        <row r="502">
          <cell r="A502">
            <v>38506</v>
          </cell>
          <cell r="O502">
            <v>8.18</v>
          </cell>
        </row>
      </sheetData>
      <sheetData sheetId="10"/>
      <sheetData sheetId="11"/>
      <sheetData sheetId="12"/>
      <sheetData sheetId="13"/>
      <sheetData sheetId="14"/>
      <sheetData sheetId="15" refreshError="1"/>
      <sheetData sheetId="16" refreshError="1"/>
      <sheetData sheetId="17" refreshError="1"/>
      <sheetData sheetId="18"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ima Medicion"/>
      <sheetName val="Sda. F.W.( Pta. Nueva) "/>
      <sheetName val="Sda. API (Pta. Nueva)B.C. "/>
      <sheetName val="Eda API Planta Vieja  "/>
      <sheetName val="Sda API Planta Vieja"/>
      <sheetName val="Metas"/>
      <sheetName val="Pileta Revestida"/>
      <sheetName val="Entrada Tk Bafle"/>
      <sheetName val="Salida Tk Bafle"/>
      <sheetName val="Impulsion Bomba Inyectora"/>
      <sheetName val="Datos Graficos"/>
      <sheetName val="Plano"/>
      <sheetName val="Graficos Bba Inyeccion"/>
      <sheetName val="Historico"/>
      <sheetName val="Costos"/>
      <sheetName val="Sda. API (Pta. Nueva) "/>
      <sheetName val="Entrada API"/>
      <sheetName val="Salida API"/>
      <sheetName val="Planta de Inyeccion - Cerro Dra"/>
    </sheetNames>
    <sheetDataSet>
      <sheetData sheetId="0">
        <row r="2">
          <cell r="V2">
            <v>10</v>
          </cell>
          <cell r="W2">
            <v>1</v>
          </cell>
        </row>
        <row r="3">
          <cell r="V3">
            <v>100</v>
          </cell>
          <cell r="W3">
            <v>2</v>
          </cell>
        </row>
        <row r="4">
          <cell r="V4">
            <v>1000</v>
          </cell>
          <cell r="W4">
            <v>3</v>
          </cell>
        </row>
        <row r="5">
          <cell r="V5">
            <v>10000</v>
          </cell>
          <cell r="W5">
            <v>4</v>
          </cell>
        </row>
      </sheetData>
      <sheetData sheetId="1"/>
      <sheetData sheetId="2"/>
      <sheetData sheetId="3"/>
      <sheetData sheetId="4"/>
      <sheetData sheetId="5"/>
      <sheetData sheetId="6">
        <row r="7">
          <cell r="A7">
            <v>36854</v>
          </cell>
          <cell r="B7">
            <v>19</v>
          </cell>
          <cell r="C7">
            <v>0.9</v>
          </cell>
          <cell r="D7">
            <v>3</v>
          </cell>
          <cell r="E7">
            <v>13</v>
          </cell>
          <cell r="F7">
            <v>100</v>
          </cell>
          <cell r="G7">
            <v>2.2805017103762828</v>
          </cell>
          <cell r="H7">
            <v>7.58</v>
          </cell>
          <cell r="I7">
            <v>50</v>
          </cell>
          <cell r="J7">
            <v>1000</v>
          </cell>
          <cell r="O7">
            <v>30</v>
          </cell>
        </row>
        <row r="8">
          <cell r="A8">
            <v>36871</v>
          </cell>
          <cell r="B8">
            <v>21</v>
          </cell>
          <cell r="C8">
            <v>1.79</v>
          </cell>
          <cell r="D8">
            <v>4.9000000000000004</v>
          </cell>
          <cell r="E8">
            <v>11</v>
          </cell>
          <cell r="F8">
            <v>150</v>
          </cell>
          <cell r="G8">
            <v>2.2271714922048997</v>
          </cell>
          <cell r="H8">
            <v>7.66</v>
          </cell>
          <cell r="I8">
            <v>55</v>
          </cell>
          <cell r="J8">
            <v>1000</v>
          </cell>
          <cell r="O8">
            <v>40</v>
          </cell>
        </row>
        <row r="9">
          <cell r="A9">
            <v>36879</v>
          </cell>
          <cell r="B9">
            <v>16</v>
          </cell>
          <cell r="C9">
            <v>1.2</v>
          </cell>
          <cell r="D9">
            <v>3.6</v>
          </cell>
          <cell r="E9">
            <v>13</v>
          </cell>
          <cell r="F9">
            <v>150</v>
          </cell>
          <cell r="G9">
            <v>2.3142791020597082</v>
          </cell>
          <cell r="H9">
            <v>7.73</v>
          </cell>
          <cell r="I9">
            <v>54</v>
          </cell>
          <cell r="J9">
            <v>1000</v>
          </cell>
          <cell r="O9">
            <v>45</v>
          </cell>
        </row>
        <row r="10">
          <cell r="A10">
            <v>36887</v>
          </cell>
          <cell r="B10">
            <v>36</v>
          </cell>
          <cell r="C10">
            <v>0.57999999999999996</v>
          </cell>
          <cell r="D10">
            <v>5.2</v>
          </cell>
          <cell r="E10">
            <v>10</v>
          </cell>
          <cell r="F10">
            <v>100</v>
          </cell>
          <cell r="G10">
            <v>2.2522522522522523</v>
          </cell>
          <cell r="H10">
            <v>7.71</v>
          </cell>
          <cell r="I10">
            <v>55</v>
          </cell>
          <cell r="J10">
            <v>1000</v>
          </cell>
          <cell r="O10">
            <v>54</v>
          </cell>
        </row>
        <row r="11">
          <cell r="A11">
            <v>36907</v>
          </cell>
          <cell r="B11">
            <v>24</v>
          </cell>
          <cell r="C11">
            <v>0.25</v>
          </cell>
          <cell r="D11">
            <v>5</v>
          </cell>
          <cell r="E11">
            <v>12</v>
          </cell>
          <cell r="F11">
            <v>100</v>
          </cell>
          <cell r="G11">
            <v>2.197802197802198</v>
          </cell>
          <cell r="H11">
            <v>7.79</v>
          </cell>
          <cell r="I11">
            <v>58</v>
          </cell>
          <cell r="J11">
            <v>100</v>
          </cell>
          <cell r="O11">
            <v>2430</v>
          </cell>
        </row>
        <row r="12">
          <cell r="A12">
            <v>36958</v>
          </cell>
          <cell r="C12">
            <v>0.63</v>
          </cell>
          <cell r="D12">
            <v>5.3</v>
          </cell>
          <cell r="E12">
            <v>12</v>
          </cell>
          <cell r="F12">
            <v>200</v>
          </cell>
          <cell r="I12">
            <v>58</v>
          </cell>
          <cell r="J12">
            <v>100</v>
          </cell>
          <cell r="O12">
            <v>75</v>
          </cell>
        </row>
        <row r="13">
          <cell r="A13">
            <v>36984</v>
          </cell>
          <cell r="C13">
            <v>0.65</v>
          </cell>
          <cell r="D13">
            <v>2.5</v>
          </cell>
          <cell r="E13">
            <v>14</v>
          </cell>
          <cell r="F13">
            <v>150</v>
          </cell>
          <cell r="G13">
            <v>2.2271714922048997</v>
          </cell>
          <cell r="H13">
            <v>7.53</v>
          </cell>
          <cell r="I13">
            <v>58</v>
          </cell>
          <cell r="J13">
            <v>100</v>
          </cell>
          <cell r="O13">
            <v>13834</v>
          </cell>
          <cell r="P13" t="str">
            <v xml:space="preserve">se tiró oil a pileta de tierra, </v>
          </cell>
        </row>
        <row r="14">
          <cell r="A14">
            <v>37006</v>
          </cell>
          <cell r="B14">
            <v>30</v>
          </cell>
          <cell r="C14">
            <v>0.22</v>
          </cell>
          <cell r="D14">
            <v>0.6</v>
          </cell>
          <cell r="E14">
            <v>22</v>
          </cell>
          <cell r="F14">
            <v>80</v>
          </cell>
          <cell r="H14">
            <v>7.26</v>
          </cell>
          <cell r="I14">
            <v>50</v>
          </cell>
          <cell r="J14">
            <v>10</v>
          </cell>
          <cell r="O14">
            <v>86</v>
          </cell>
        </row>
        <row r="15">
          <cell r="A15">
            <v>37033</v>
          </cell>
          <cell r="B15">
            <v>22</v>
          </cell>
          <cell r="C15">
            <v>0.15</v>
          </cell>
          <cell r="D15">
            <v>2</v>
          </cell>
          <cell r="E15">
            <v>6</v>
          </cell>
          <cell r="F15">
            <v>25</v>
          </cell>
          <cell r="G15">
            <v>2.3310023310023311</v>
          </cell>
          <cell r="H15">
            <v>7.86</v>
          </cell>
          <cell r="I15">
            <v>55</v>
          </cell>
          <cell r="J15">
            <v>100</v>
          </cell>
          <cell r="O15">
            <v>74</v>
          </cell>
          <cell r="P15" t="str">
            <v xml:space="preserve">pileta con Petroleo </v>
          </cell>
        </row>
        <row r="16">
          <cell r="A16">
            <v>37062</v>
          </cell>
          <cell r="B16">
            <v>28</v>
          </cell>
          <cell r="C16">
            <v>0.15</v>
          </cell>
          <cell r="D16">
            <v>2</v>
          </cell>
          <cell r="E16">
            <v>16</v>
          </cell>
          <cell r="F16">
            <v>10</v>
          </cell>
          <cell r="G16">
            <v>2.169</v>
          </cell>
          <cell r="H16">
            <v>7.55</v>
          </cell>
          <cell r="I16">
            <v>53</v>
          </cell>
          <cell r="J16">
            <v>100</v>
          </cell>
          <cell r="O16">
            <v>179</v>
          </cell>
          <cell r="P16" t="str">
            <v xml:space="preserve">pileta con Petroleo </v>
          </cell>
        </row>
        <row r="17">
          <cell r="A17">
            <v>37089</v>
          </cell>
          <cell r="B17">
            <v>5</v>
          </cell>
          <cell r="C17">
            <v>0.1</v>
          </cell>
          <cell r="D17">
            <v>4</v>
          </cell>
          <cell r="E17">
            <v>26</v>
          </cell>
          <cell r="F17">
            <v>20</v>
          </cell>
          <cell r="G17">
            <v>2.2669999999999999</v>
          </cell>
          <cell r="H17">
            <v>7.63</v>
          </cell>
          <cell r="I17">
            <v>48</v>
          </cell>
          <cell r="J17">
            <v>100</v>
          </cell>
          <cell r="O17">
            <v>360</v>
          </cell>
          <cell r="P17" t="str">
            <v xml:space="preserve">pileta con Petroleo </v>
          </cell>
        </row>
        <row r="18">
          <cell r="A18">
            <v>37144</v>
          </cell>
          <cell r="B18">
            <v>17</v>
          </cell>
          <cell r="C18">
            <v>0.2</v>
          </cell>
          <cell r="D18">
            <v>2</v>
          </cell>
          <cell r="E18">
            <v>11</v>
          </cell>
          <cell r="F18">
            <v>10</v>
          </cell>
          <cell r="G18">
            <v>2.2719999999999998</v>
          </cell>
          <cell r="H18">
            <v>7.82</v>
          </cell>
          <cell r="I18">
            <v>51</v>
          </cell>
          <cell r="J18">
            <v>100</v>
          </cell>
          <cell r="O18">
            <v>126</v>
          </cell>
          <cell r="P18" t="str">
            <v>Fecha de lect.Bact. 27/08/2001</v>
          </cell>
        </row>
        <row r="19">
          <cell r="A19">
            <v>37173</v>
          </cell>
          <cell r="B19">
            <v>22</v>
          </cell>
          <cell r="C19">
            <v>0.3</v>
          </cell>
          <cell r="D19">
            <v>3.5</v>
          </cell>
          <cell r="E19">
            <v>11</v>
          </cell>
          <cell r="F19">
            <v>8</v>
          </cell>
          <cell r="G19">
            <v>2.347</v>
          </cell>
          <cell r="H19">
            <v>8.3699999999999992</v>
          </cell>
          <cell r="I19">
            <v>53</v>
          </cell>
          <cell r="J19">
            <v>100</v>
          </cell>
          <cell r="O19">
            <v>83</v>
          </cell>
        </row>
        <row r="20">
          <cell r="A20">
            <v>37203</v>
          </cell>
          <cell r="B20">
            <v>27</v>
          </cell>
          <cell r="C20">
            <v>0.3</v>
          </cell>
          <cell r="D20">
            <v>2.5</v>
          </cell>
          <cell r="E20">
            <v>13</v>
          </cell>
          <cell r="F20">
            <v>150</v>
          </cell>
          <cell r="G20">
            <v>2.2883</v>
          </cell>
          <cell r="H20">
            <v>7.7</v>
          </cell>
          <cell r="I20">
            <v>58</v>
          </cell>
          <cell r="J20">
            <v>100</v>
          </cell>
          <cell r="O20">
            <v>99</v>
          </cell>
          <cell r="P20" t="str">
            <v xml:space="preserve">se tiró oil a pileta de tierra, </v>
          </cell>
        </row>
        <row r="21">
          <cell r="A21">
            <v>37229</v>
          </cell>
          <cell r="B21">
            <v>21</v>
          </cell>
          <cell r="C21">
            <v>0.1</v>
          </cell>
          <cell r="D21">
            <v>3</v>
          </cell>
          <cell r="E21">
            <v>12</v>
          </cell>
          <cell r="F21">
            <v>800</v>
          </cell>
          <cell r="G21">
            <v>2.415</v>
          </cell>
          <cell r="H21">
            <v>6.5</v>
          </cell>
          <cell r="I21">
            <v>56</v>
          </cell>
          <cell r="J21">
            <v>100</v>
          </cell>
          <cell r="O21">
            <v>73</v>
          </cell>
          <cell r="P21" t="str">
            <v>Lect.Bact.8/11/01</v>
          </cell>
        </row>
        <row r="22">
          <cell r="A22">
            <v>37265</v>
          </cell>
          <cell r="B22">
            <v>27</v>
          </cell>
          <cell r="C22">
            <v>0.35</v>
          </cell>
          <cell r="D22">
            <v>1.5</v>
          </cell>
          <cell r="E22">
            <v>5</v>
          </cell>
          <cell r="F22">
            <v>400</v>
          </cell>
          <cell r="G22">
            <v>2.3363999999999998</v>
          </cell>
          <cell r="H22">
            <v>7.1</v>
          </cell>
          <cell r="I22">
            <v>43</v>
          </cell>
          <cell r="J22">
            <v>100</v>
          </cell>
          <cell r="O22">
            <v>44</v>
          </cell>
          <cell r="P22" t="str">
            <v>Lect.Bact.8/11/01</v>
          </cell>
        </row>
        <row r="23">
          <cell r="A23">
            <v>37288</v>
          </cell>
          <cell r="B23">
            <v>13</v>
          </cell>
          <cell r="C23">
            <v>0.15</v>
          </cell>
          <cell r="D23">
            <v>0.1</v>
          </cell>
          <cell r="E23">
            <v>10</v>
          </cell>
          <cell r="F23">
            <v>100</v>
          </cell>
          <cell r="G23">
            <v>2.4049999999999998</v>
          </cell>
          <cell r="H23">
            <v>7.2</v>
          </cell>
          <cell r="I23">
            <v>74</v>
          </cell>
          <cell r="J23">
            <v>100</v>
          </cell>
          <cell r="O23">
            <v>94</v>
          </cell>
        </row>
        <row r="24">
          <cell r="A24">
            <v>37328</v>
          </cell>
          <cell r="B24">
            <v>9</v>
          </cell>
          <cell r="C24">
            <v>0.1</v>
          </cell>
          <cell r="D24">
            <v>3</v>
          </cell>
          <cell r="E24">
            <v>10</v>
          </cell>
          <cell r="F24">
            <v>10</v>
          </cell>
          <cell r="G24">
            <v>2.3363999999999998</v>
          </cell>
          <cell r="H24">
            <v>7.3</v>
          </cell>
          <cell r="I24">
            <v>54</v>
          </cell>
          <cell r="J24">
            <v>100</v>
          </cell>
          <cell r="O24">
            <v>51</v>
          </cell>
        </row>
        <row r="25">
          <cell r="A25">
            <v>37361</v>
          </cell>
          <cell r="B25">
            <v>12</v>
          </cell>
          <cell r="C25">
            <v>0.1</v>
          </cell>
          <cell r="D25">
            <v>3.5</v>
          </cell>
          <cell r="E25">
            <v>10</v>
          </cell>
          <cell r="F25">
            <v>8</v>
          </cell>
          <cell r="G25">
            <v>2.4508999999999999</v>
          </cell>
          <cell r="H25">
            <v>7.4</v>
          </cell>
          <cell r="I25">
            <v>53</v>
          </cell>
          <cell r="J25">
            <v>1000</v>
          </cell>
          <cell r="O25">
            <v>158</v>
          </cell>
        </row>
        <row r="26">
          <cell r="A26">
            <v>37410</v>
          </cell>
          <cell r="B26">
            <v>13</v>
          </cell>
          <cell r="C26">
            <v>0.15</v>
          </cell>
          <cell r="D26">
            <v>3.5</v>
          </cell>
          <cell r="E26">
            <v>10</v>
          </cell>
          <cell r="F26">
            <v>80</v>
          </cell>
          <cell r="G26">
            <v>2.4937</v>
          </cell>
          <cell r="H26">
            <v>7.1</v>
          </cell>
          <cell r="I26">
            <v>41</v>
          </cell>
          <cell r="J26">
            <v>1000</v>
          </cell>
          <cell r="O26">
            <v>272</v>
          </cell>
        </row>
        <row r="27">
          <cell r="A27">
            <v>37440</v>
          </cell>
          <cell r="B27">
            <v>18</v>
          </cell>
          <cell r="C27">
            <v>0.6</v>
          </cell>
          <cell r="D27">
            <v>1</v>
          </cell>
          <cell r="E27">
            <v>11</v>
          </cell>
          <cell r="F27">
            <v>8</v>
          </cell>
          <cell r="G27">
            <v>2.6315</v>
          </cell>
          <cell r="H27">
            <v>7.1</v>
          </cell>
          <cell r="I27">
            <v>52</v>
          </cell>
          <cell r="J27">
            <v>100</v>
          </cell>
          <cell r="O27">
            <v>106</v>
          </cell>
        </row>
        <row r="28">
          <cell r="A28">
            <v>37470</v>
          </cell>
          <cell r="B28">
            <v>16</v>
          </cell>
          <cell r="C28">
            <v>0.4</v>
          </cell>
          <cell r="D28">
            <v>1</v>
          </cell>
          <cell r="E28">
            <v>14</v>
          </cell>
          <cell r="F28">
            <v>100</v>
          </cell>
          <cell r="G28">
            <v>2.5906699999999998</v>
          </cell>
          <cell r="H28">
            <v>7.3</v>
          </cell>
          <cell r="I28">
            <v>54</v>
          </cell>
          <cell r="J28">
            <v>10000</v>
          </cell>
          <cell r="O28">
            <v>214</v>
          </cell>
        </row>
        <row r="29">
          <cell r="A29">
            <v>37505</v>
          </cell>
          <cell r="B29">
            <v>9</v>
          </cell>
          <cell r="C29">
            <v>0.4</v>
          </cell>
          <cell r="D29">
            <v>2</v>
          </cell>
          <cell r="E29">
            <v>12</v>
          </cell>
          <cell r="F29">
            <v>40</v>
          </cell>
          <cell r="G29">
            <v>2.6595569999999999</v>
          </cell>
          <cell r="H29">
            <v>7</v>
          </cell>
          <cell r="I29">
            <v>50</v>
          </cell>
          <cell r="J29">
            <v>100</v>
          </cell>
          <cell r="O29">
            <v>128</v>
          </cell>
        </row>
        <row r="30">
          <cell r="A30">
            <v>37538</v>
          </cell>
          <cell r="B30">
            <v>7</v>
          </cell>
          <cell r="C30">
            <v>0.4</v>
          </cell>
          <cell r="D30">
            <v>3</v>
          </cell>
          <cell r="E30">
            <v>13</v>
          </cell>
          <cell r="F30">
            <v>150</v>
          </cell>
          <cell r="G30">
            <v>2.7776999999999998</v>
          </cell>
          <cell r="H30">
            <v>7</v>
          </cell>
          <cell r="I30">
            <v>54</v>
          </cell>
          <cell r="J30">
            <v>1000</v>
          </cell>
          <cell r="O30">
            <v>80</v>
          </cell>
        </row>
        <row r="31">
          <cell r="A31">
            <v>37572</v>
          </cell>
          <cell r="B31">
            <v>5</v>
          </cell>
          <cell r="C31">
            <v>0.12</v>
          </cell>
          <cell r="D31">
            <v>1</v>
          </cell>
          <cell r="E31">
            <v>10</v>
          </cell>
          <cell r="F31">
            <v>30</v>
          </cell>
          <cell r="G31">
            <v>2.7855099999999999</v>
          </cell>
          <cell r="H31">
            <v>6.7</v>
          </cell>
          <cell r="I31">
            <v>56</v>
          </cell>
          <cell r="J31">
            <v>100</v>
          </cell>
          <cell r="O31">
            <v>74</v>
          </cell>
        </row>
        <row r="32">
          <cell r="A32">
            <v>37595</v>
          </cell>
          <cell r="B32">
            <v>19</v>
          </cell>
          <cell r="C32">
            <v>1.6</v>
          </cell>
          <cell r="D32">
            <v>1</v>
          </cell>
          <cell r="E32">
            <v>10</v>
          </cell>
          <cell r="F32">
            <v>60</v>
          </cell>
          <cell r="G32">
            <v>2.8248500000000001</v>
          </cell>
          <cell r="H32">
            <v>7</v>
          </cell>
          <cell r="I32">
            <v>57</v>
          </cell>
          <cell r="J32">
            <v>1000</v>
          </cell>
        </row>
        <row r="33">
          <cell r="A33">
            <v>37635</v>
          </cell>
          <cell r="B33">
            <v>14</v>
          </cell>
          <cell r="C33">
            <v>0.19</v>
          </cell>
          <cell r="D33">
            <v>4</v>
          </cell>
          <cell r="E33">
            <v>9</v>
          </cell>
          <cell r="F33">
            <v>80</v>
          </cell>
          <cell r="G33">
            <v>2.5640999999999998</v>
          </cell>
          <cell r="H33">
            <v>7.81</v>
          </cell>
          <cell r="I33">
            <v>57</v>
          </cell>
          <cell r="J33">
            <v>1000</v>
          </cell>
          <cell r="O33">
            <v>208</v>
          </cell>
        </row>
        <row r="34">
          <cell r="A34">
            <v>37658</v>
          </cell>
          <cell r="B34">
            <v>10</v>
          </cell>
          <cell r="C34">
            <v>0.24</v>
          </cell>
          <cell r="D34">
            <v>3</v>
          </cell>
          <cell r="E34">
            <v>10</v>
          </cell>
          <cell r="F34">
            <v>4</v>
          </cell>
          <cell r="G34">
            <v>2.5838999999999999</v>
          </cell>
          <cell r="H34">
            <v>7.6</v>
          </cell>
          <cell r="I34">
            <v>52</v>
          </cell>
          <cell r="J34">
            <v>100</v>
          </cell>
          <cell r="O34">
            <v>60</v>
          </cell>
        </row>
        <row r="35">
          <cell r="A35">
            <v>37705</v>
          </cell>
          <cell r="B35">
            <v>10</v>
          </cell>
          <cell r="C35">
            <v>0.2</v>
          </cell>
          <cell r="D35">
            <v>3</v>
          </cell>
          <cell r="E35">
            <v>9</v>
          </cell>
          <cell r="F35">
            <v>4</v>
          </cell>
          <cell r="G35">
            <v>2.7100200000000001</v>
          </cell>
          <cell r="H35">
            <v>7.4</v>
          </cell>
          <cell r="I35">
            <v>57</v>
          </cell>
          <cell r="J35">
            <v>1000</v>
          </cell>
          <cell r="O35">
            <v>34</v>
          </cell>
        </row>
        <row r="36">
          <cell r="A36">
            <v>37763</v>
          </cell>
          <cell r="B36">
            <v>10</v>
          </cell>
          <cell r="C36">
            <v>0.79</v>
          </cell>
          <cell r="D36">
            <v>3</v>
          </cell>
          <cell r="E36">
            <v>8</v>
          </cell>
          <cell r="F36">
            <v>60</v>
          </cell>
          <cell r="G36">
            <v>3.2258</v>
          </cell>
          <cell r="H36">
            <v>7.79</v>
          </cell>
          <cell r="I36">
            <v>54</v>
          </cell>
          <cell r="J36">
            <v>100</v>
          </cell>
          <cell r="O36">
            <v>407</v>
          </cell>
        </row>
        <row r="37">
          <cell r="A37">
            <v>37805</v>
          </cell>
          <cell r="B37">
            <v>23</v>
          </cell>
          <cell r="C37">
            <v>0.32</v>
          </cell>
          <cell r="D37">
            <v>1.5</v>
          </cell>
          <cell r="E37">
            <v>11</v>
          </cell>
          <cell r="F37">
            <v>6</v>
          </cell>
          <cell r="G37">
            <v>3.3333333333333335</v>
          </cell>
          <cell r="H37">
            <v>7.42</v>
          </cell>
          <cell r="I37">
            <v>52</v>
          </cell>
          <cell r="J37">
            <v>100</v>
          </cell>
          <cell r="O37">
            <v>176</v>
          </cell>
        </row>
        <row r="38">
          <cell r="A38">
            <v>37845</v>
          </cell>
          <cell r="B38">
            <v>17</v>
          </cell>
          <cell r="C38">
            <v>0.16</v>
          </cell>
          <cell r="D38">
            <v>3</v>
          </cell>
          <cell r="E38">
            <v>25</v>
          </cell>
          <cell r="F38">
            <v>2</v>
          </cell>
          <cell r="G38">
            <v>3.1539999999999999</v>
          </cell>
          <cell r="H38">
            <v>7.26</v>
          </cell>
          <cell r="I38">
            <v>67</v>
          </cell>
          <cell r="J38">
            <v>10</v>
          </cell>
          <cell r="O38">
            <v>14</v>
          </cell>
        </row>
        <row r="39">
          <cell r="A39">
            <v>37917</v>
          </cell>
          <cell r="B39">
            <v>14</v>
          </cell>
          <cell r="C39">
            <v>0.1</v>
          </cell>
          <cell r="D39">
            <v>3</v>
          </cell>
          <cell r="E39">
            <v>6</v>
          </cell>
          <cell r="F39">
            <v>8</v>
          </cell>
          <cell r="G39">
            <v>2.4649999999999999</v>
          </cell>
          <cell r="H39">
            <v>7.4</v>
          </cell>
          <cell r="I39">
            <v>55</v>
          </cell>
          <cell r="J39">
            <v>100</v>
          </cell>
          <cell r="O39">
            <v>172</v>
          </cell>
        </row>
        <row r="40">
          <cell r="A40">
            <v>38044</v>
          </cell>
          <cell r="J40">
            <v>100</v>
          </cell>
        </row>
        <row r="41">
          <cell r="A41">
            <v>38083</v>
          </cell>
          <cell r="J41">
            <v>100</v>
          </cell>
        </row>
        <row r="42">
          <cell r="A42">
            <v>38089</v>
          </cell>
          <cell r="J42">
            <v>100</v>
          </cell>
        </row>
        <row r="43">
          <cell r="A43">
            <v>38094</v>
          </cell>
          <cell r="B43">
            <v>15</v>
          </cell>
          <cell r="C43">
            <v>0.41</v>
          </cell>
          <cell r="D43">
            <v>8.4</v>
          </cell>
          <cell r="E43">
            <v>6</v>
          </cell>
          <cell r="F43">
            <v>200</v>
          </cell>
          <cell r="G43">
            <v>2.0750000000000002</v>
          </cell>
          <cell r="H43">
            <v>7.6</v>
          </cell>
          <cell r="I43">
            <v>54</v>
          </cell>
          <cell r="J43">
            <v>10</v>
          </cell>
          <cell r="O43">
            <v>30</v>
          </cell>
        </row>
        <row r="44">
          <cell r="A44">
            <v>38111</v>
          </cell>
          <cell r="J44">
            <v>100</v>
          </cell>
        </row>
        <row r="45">
          <cell r="A45">
            <v>38127</v>
          </cell>
          <cell r="B45">
            <v>12</v>
          </cell>
          <cell r="C45">
            <v>0.57999999999999996</v>
          </cell>
          <cell r="D45">
            <v>5</v>
          </cell>
          <cell r="E45">
            <v>8</v>
          </cell>
          <cell r="F45">
            <v>100</v>
          </cell>
          <cell r="G45">
            <v>2.0569999999999999</v>
          </cell>
          <cell r="H45">
            <v>7.7</v>
          </cell>
          <cell r="I45">
            <v>58</v>
          </cell>
          <cell r="J45">
            <v>100</v>
          </cell>
          <cell r="O45">
            <v>304</v>
          </cell>
        </row>
        <row r="46">
          <cell r="A46">
            <v>38218</v>
          </cell>
          <cell r="B46">
            <v>13</v>
          </cell>
          <cell r="C46">
            <v>0.7</v>
          </cell>
          <cell r="D46">
            <v>3</v>
          </cell>
          <cell r="E46">
            <v>11</v>
          </cell>
          <cell r="F46">
            <v>50</v>
          </cell>
          <cell r="G46">
            <v>2.1644999999999999</v>
          </cell>
          <cell r="H46">
            <v>7.2</v>
          </cell>
          <cell r="I46">
            <v>58</v>
          </cell>
          <cell r="J46">
            <v>10000</v>
          </cell>
          <cell r="O46">
            <v>51</v>
          </cell>
        </row>
        <row r="47">
          <cell r="A47">
            <v>38267</v>
          </cell>
          <cell r="D47">
            <v>4</v>
          </cell>
          <cell r="E47">
            <v>11</v>
          </cell>
          <cell r="F47">
            <v>10</v>
          </cell>
          <cell r="H47">
            <v>7.3</v>
          </cell>
          <cell r="I47">
            <v>52</v>
          </cell>
          <cell r="J47">
            <v>100</v>
          </cell>
          <cell r="O47">
            <v>36</v>
          </cell>
        </row>
        <row r="48">
          <cell r="A48">
            <v>38280</v>
          </cell>
          <cell r="J48">
            <v>1000</v>
          </cell>
        </row>
        <row r="49">
          <cell r="A49">
            <v>38301</v>
          </cell>
          <cell r="D49">
            <v>3</v>
          </cell>
          <cell r="E49">
            <v>8</v>
          </cell>
          <cell r="F49">
            <v>40</v>
          </cell>
          <cell r="H49">
            <v>7.74</v>
          </cell>
          <cell r="I49">
            <v>58</v>
          </cell>
          <cell r="J49">
            <v>100</v>
          </cell>
          <cell r="O49">
            <v>50</v>
          </cell>
        </row>
        <row r="50">
          <cell r="A50">
            <v>38331</v>
          </cell>
          <cell r="D50">
            <v>4</v>
          </cell>
          <cell r="E50">
            <v>5</v>
          </cell>
          <cell r="F50">
            <v>10</v>
          </cell>
          <cell r="H50">
            <v>7.56</v>
          </cell>
          <cell r="I50">
            <v>59</v>
          </cell>
          <cell r="J50">
            <v>10</v>
          </cell>
          <cell r="O50">
            <v>126</v>
          </cell>
        </row>
        <row r="51">
          <cell r="A51">
            <v>38376</v>
          </cell>
          <cell r="B51">
            <v>19</v>
          </cell>
          <cell r="C51">
            <v>0.35</v>
          </cell>
          <cell r="D51">
            <v>4</v>
          </cell>
          <cell r="E51">
            <v>8</v>
          </cell>
          <cell r="F51">
            <v>60</v>
          </cell>
          <cell r="G51">
            <v>2.6522999999999999</v>
          </cell>
          <cell r="H51">
            <v>7.85</v>
          </cell>
          <cell r="I51">
            <v>59</v>
          </cell>
          <cell r="J51">
            <v>100</v>
          </cell>
          <cell r="O51">
            <v>406</v>
          </cell>
        </row>
        <row r="52">
          <cell r="A52">
            <v>38401</v>
          </cell>
          <cell r="B52">
            <v>6</v>
          </cell>
          <cell r="C52">
            <v>0.16</v>
          </cell>
          <cell r="D52">
            <v>4</v>
          </cell>
          <cell r="E52">
            <v>8</v>
          </cell>
          <cell r="F52">
            <v>30</v>
          </cell>
          <cell r="G52">
            <v>2.8010999999999999</v>
          </cell>
          <cell r="H52">
            <v>7.84</v>
          </cell>
          <cell r="I52">
            <v>61</v>
          </cell>
          <cell r="J52">
            <v>100</v>
          </cell>
          <cell r="O52">
            <v>101</v>
          </cell>
        </row>
        <row r="53">
          <cell r="A53">
            <v>38414</v>
          </cell>
          <cell r="B53">
            <v>15</v>
          </cell>
          <cell r="C53">
            <v>0.05</v>
          </cell>
          <cell r="D53">
            <v>3</v>
          </cell>
          <cell r="E53">
            <v>7</v>
          </cell>
          <cell r="F53">
            <v>40</v>
          </cell>
          <cell r="G53">
            <v>2.7172999999999998</v>
          </cell>
          <cell r="H53">
            <v>7.64</v>
          </cell>
          <cell r="I53">
            <v>62</v>
          </cell>
          <cell r="J53">
            <v>10</v>
          </cell>
          <cell r="O53">
            <v>288</v>
          </cell>
        </row>
        <row r="54">
          <cell r="A54">
            <v>38456</v>
          </cell>
          <cell r="D54">
            <v>5</v>
          </cell>
          <cell r="E54">
            <v>9</v>
          </cell>
          <cell r="F54">
            <v>20</v>
          </cell>
          <cell r="H54">
            <v>7.78</v>
          </cell>
          <cell r="I54">
            <v>53</v>
          </cell>
          <cell r="J54">
            <v>1000</v>
          </cell>
          <cell r="O54">
            <v>17</v>
          </cell>
        </row>
      </sheetData>
      <sheetData sheetId="7">
        <row r="7">
          <cell r="A7">
            <v>36854</v>
          </cell>
          <cell r="B7">
            <v>22</v>
          </cell>
          <cell r="C7">
            <v>0.32</v>
          </cell>
          <cell r="D7">
            <v>2.8</v>
          </cell>
          <cell r="E7">
            <v>12</v>
          </cell>
          <cell r="F7">
            <v>0</v>
          </cell>
          <cell r="G7">
            <v>2.1891418563922942</v>
          </cell>
          <cell r="H7">
            <v>7.64</v>
          </cell>
          <cell r="I7">
            <v>56</v>
          </cell>
          <cell r="J7">
            <v>1000</v>
          </cell>
          <cell r="O7">
            <v>44</v>
          </cell>
        </row>
        <row r="8">
          <cell r="A8">
            <v>36871</v>
          </cell>
          <cell r="B8">
            <v>23</v>
          </cell>
          <cell r="C8">
            <v>0.49</v>
          </cell>
          <cell r="D8">
            <v>3.2</v>
          </cell>
          <cell r="E8">
            <v>13</v>
          </cell>
          <cell r="F8">
            <v>0.05</v>
          </cell>
          <cell r="G8">
            <v>2.2123893805309733</v>
          </cell>
          <cell r="H8">
            <v>7.71</v>
          </cell>
          <cell r="I8">
            <v>56</v>
          </cell>
          <cell r="J8">
            <v>1000</v>
          </cell>
          <cell r="O8">
            <v>48</v>
          </cell>
        </row>
        <row r="9">
          <cell r="A9">
            <v>36879</v>
          </cell>
          <cell r="B9">
            <v>20</v>
          </cell>
          <cell r="C9">
            <v>0.26</v>
          </cell>
          <cell r="D9">
            <v>3.15</v>
          </cell>
          <cell r="E9">
            <v>12</v>
          </cell>
          <cell r="F9">
            <v>0</v>
          </cell>
          <cell r="G9">
            <v>2.2381378692927485</v>
          </cell>
          <cell r="H9">
            <v>7.72</v>
          </cell>
          <cell r="I9">
            <v>55</v>
          </cell>
          <cell r="J9">
            <v>1000</v>
          </cell>
          <cell r="O9">
            <v>160</v>
          </cell>
        </row>
        <row r="10">
          <cell r="A10">
            <v>36887</v>
          </cell>
          <cell r="B10">
            <v>36</v>
          </cell>
          <cell r="C10">
            <v>0.28999999999999998</v>
          </cell>
          <cell r="D10">
            <v>4.08</v>
          </cell>
          <cell r="E10">
            <v>10</v>
          </cell>
          <cell r="F10">
            <v>5.0000000000000001E-3</v>
          </cell>
          <cell r="G10">
            <v>2.192982456140351</v>
          </cell>
          <cell r="H10">
            <v>7.72</v>
          </cell>
          <cell r="I10">
            <v>53</v>
          </cell>
          <cell r="J10">
            <v>1000</v>
          </cell>
          <cell r="O10">
            <v>48</v>
          </cell>
        </row>
        <row r="11">
          <cell r="A11">
            <v>36907</v>
          </cell>
          <cell r="B11">
            <v>22</v>
          </cell>
          <cell r="C11">
            <v>0.23</v>
          </cell>
          <cell r="D11">
            <v>5</v>
          </cell>
          <cell r="E11">
            <v>8</v>
          </cell>
          <cell r="F11">
            <v>0.05</v>
          </cell>
          <cell r="G11">
            <v>2.1881838074398248</v>
          </cell>
          <cell r="H11">
            <v>7.8</v>
          </cell>
          <cell r="I11">
            <v>56</v>
          </cell>
          <cell r="J11">
            <v>100</v>
          </cell>
          <cell r="O11">
            <v>2580</v>
          </cell>
        </row>
        <row r="12">
          <cell r="A12">
            <v>36958</v>
          </cell>
          <cell r="C12">
            <v>0.5</v>
          </cell>
          <cell r="D12">
            <v>2.9</v>
          </cell>
          <cell r="E12">
            <v>10</v>
          </cell>
          <cell r="F12">
            <v>250</v>
          </cell>
          <cell r="I12">
            <v>53</v>
          </cell>
          <cell r="J12">
            <v>100</v>
          </cell>
          <cell r="O12">
            <v>74</v>
          </cell>
        </row>
        <row r="13">
          <cell r="A13">
            <v>36964</v>
          </cell>
          <cell r="O13">
            <v>141</v>
          </cell>
        </row>
        <row r="14">
          <cell r="A14">
            <v>36969</v>
          </cell>
          <cell r="O14">
            <v>69</v>
          </cell>
        </row>
        <row r="15">
          <cell r="A15">
            <v>36976</v>
          </cell>
          <cell r="O15">
            <v>212</v>
          </cell>
        </row>
        <row r="16">
          <cell r="A16">
            <v>36984</v>
          </cell>
          <cell r="C16">
            <v>0.65</v>
          </cell>
          <cell r="D16">
            <v>2</v>
          </cell>
          <cell r="E16">
            <v>12</v>
          </cell>
          <cell r="F16">
            <v>150</v>
          </cell>
          <cell r="G16">
            <v>2.1881838074398248</v>
          </cell>
          <cell r="H16">
            <v>7.56</v>
          </cell>
          <cell r="I16">
            <v>57</v>
          </cell>
          <cell r="J16">
            <v>100</v>
          </cell>
          <cell r="O16">
            <v>12030</v>
          </cell>
          <cell r="P16" t="str">
            <v>se tiró y recup. Oil de pileta</v>
          </cell>
        </row>
        <row r="17">
          <cell r="A17">
            <v>37006</v>
          </cell>
          <cell r="B17">
            <v>24</v>
          </cell>
          <cell r="C17">
            <v>0.32</v>
          </cell>
          <cell r="D17">
            <v>2.5</v>
          </cell>
          <cell r="E17">
            <v>26</v>
          </cell>
          <cell r="F17">
            <v>40</v>
          </cell>
          <cell r="H17">
            <v>7.57</v>
          </cell>
          <cell r="I17">
            <v>50</v>
          </cell>
          <cell r="J17">
            <v>100</v>
          </cell>
          <cell r="O17">
            <v>1639</v>
          </cell>
        </row>
        <row r="18">
          <cell r="A18">
            <v>37033</v>
          </cell>
          <cell r="B18">
            <v>16</v>
          </cell>
          <cell r="C18">
            <v>0.1</v>
          </cell>
          <cell r="D18">
            <v>4</v>
          </cell>
          <cell r="E18">
            <v>4</v>
          </cell>
          <cell r="F18">
            <v>500</v>
          </cell>
          <cell r="G18">
            <v>2.3310023310023311</v>
          </cell>
          <cell r="H18">
            <v>7.08</v>
          </cell>
          <cell r="I18">
            <v>54</v>
          </cell>
          <cell r="J18">
            <v>100</v>
          </cell>
          <cell r="O18">
            <v>63</v>
          </cell>
          <cell r="P18" t="str">
            <v xml:space="preserve">pileta con Petroleo </v>
          </cell>
        </row>
        <row r="19">
          <cell r="A19">
            <v>37062</v>
          </cell>
          <cell r="B19">
            <v>22</v>
          </cell>
          <cell r="C19">
            <v>0.2</v>
          </cell>
          <cell r="D19">
            <v>2.5</v>
          </cell>
          <cell r="E19">
            <v>14</v>
          </cell>
          <cell r="F19">
            <v>10</v>
          </cell>
          <cell r="G19">
            <v>2.169</v>
          </cell>
          <cell r="H19">
            <v>7.61</v>
          </cell>
          <cell r="I19">
            <v>51</v>
          </cell>
          <cell r="J19">
            <v>100</v>
          </cell>
          <cell r="O19">
            <v>317</v>
          </cell>
          <cell r="P19" t="str">
            <v xml:space="preserve">pileta con Petroleo </v>
          </cell>
        </row>
        <row r="20">
          <cell r="A20">
            <v>37089</v>
          </cell>
          <cell r="B20">
            <v>4</v>
          </cell>
          <cell r="C20">
            <v>0.1</v>
          </cell>
          <cell r="D20">
            <v>4.5</v>
          </cell>
          <cell r="E20">
            <v>24</v>
          </cell>
          <cell r="F20">
            <v>20</v>
          </cell>
          <cell r="G20">
            <v>2.2679999999999998</v>
          </cell>
          <cell r="H20">
            <v>7.66</v>
          </cell>
          <cell r="I20">
            <v>48</v>
          </cell>
          <cell r="J20">
            <v>100</v>
          </cell>
          <cell r="O20">
            <v>290</v>
          </cell>
          <cell r="P20" t="str">
            <v xml:space="preserve">pileta con Petroleo </v>
          </cell>
        </row>
        <row r="21">
          <cell r="A21">
            <v>37144</v>
          </cell>
          <cell r="B21">
            <v>15</v>
          </cell>
          <cell r="C21">
            <v>0.1</v>
          </cell>
          <cell r="D21">
            <v>2</v>
          </cell>
          <cell r="E21">
            <v>11</v>
          </cell>
          <cell r="F21">
            <v>10</v>
          </cell>
          <cell r="G21">
            <v>2.27</v>
          </cell>
          <cell r="H21">
            <v>7.8</v>
          </cell>
          <cell r="I21">
            <v>50</v>
          </cell>
          <cell r="J21">
            <v>100</v>
          </cell>
          <cell r="O21">
            <v>91</v>
          </cell>
          <cell r="P21" t="str">
            <v>Fecha de lect.Bact. 27/08/2001</v>
          </cell>
        </row>
        <row r="22">
          <cell r="A22">
            <v>37146</v>
          </cell>
          <cell r="O22">
            <v>168</v>
          </cell>
        </row>
        <row r="23">
          <cell r="A23">
            <v>37148</v>
          </cell>
          <cell r="O23">
            <v>98</v>
          </cell>
        </row>
        <row r="24">
          <cell r="A24">
            <v>37151</v>
          </cell>
          <cell r="O24">
            <v>62</v>
          </cell>
        </row>
        <row r="25">
          <cell r="A25">
            <v>37153</v>
          </cell>
          <cell r="O25">
            <v>81</v>
          </cell>
        </row>
        <row r="26">
          <cell r="A26">
            <v>37155</v>
          </cell>
          <cell r="O26">
            <v>85</v>
          </cell>
        </row>
        <row r="27">
          <cell r="A27">
            <v>37158</v>
          </cell>
          <cell r="O27">
            <v>122</v>
          </cell>
        </row>
        <row r="28">
          <cell r="A28">
            <v>37160</v>
          </cell>
          <cell r="O28">
            <v>69</v>
          </cell>
        </row>
        <row r="29">
          <cell r="A29">
            <v>37162</v>
          </cell>
          <cell r="O29">
            <v>59</v>
          </cell>
        </row>
        <row r="30">
          <cell r="A30">
            <v>37173</v>
          </cell>
          <cell r="B30">
            <v>20</v>
          </cell>
          <cell r="C30">
            <v>0.15</v>
          </cell>
          <cell r="D30">
            <v>4</v>
          </cell>
          <cell r="E30">
            <v>12</v>
          </cell>
          <cell r="F30">
            <v>8</v>
          </cell>
          <cell r="G30">
            <v>2.3359999999999999</v>
          </cell>
          <cell r="H30">
            <v>8.11</v>
          </cell>
          <cell r="I30">
            <v>52</v>
          </cell>
          <cell r="J30">
            <v>100</v>
          </cell>
          <cell r="O30">
            <v>48</v>
          </cell>
        </row>
        <row r="31">
          <cell r="A31">
            <v>37175</v>
          </cell>
          <cell r="O31">
            <v>85</v>
          </cell>
        </row>
        <row r="32">
          <cell r="A32">
            <v>37183</v>
          </cell>
          <cell r="O32">
            <v>99</v>
          </cell>
        </row>
        <row r="33">
          <cell r="A33">
            <v>37188</v>
          </cell>
          <cell r="O33">
            <v>457</v>
          </cell>
        </row>
        <row r="34">
          <cell r="A34">
            <v>37203</v>
          </cell>
          <cell r="B34">
            <v>26</v>
          </cell>
          <cell r="C34">
            <v>0.2</v>
          </cell>
          <cell r="D34">
            <v>3</v>
          </cell>
          <cell r="E34">
            <v>14</v>
          </cell>
          <cell r="F34">
            <v>100</v>
          </cell>
          <cell r="G34">
            <v>2.2726999999999999</v>
          </cell>
          <cell r="H34">
            <v>7.4</v>
          </cell>
          <cell r="I34">
            <v>55</v>
          </cell>
          <cell r="J34">
            <v>100</v>
          </cell>
          <cell r="O34">
            <v>138</v>
          </cell>
          <cell r="P34" t="str">
            <v>Fecha de Cult. 29/10</v>
          </cell>
        </row>
        <row r="35">
          <cell r="A35">
            <v>37229</v>
          </cell>
          <cell r="B35">
            <v>23</v>
          </cell>
          <cell r="C35">
            <v>0.2</v>
          </cell>
          <cell r="D35">
            <v>3</v>
          </cell>
          <cell r="E35">
            <v>12</v>
          </cell>
          <cell r="F35">
            <v>8</v>
          </cell>
          <cell r="G35">
            <v>2.4150999999999998</v>
          </cell>
          <cell r="H35">
            <v>6.7</v>
          </cell>
          <cell r="I35">
            <v>52</v>
          </cell>
          <cell r="J35">
            <v>100</v>
          </cell>
          <cell r="O35">
            <v>53</v>
          </cell>
          <cell r="P35" t="str">
            <v>Lect.Bact.8/11/01</v>
          </cell>
        </row>
        <row r="36">
          <cell r="A36">
            <v>37230</v>
          </cell>
          <cell r="M36">
            <v>19</v>
          </cell>
          <cell r="N36">
            <v>20.2</v>
          </cell>
          <cell r="P36" t="str">
            <v>Realizó BAKER</v>
          </cell>
        </row>
        <row r="37">
          <cell r="A37">
            <v>37236</v>
          </cell>
          <cell r="M37">
            <v>21.4</v>
          </cell>
          <cell r="N37">
            <v>25.1</v>
          </cell>
          <cell r="P37" t="str">
            <v>Realizó BAKER</v>
          </cell>
        </row>
        <row r="38">
          <cell r="A38">
            <v>37265</v>
          </cell>
          <cell r="B38">
            <v>29</v>
          </cell>
          <cell r="C38">
            <v>0.5</v>
          </cell>
          <cell r="D38">
            <v>1.5</v>
          </cell>
          <cell r="E38">
            <v>6</v>
          </cell>
          <cell r="F38">
            <v>60</v>
          </cell>
          <cell r="G38">
            <v>2.3094000000000001</v>
          </cell>
          <cell r="H38">
            <v>7.6</v>
          </cell>
          <cell r="I38">
            <v>41</v>
          </cell>
          <cell r="J38">
            <v>100</v>
          </cell>
          <cell r="O38">
            <v>139</v>
          </cell>
          <cell r="P38" t="str">
            <v>Lect.Bact. 8/11/01-O2med.23/01</v>
          </cell>
        </row>
        <row r="39">
          <cell r="A39">
            <v>37288</v>
          </cell>
          <cell r="B39">
            <v>18</v>
          </cell>
          <cell r="C39">
            <v>0.1</v>
          </cell>
          <cell r="D39">
            <v>1</v>
          </cell>
          <cell r="E39">
            <v>8</v>
          </cell>
          <cell r="F39">
            <v>4</v>
          </cell>
          <cell r="G39">
            <v>2.3980000000000001</v>
          </cell>
          <cell r="H39">
            <v>7.3</v>
          </cell>
          <cell r="I39">
            <v>51</v>
          </cell>
          <cell r="J39">
            <v>10</v>
          </cell>
          <cell r="O39">
            <v>59</v>
          </cell>
        </row>
        <row r="40">
          <cell r="A40">
            <v>37298</v>
          </cell>
          <cell r="O40">
            <v>40</v>
          </cell>
        </row>
        <row r="41">
          <cell r="A41">
            <v>37300</v>
          </cell>
          <cell r="O41">
            <v>36</v>
          </cell>
        </row>
        <row r="42">
          <cell r="A42">
            <v>37302</v>
          </cell>
          <cell r="O42">
            <v>44</v>
          </cell>
        </row>
        <row r="43">
          <cell r="A43">
            <v>37305</v>
          </cell>
          <cell r="O43">
            <v>40</v>
          </cell>
        </row>
        <row r="44">
          <cell r="A44">
            <v>37309</v>
          </cell>
          <cell r="O44">
            <v>24</v>
          </cell>
        </row>
        <row r="45">
          <cell r="A45">
            <v>37328</v>
          </cell>
          <cell r="B45">
            <v>13</v>
          </cell>
          <cell r="C45">
            <v>0.1</v>
          </cell>
          <cell r="D45">
            <v>5</v>
          </cell>
          <cell r="E45">
            <v>10</v>
          </cell>
          <cell r="F45">
            <v>10</v>
          </cell>
          <cell r="G45">
            <v>2.3529</v>
          </cell>
          <cell r="H45">
            <v>7.3</v>
          </cell>
          <cell r="I45">
            <v>56</v>
          </cell>
          <cell r="J45">
            <v>100</v>
          </cell>
          <cell r="O45">
            <v>50</v>
          </cell>
        </row>
        <row r="46">
          <cell r="A46">
            <v>37361</v>
          </cell>
          <cell r="B46">
            <v>13</v>
          </cell>
          <cell r="C46">
            <v>0.1</v>
          </cell>
          <cell r="D46">
            <v>4</v>
          </cell>
          <cell r="E46">
            <v>10</v>
          </cell>
          <cell r="F46">
            <v>4</v>
          </cell>
          <cell r="G46">
            <v>2.4037999999999999</v>
          </cell>
          <cell r="H46">
            <v>7.3</v>
          </cell>
          <cell r="I46">
            <v>56</v>
          </cell>
          <cell r="J46">
            <v>100</v>
          </cell>
          <cell r="O46">
            <v>136</v>
          </cell>
        </row>
        <row r="47">
          <cell r="A47">
            <v>37410</v>
          </cell>
          <cell r="B47">
            <v>12</v>
          </cell>
          <cell r="C47">
            <v>0.22</v>
          </cell>
          <cell r="D47">
            <v>4</v>
          </cell>
          <cell r="E47">
            <v>10</v>
          </cell>
          <cell r="F47">
            <v>30</v>
          </cell>
          <cell r="G47">
            <v>2.5640999999999998</v>
          </cell>
          <cell r="H47">
            <v>7.1</v>
          </cell>
          <cell r="I47">
            <v>43</v>
          </cell>
          <cell r="J47">
            <v>100</v>
          </cell>
          <cell r="O47">
            <v>240</v>
          </cell>
        </row>
        <row r="48">
          <cell r="A48">
            <v>37440</v>
          </cell>
          <cell r="B48">
            <v>19</v>
          </cell>
          <cell r="C48">
            <v>0.85</v>
          </cell>
          <cell r="D48">
            <v>0.6</v>
          </cell>
          <cell r="E48">
            <v>11</v>
          </cell>
          <cell r="F48">
            <v>60</v>
          </cell>
          <cell r="G48">
            <v>2.6109</v>
          </cell>
          <cell r="H48">
            <v>7.4</v>
          </cell>
          <cell r="I48">
            <v>52</v>
          </cell>
          <cell r="J48">
            <v>100</v>
          </cell>
          <cell r="O48">
            <v>80</v>
          </cell>
        </row>
        <row r="49">
          <cell r="A49">
            <v>37470</v>
          </cell>
          <cell r="B49">
            <v>17</v>
          </cell>
          <cell r="C49">
            <v>0.2</v>
          </cell>
          <cell r="D49">
            <v>2</v>
          </cell>
          <cell r="E49">
            <v>10</v>
          </cell>
          <cell r="F49">
            <v>200</v>
          </cell>
          <cell r="G49">
            <v>2.5938699999999999</v>
          </cell>
          <cell r="H49">
            <v>7.2</v>
          </cell>
          <cell r="I49">
            <v>53</v>
          </cell>
          <cell r="J49">
            <v>100</v>
          </cell>
          <cell r="O49">
            <v>174</v>
          </cell>
        </row>
        <row r="50">
          <cell r="A50">
            <v>37505</v>
          </cell>
          <cell r="B50">
            <v>8</v>
          </cell>
          <cell r="C50">
            <v>0.34</v>
          </cell>
          <cell r="D50">
            <v>1.5</v>
          </cell>
          <cell r="E50">
            <v>10</v>
          </cell>
          <cell r="F50">
            <v>30</v>
          </cell>
          <cell r="G50">
            <v>2.6737000000000002</v>
          </cell>
          <cell r="H50">
            <v>7</v>
          </cell>
          <cell r="I50">
            <v>50</v>
          </cell>
          <cell r="J50">
            <v>100</v>
          </cell>
          <cell r="O50">
            <v>265</v>
          </cell>
        </row>
        <row r="51">
          <cell r="A51">
            <v>37538</v>
          </cell>
          <cell r="B51">
            <v>8</v>
          </cell>
          <cell r="C51">
            <v>0.41</v>
          </cell>
          <cell r="D51">
            <v>1.2</v>
          </cell>
          <cell r="E51">
            <v>12</v>
          </cell>
          <cell r="F51">
            <v>12</v>
          </cell>
          <cell r="G51">
            <v>2.7776999999999998</v>
          </cell>
          <cell r="H51">
            <v>7.1</v>
          </cell>
          <cell r="I51">
            <v>52</v>
          </cell>
          <cell r="J51">
            <v>1000</v>
          </cell>
          <cell r="O51">
            <v>98</v>
          </cell>
        </row>
        <row r="52">
          <cell r="A52">
            <v>37567</v>
          </cell>
          <cell r="F52">
            <v>40</v>
          </cell>
        </row>
        <row r="53">
          <cell r="A53">
            <v>37572</v>
          </cell>
          <cell r="B53">
            <v>6</v>
          </cell>
          <cell r="C53">
            <v>0.14000000000000001</v>
          </cell>
          <cell r="D53">
            <v>2</v>
          </cell>
          <cell r="E53">
            <v>13</v>
          </cell>
          <cell r="F53">
            <v>40</v>
          </cell>
          <cell r="G53">
            <v>2.80898</v>
          </cell>
          <cell r="H53">
            <v>6.8</v>
          </cell>
          <cell r="I53">
            <v>53</v>
          </cell>
          <cell r="J53">
            <v>100</v>
          </cell>
          <cell r="O53">
            <v>98</v>
          </cell>
        </row>
        <row r="54">
          <cell r="A54">
            <v>37592</v>
          </cell>
          <cell r="O54">
            <v>250.6</v>
          </cell>
        </row>
        <row r="55">
          <cell r="A55">
            <v>37595</v>
          </cell>
          <cell r="B55">
            <v>10</v>
          </cell>
          <cell r="C55">
            <v>0.44</v>
          </cell>
          <cell r="D55">
            <v>0.6</v>
          </cell>
          <cell r="E55">
            <v>10</v>
          </cell>
          <cell r="F55">
            <v>16</v>
          </cell>
          <cell r="G55">
            <v>2.7547999999999999</v>
          </cell>
          <cell r="H55">
            <v>6.9</v>
          </cell>
          <cell r="I55">
            <v>53</v>
          </cell>
          <cell r="J55">
            <v>10000</v>
          </cell>
          <cell r="O55">
            <v>442</v>
          </cell>
        </row>
        <row r="56">
          <cell r="A56">
            <v>37596</v>
          </cell>
          <cell r="O56">
            <v>480</v>
          </cell>
        </row>
        <row r="57">
          <cell r="A57">
            <v>37599</v>
          </cell>
          <cell r="O57">
            <v>442.1</v>
          </cell>
        </row>
        <row r="58">
          <cell r="A58">
            <v>37601</v>
          </cell>
          <cell r="O58">
            <v>155</v>
          </cell>
        </row>
        <row r="59">
          <cell r="A59">
            <v>37606</v>
          </cell>
          <cell r="O59">
            <v>86.5</v>
          </cell>
        </row>
        <row r="60">
          <cell r="A60">
            <v>37610</v>
          </cell>
          <cell r="O60">
            <v>252.9</v>
          </cell>
        </row>
        <row r="61">
          <cell r="A61">
            <v>37613</v>
          </cell>
          <cell r="O61">
            <v>212.3</v>
          </cell>
        </row>
        <row r="62">
          <cell r="A62">
            <v>37635</v>
          </cell>
          <cell r="B62">
            <v>13</v>
          </cell>
          <cell r="C62">
            <v>0.23</v>
          </cell>
          <cell r="D62">
            <v>3</v>
          </cell>
          <cell r="E62">
            <v>8</v>
          </cell>
          <cell r="F62">
            <v>16</v>
          </cell>
          <cell r="G62">
            <v>2.5773000000000001</v>
          </cell>
          <cell r="H62">
            <v>7.76</v>
          </cell>
          <cell r="I62">
            <v>56</v>
          </cell>
          <cell r="J62">
            <v>1000</v>
          </cell>
          <cell r="O62">
            <v>274</v>
          </cell>
        </row>
        <row r="63">
          <cell r="A63">
            <v>37658</v>
          </cell>
          <cell r="B63">
            <v>10</v>
          </cell>
          <cell r="C63">
            <v>0.13</v>
          </cell>
          <cell r="D63">
            <v>4</v>
          </cell>
          <cell r="E63">
            <v>11</v>
          </cell>
          <cell r="F63">
            <v>2</v>
          </cell>
          <cell r="G63">
            <v>2.5706000000000002</v>
          </cell>
          <cell r="H63">
            <v>7.56</v>
          </cell>
          <cell r="I63">
            <v>56</v>
          </cell>
          <cell r="J63">
            <v>100</v>
          </cell>
          <cell r="O63">
            <v>65</v>
          </cell>
        </row>
        <row r="64">
          <cell r="A64">
            <v>37705</v>
          </cell>
          <cell r="B64">
            <v>13</v>
          </cell>
          <cell r="C64">
            <v>0.16</v>
          </cell>
          <cell r="D64">
            <v>2</v>
          </cell>
          <cell r="E64">
            <v>7</v>
          </cell>
          <cell r="F64">
            <v>100</v>
          </cell>
          <cell r="G64">
            <v>2.7100200000000001</v>
          </cell>
          <cell r="H64">
            <v>7.66</v>
          </cell>
          <cell r="I64">
            <v>56</v>
          </cell>
          <cell r="J64">
            <v>1000</v>
          </cell>
          <cell r="O64">
            <v>30</v>
          </cell>
        </row>
        <row r="65">
          <cell r="A65">
            <v>37748</v>
          </cell>
          <cell r="C65">
            <v>0.32</v>
          </cell>
        </row>
        <row r="66">
          <cell r="A66">
            <v>37753</v>
          </cell>
          <cell r="O66">
            <v>70</v>
          </cell>
        </row>
        <row r="67">
          <cell r="A67">
            <v>37763</v>
          </cell>
          <cell r="B67">
            <v>8</v>
          </cell>
          <cell r="C67">
            <v>0.2</v>
          </cell>
          <cell r="D67">
            <v>0.1</v>
          </cell>
          <cell r="E67">
            <v>10</v>
          </cell>
          <cell r="F67">
            <v>4</v>
          </cell>
          <cell r="G67">
            <v>3.2050999999999998</v>
          </cell>
          <cell r="H67">
            <v>7.52</v>
          </cell>
          <cell r="I67">
            <v>51</v>
          </cell>
          <cell r="J67">
            <v>100</v>
          </cell>
          <cell r="O67">
            <v>225</v>
          </cell>
        </row>
        <row r="68">
          <cell r="A68">
            <v>37764</v>
          </cell>
          <cell r="O68">
            <v>171</v>
          </cell>
        </row>
        <row r="69">
          <cell r="A69">
            <v>37769</v>
          </cell>
          <cell r="O69">
            <v>118</v>
          </cell>
        </row>
        <row r="70">
          <cell r="A70">
            <v>37771</v>
          </cell>
          <cell r="O70">
            <v>151.30000000000001</v>
          </cell>
        </row>
        <row r="71">
          <cell r="A71">
            <v>37774</v>
          </cell>
          <cell r="O71">
            <v>176</v>
          </cell>
        </row>
        <row r="72">
          <cell r="A72">
            <v>37776</v>
          </cell>
          <cell r="O72">
            <v>147</v>
          </cell>
        </row>
        <row r="73">
          <cell r="A73">
            <v>37781</v>
          </cell>
          <cell r="O73">
            <v>204</v>
          </cell>
        </row>
        <row r="74">
          <cell r="A74">
            <v>37788</v>
          </cell>
          <cell r="O74">
            <v>63.9</v>
          </cell>
        </row>
        <row r="75">
          <cell r="A75">
            <v>37799</v>
          </cell>
          <cell r="O75">
            <v>203.2</v>
          </cell>
        </row>
        <row r="76">
          <cell r="A76">
            <v>37803</v>
          </cell>
          <cell r="O76">
            <v>448.9</v>
          </cell>
        </row>
        <row r="77">
          <cell r="A77">
            <v>37805</v>
          </cell>
          <cell r="B77">
            <v>16</v>
          </cell>
          <cell r="C77">
            <v>0.36</v>
          </cell>
          <cell r="D77">
            <v>2</v>
          </cell>
          <cell r="E77">
            <v>9</v>
          </cell>
          <cell r="F77">
            <v>2</v>
          </cell>
          <cell r="G77">
            <v>3.3333333333333335</v>
          </cell>
          <cell r="H77">
            <v>7.25</v>
          </cell>
          <cell r="I77">
            <v>52</v>
          </cell>
          <cell r="J77">
            <v>100</v>
          </cell>
          <cell r="O77">
            <v>330</v>
          </cell>
        </row>
        <row r="78">
          <cell r="A78">
            <v>37806</v>
          </cell>
          <cell r="O78">
            <v>223.87</v>
          </cell>
        </row>
        <row r="79">
          <cell r="A79">
            <v>37823</v>
          </cell>
          <cell r="O79">
            <v>148.36000000000001</v>
          </cell>
        </row>
        <row r="80">
          <cell r="A80">
            <v>37827</v>
          </cell>
          <cell r="O80">
            <v>123.7</v>
          </cell>
        </row>
        <row r="81">
          <cell r="A81">
            <v>37834</v>
          </cell>
          <cell r="O81">
            <v>257.27999999999997</v>
          </cell>
        </row>
      </sheetData>
      <sheetData sheetId="8">
        <row r="7">
          <cell r="A7">
            <v>36854</v>
          </cell>
          <cell r="B7">
            <v>26</v>
          </cell>
          <cell r="C7">
            <v>0.95</v>
          </cell>
          <cell r="D7">
            <v>3</v>
          </cell>
          <cell r="E7">
            <v>16</v>
          </cell>
          <cell r="F7">
            <v>0</v>
          </cell>
          <cell r="G7">
            <v>2.2456770716370986</v>
          </cell>
          <cell r="H7">
            <v>7.58</v>
          </cell>
          <cell r="I7">
            <v>56</v>
          </cell>
          <cell r="J7">
            <v>1000</v>
          </cell>
          <cell r="O7">
            <v>43</v>
          </cell>
        </row>
        <row r="8">
          <cell r="A8">
            <v>36871</v>
          </cell>
          <cell r="B8">
            <v>27</v>
          </cell>
          <cell r="C8">
            <v>0.14000000000000001</v>
          </cell>
          <cell r="D8">
            <v>4</v>
          </cell>
          <cell r="E8">
            <v>10</v>
          </cell>
          <cell r="F8">
            <v>0</v>
          </cell>
          <cell r="G8">
            <v>2.2123893805309733</v>
          </cell>
          <cell r="H8">
            <v>7.69</v>
          </cell>
          <cell r="I8">
            <v>55</v>
          </cell>
          <cell r="J8">
            <v>1000</v>
          </cell>
          <cell r="O8">
            <v>26</v>
          </cell>
        </row>
        <row r="9">
          <cell r="A9">
            <v>36879</v>
          </cell>
          <cell r="B9">
            <v>29</v>
          </cell>
          <cell r="C9">
            <v>1.1000000000000001</v>
          </cell>
          <cell r="D9">
            <v>2.6</v>
          </cell>
          <cell r="E9">
            <v>13</v>
          </cell>
          <cell r="F9">
            <v>0</v>
          </cell>
          <cell r="G9">
            <v>2.3174971031286211</v>
          </cell>
          <cell r="H9">
            <v>7.65</v>
          </cell>
          <cell r="I9">
            <v>55</v>
          </cell>
          <cell r="J9">
            <v>1000</v>
          </cell>
          <cell r="O9">
            <v>108</v>
          </cell>
        </row>
        <row r="10">
          <cell r="A10">
            <v>36887</v>
          </cell>
          <cell r="B10">
            <v>34</v>
          </cell>
          <cell r="C10">
            <v>0.2</v>
          </cell>
          <cell r="D10">
            <v>4</v>
          </cell>
          <cell r="E10">
            <v>8</v>
          </cell>
          <cell r="F10">
            <v>0</v>
          </cell>
          <cell r="G10">
            <v>2.1786492374727668</v>
          </cell>
          <cell r="H10">
            <v>7.73</v>
          </cell>
          <cell r="I10">
            <v>53</v>
          </cell>
          <cell r="J10">
            <v>1000</v>
          </cell>
          <cell r="O10">
            <v>44</v>
          </cell>
        </row>
        <row r="11">
          <cell r="A11">
            <v>36907</v>
          </cell>
          <cell r="B11">
            <v>30</v>
          </cell>
          <cell r="C11">
            <v>0.31</v>
          </cell>
          <cell r="D11">
            <v>7</v>
          </cell>
          <cell r="E11">
            <v>14</v>
          </cell>
          <cell r="F11">
            <v>0</v>
          </cell>
          <cell r="G11">
            <v>2.1786492374727668</v>
          </cell>
          <cell r="H11">
            <v>7.84</v>
          </cell>
          <cell r="I11">
            <v>55</v>
          </cell>
          <cell r="J11">
            <v>100</v>
          </cell>
          <cell r="O11">
            <v>432</v>
          </cell>
        </row>
        <row r="12">
          <cell r="A12">
            <v>36958</v>
          </cell>
          <cell r="C12">
            <v>0.55000000000000004</v>
          </cell>
          <cell r="D12">
            <v>2.5</v>
          </cell>
          <cell r="E12">
            <v>10</v>
          </cell>
          <cell r="F12">
            <v>50</v>
          </cell>
          <cell r="I12">
            <v>52</v>
          </cell>
          <cell r="J12">
            <v>100</v>
          </cell>
          <cell r="O12">
            <v>48</v>
          </cell>
        </row>
        <row r="13">
          <cell r="A13">
            <v>36964</v>
          </cell>
          <cell r="O13">
            <v>53</v>
          </cell>
        </row>
        <row r="14">
          <cell r="A14">
            <v>36969</v>
          </cell>
          <cell r="O14">
            <v>36</v>
          </cell>
        </row>
        <row r="15">
          <cell r="A15">
            <v>36976</v>
          </cell>
          <cell r="O15">
            <v>47</v>
          </cell>
        </row>
        <row r="16">
          <cell r="A16">
            <v>36984</v>
          </cell>
          <cell r="C16">
            <v>0.7</v>
          </cell>
          <cell r="D16">
            <v>2</v>
          </cell>
          <cell r="E16">
            <v>12</v>
          </cell>
          <cell r="F16">
            <v>40</v>
          </cell>
          <cell r="G16">
            <v>2.2222222222222223</v>
          </cell>
          <cell r="H16">
            <v>7.55</v>
          </cell>
          <cell r="I16">
            <v>57</v>
          </cell>
          <cell r="J16">
            <v>100</v>
          </cell>
          <cell r="O16">
            <v>69</v>
          </cell>
        </row>
        <row r="17">
          <cell r="A17">
            <v>37006</v>
          </cell>
          <cell r="B17">
            <v>26</v>
          </cell>
          <cell r="C17">
            <v>0.26</v>
          </cell>
          <cell r="D17">
            <v>2</v>
          </cell>
          <cell r="E17">
            <v>26</v>
          </cell>
          <cell r="F17">
            <v>40</v>
          </cell>
          <cell r="H17">
            <v>7.41</v>
          </cell>
          <cell r="I17">
            <v>47</v>
          </cell>
          <cell r="J17">
            <v>100</v>
          </cell>
          <cell r="O17">
            <v>66</v>
          </cell>
        </row>
        <row r="18">
          <cell r="A18">
            <v>37033</v>
          </cell>
          <cell r="B18">
            <v>19</v>
          </cell>
          <cell r="C18">
            <v>0.1</v>
          </cell>
          <cell r="D18">
            <v>4</v>
          </cell>
          <cell r="E18">
            <v>8</v>
          </cell>
          <cell r="F18">
            <v>30</v>
          </cell>
          <cell r="G18">
            <v>2.3310023310023311</v>
          </cell>
          <cell r="H18">
            <v>7.99</v>
          </cell>
          <cell r="I18">
            <v>53</v>
          </cell>
          <cell r="J18">
            <v>100</v>
          </cell>
          <cell r="O18">
            <v>36</v>
          </cell>
        </row>
        <row r="19">
          <cell r="A19">
            <v>37062</v>
          </cell>
          <cell r="B19">
            <v>26</v>
          </cell>
          <cell r="C19">
            <v>0.1</v>
          </cell>
          <cell r="D19">
            <v>2</v>
          </cell>
          <cell r="E19">
            <v>12</v>
          </cell>
          <cell r="F19">
            <v>8</v>
          </cell>
          <cell r="G19">
            <v>2.16</v>
          </cell>
          <cell r="H19">
            <v>7.55</v>
          </cell>
          <cell r="I19">
            <v>51</v>
          </cell>
          <cell r="J19">
            <v>100</v>
          </cell>
          <cell r="O19">
            <v>110</v>
          </cell>
        </row>
        <row r="20">
          <cell r="A20">
            <v>37089</v>
          </cell>
          <cell r="B20">
            <v>4</v>
          </cell>
          <cell r="C20">
            <v>0.15</v>
          </cell>
          <cell r="D20">
            <v>4.5</v>
          </cell>
          <cell r="E20">
            <v>20</v>
          </cell>
          <cell r="F20">
            <v>15</v>
          </cell>
          <cell r="G20">
            <v>2.2599999999999998</v>
          </cell>
          <cell r="H20">
            <v>7.7</v>
          </cell>
          <cell r="I20">
            <v>47</v>
          </cell>
          <cell r="J20">
            <v>100</v>
          </cell>
          <cell r="O20">
            <v>59</v>
          </cell>
        </row>
        <row r="21">
          <cell r="A21">
            <v>37144</v>
          </cell>
          <cell r="B21">
            <v>14</v>
          </cell>
          <cell r="C21">
            <v>0.1</v>
          </cell>
          <cell r="D21">
            <v>2</v>
          </cell>
          <cell r="E21">
            <v>10</v>
          </cell>
          <cell r="F21">
            <v>8</v>
          </cell>
          <cell r="G21">
            <v>2.2679999999999998</v>
          </cell>
          <cell r="H21">
            <v>7.78</v>
          </cell>
          <cell r="I21">
            <v>47</v>
          </cell>
          <cell r="J21">
            <v>100</v>
          </cell>
          <cell r="O21">
            <v>47</v>
          </cell>
          <cell r="P21" t="str">
            <v>Fecha de lect.Bact. 27/08/2001</v>
          </cell>
        </row>
        <row r="22">
          <cell r="A22">
            <v>37146</v>
          </cell>
          <cell r="O22">
            <v>133</v>
          </cell>
        </row>
        <row r="23">
          <cell r="A23">
            <v>37148</v>
          </cell>
          <cell r="O23">
            <v>82</v>
          </cell>
        </row>
        <row r="24">
          <cell r="A24">
            <v>37151</v>
          </cell>
          <cell r="O24">
            <v>50</v>
          </cell>
        </row>
        <row r="25">
          <cell r="A25">
            <v>37153</v>
          </cell>
          <cell r="O25">
            <v>65</v>
          </cell>
        </row>
        <row r="26">
          <cell r="A26">
            <v>37155</v>
          </cell>
          <cell r="O26">
            <v>65</v>
          </cell>
        </row>
        <row r="27">
          <cell r="A27">
            <v>37158</v>
          </cell>
          <cell r="O27">
            <v>67</v>
          </cell>
        </row>
        <row r="28">
          <cell r="A28">
            <v>37160</v>
          </cell>
          <cell r="O28">
            <v>84</v>
          </cell>
        </row>
        <row r="29">
          <cell r="A29">
            <v>37162</v>
          </cell>
          <cell r="O29">
            <v>60</v>
          </cell>
        </row>
        <row r="30">
          <cell r="A30">
            <v>37173</v>
          </cell>
          <cell r="B30">
            <v>24</v>
          </cell>
          <cell r="C30">
            <v>0.6</v>
          </cell>
          <cell r="D30">
            <v>3.5</v>
          </cell>
          <cell r="E30">
            <v>11</v>
          </cell>
          <cell r="F30">
            <v>6</v>
          </cell>
          <cell r="G30">
            <v>2.3250000000000002</v>
          </cell>
          <cell r="H30">
            <v>7.86</v>
          </cell>
          <cell r="I30">
            <v>51</v>
          </cell>
          <cell r="J30">
            <v>100</v>
          </cell>
          <cell r="O30">
            <v>42</v>
          </cell>
        </row>
        <row r="31">
          <cell r="A31">
            <v>37183</v>
          </cell>
          <cell r="O31">
            <v>28</v>
          </cell>
        </row>
        <row r="32">
          <cell r="A32">
            <v>37186</v>
          </cell>
          <cell r="O32">
            <v>245</v>
          </cell>
        </row>
        <row r="33">
          <cell r="A33">
            <v>37188</v>
          </cell>
          <cell r="O33">
            <v>75</v>
          </cell>
        </row>
        <row r="34">
          <cell r="A34">
            <v>37193</v>
          </cell>
          <cell r="O34">
            <v>67</v>
          </cell>
        </row>
        <row r="35">
          <cell r="A35">
            <v>37203</v>
          </cell>
          <cell r="B35">
            <v>25</v>
          </cell>
          <cell r="C35">
            <v>0.1</v>
          </cell>
          <cell r="D35">
            <v>2.5</v>
          </cell>
          <cell r="E35">
            <v>12</v>
          </cell>
          <cell r="F35">
            <v>100</v>
          </cell>
          <cell r="G35">
            <v>2.2988</v>
          </cell>
          <cell r="H35">
            <v>7.4</v>
          </cell>
          <cell r="I35">
            <v>54</v>
          </cell>
          <cell r="J35">
            <v>100</v>
          </cell>
          <cell r="O35">
            <v>67</v>
          </cell>
          <cell r="P35" t="str">
            <v>Fecha de Cult. 29/10</v>
          </cell>
        </row>
        <row r="36">
          <cell r="A36">
            <v>37229</v>
          </cell>
          <cell r="B36">
            <v>15</v>
          </cell>
          <cell r="C36">
            <v>0.1</v>
          </cell>
          <cell r="D36">
            <v>2.5</v>
          </cell>
          <cell r="E36">
            <v>13</v>
          </cell>
          <cell r="F36">
            <v>12</v>
          </cell>
          <cell r="G36">
            <v>2.4213</v>
          </cell>
          <cell r="H36">
            <v>6.8</v>
          </cell>
          <cell r="I36">
            <v>50</v>
          </cell>
          <cell r="J36">
            <v>100</v>
          </cell>
          <cell r="O36">
            <v>31</v>
          </cell>
          <cell r="P36" t="str">
            <v>Lect.Bact. 8/11/01</v>
          </cell>
        </row>
        <row r="37">
          <cell r="A37">
            <v>37265</v>
          </cell>
          <cell r="B37">
            <v>22</v>
          </cell>
          <cell r="C37">
            <v>0.1</v>
          </cell>
          <cell r="D37">
            <v>0</v>
          </cell>
          <cell r="E37">
            <v>4</v>
          </cell>
          <cell r="F37">
            <v>60</v>
          </cell>
          <cell r="G37">
            <v>2.3148</v>
          </cell>
          <cell r="H37">
            <v>7.7</v>
          </cell>
          <cell r="I37">
            <v>41</v>
          </cell>
          <cell r="J37">
            <v>100</v>
          </cell>
          <cell r="O37">
            <v>49</v>
          </cell>
          <cell r="P37" t="str">
            <v>Lect.Bact. 8/11/01-O2med.23/01</v>
          </cell>
        </row>
        <row r="38">
          <cell r="A38">
            <v>37288</v>
          </cell>
          <cell r="B38">
            <v>13</v>
          </cell>
          <cell r="C38">
            <v>0.1</v>
          </cell>
          <cell r="D38">
            <v>0.8</v>
          </cell>
          <cell r="E38">
            <v>10</v>
          </cell>
          <cell r="F38">
            <v>6</v>
          </cell>
          <cell r="G38">
            <v>2.3650000000000002</v>
          </cell>
          <cell r="H38">
            <v>7.3</v>
          </cell>
          <cell r="I38">
            <v>49</v>
          </cell>
          <cell r="J38">
            <v>1000</v>
          </cell>
          <cell r="O38">
            <v>49</v>
          </cell>
        </row>
        <row r="39">
          <cell r="A39">
            <v>37298</v>
          </cell>
          <cell r="O39">
            <v>26</v>
          </cell>
        </row>
        <row r="40">
          <cell r="A40">
            <v>37300</v>
          </cell>
          <cell r="O40">
            <v>32</v>
          </cell>
        </row>
        <row r="41">
          <cell r="A41">
            <v>37302</v>
          </cell>
          <cell r="O41">
            <v>41</v>
          </cell>
        </row>
        <row r="42">
          <cell r="A42">
            <v>37305</v>
          </cell>
          <cell r="O42">
            <v>35</v>
          </cell>
        </row>
        <row r="43">
          <cell r="A43">
            <v>37309</v>
          </cell>
          <cell r="O43">
            <v>24</v>
          </cell>
        </row>
        <row r="44">
          <cell r="A44">
            <v>37328</v>
          </cell>
          <cell r="B44">
            <v>9</v>
          </cell>
          <cell r="C44">
            <v>0.1</v>
          </cell>
          <cell r="D44">
            <v>4.5</v>
          </cell>
          <cell r="E44">
            <v>8</v>
          </cell>
          <cell r="F44">
            <v>14</v>
          </cell>
          <cell r="G44">
            <v>2.3473999999999999</v>
          </cell>
          <cell r="H44">
            <v>7.4</v>
          </cell>
          <cell r="I44">
            <v>55</v>
          </cell>
          <cell r="J44">
            <v>100</v>
          </cell>
          <cell r="O44">
            <v>28</v>
          </cell>
        </row>
        <row r="45">
          <cell r="A45">
            <v>37361</v>
          </cell>
          <cell r="B45">
            <v>12</v>
          </cell>
          <cell r="C45">
            <v>0.1</v>
          </cell>
          <cell r="D45">
            <v>3.5</v>
          </cell>
          <cell r="E45">
            <v>10</v>
          </cell>
          <cell r="F45">
            <v>10</v>
          </cell>
          <cell r="G45">
            <v>2.4449000000000001</v>
          </cell>
          <cell r="H45">
            <v>7.4</v>
          </cell>
          <cell r="I45">
            <v>54</v>
          </cell>
          <cell r="J45">
            <v>100</v>
          </cell>
          <cell r="O45">
            <v>57</v>
          </cell>
        </row>
        <row r="46">
          <cell r="A46">
            <v>37410</v>
          </cell>
          <cell r="B46">
            <v>14</v>
          </cell>
          <cell r="C46">
            <v>0.1</v>
          </cell>
          <cell r="D46">
            <v>4</v>
          </cell>
          <cell r="E46">
            <v>11</v>
          </cell>
          <cell r="F46">
            <v>8</v>
          </cell>
          <cell r="G46">
            <v>2.5973999999999999</v>
          </cell>
          <cell r="H46">
            <v>7.1</v>
          </cell>
          <cell r="I46">
            <v>43</v>
          </cell>
          <cell r="J46">
            <v>1000</v>
          </cell>
          <cell r="O46">
            <v>40</v>
          </cell>
        </row>
        <row r="47">
          <cell r="A47">
            <v>37440</v>
          </cell>
          <cell r="B47">
            <v>18</v>
          </cell>
          <cell r="C47">
            <v>0.8</v>
          </cell>
          <cell r="D47">
            <v>0.4</v>
          </cell>
          <cell r="E47">
            <v>10</v>
          </cell>
          <cell r="F47">
            <v>60</v>
          </cell>
          <cell r="G47">
            <v>2.5909</v>
          </cell>
          <cell r="H47">
            <v>7.2</v>
          </cell>
          <cell r="I47">
            <v>52</v>
          </cell>
          <cell r="J47">
            <v>10</v>
          </cell>
          <cell r="O47">
            <v>64</v>
          </cell>
        </row>
        <row r="48">
          <cell r="A48">
            <v>37470</v>
          </cell>
          <cell r="B48">
            <v>18</v>
          </cell>
          <cell r="C48">
            <v>0.2</v>
          </cell>
          <cell r="D48">
            <v>1.5</v>
          </cell>
          <cell r="E48">
            <v>10</v>
          </cell>
          <cell r="F48">
            <v>4</v>
          </cell>
          <cell r="G48">
            <v>2.5906699999999998</v>
          </cell>
          <cell r="H48">
            <v>7.2</v>
          </cell>
          <cell r="I48">
            <v>53</v>
          </cell>
          <cell r="J48">
            <v>1000</v>
          </cell>
          <cell r="O48">
            <v>57</v>
          </cell>
        </row>
        <row r="49">
          <cell r="A49">
            <v>37505</v>
          </cell>
          <cell r="B49">
            <v>11</v>
          </cell>
          <cell r="C49">
            <v>0.38</v>
          </cell>
          <cell r="D49">
            <v>1.5</v>
          </cell>
          <cell r="E49">
            <v>11</v>
          </cell>
          <cell r="F49">
            <v>30</v>
          </cell>
          <cell r="G49">
            <v>2.6871</v>
          </cell>
          <cell r="H49">
            <v>7</v>
          </cell>
          <cell r="I49">
            <v>50</v>
          </cell>
          <cell r="J49">
            <v>100</v>
          </cell>
          <cell r="O49">
            <v>18</v>
          </cell>
        </row>
        <row r="50">
          <cell r="A50">
            <v>37538</v>
          </cell>
          <cell r="B50">
            <v>10</v>
          </cell>
          <cell r="C50">
            <v>0.57999999999999996</v>
          </cell>
          <cell r="D50">
            <v>1</v>
          </cell>
          <cell r="E50">
            <v>14</v>
          </cell>
          <cell r="F50">
            <v>14</v>
          </cell>
          <cell r="G50">
            <v>2.7776999999999998</v>
          </cell>
          <cell r="H50">
            <v>7.1</v>
          </cell>
          <cell r="I50">
            <v>51</v>
          </cell>
          <cell r="J50">
            <v>10000</v>
          </cell>
          <cell r="O50">
            <v>31</v>
          </cell>
        </row>
        <row r="51">
          <cell r="A51">
            <v>37567</v>
          </cell>
          <cell r="F51">
            <v>60</v>
          </cell>
        </row>
        <row r="52">
          <cell r="A52">
            <v>37572</v>
          </cell>
          <cell r="B52">
            <v>5</v>
          </cell>
          <cell r="C52">
            <v>0.1</v>
          </cell>
          <cell r="D52">
            <v>2.5</v>
          </cell>
          <cell r="E52">
            <v>12</v>
          </cell>
          <cell r="F52">
            <v>80</v>
          </cell>
          <cell r="G52">
            <v>2.8010999999999999</v>
          </cell>
          <cell r="H52">
            <v>7.1</v>
          </cell>
          <cell r="I52">
            <v>53</v>
          </cell>
          <cell r="J52">
            <v>1000</v>
          </cell>
          <cell r="O52">
            <v>28</v>
          </cell>
        </row>
        <row r="53">
          <cell r="A53">
            <v>37592</v>
          </cell>
          <cell r="O53">
            <v>32.6</v>
          </cell>
        </row>
        <row r="54">
          <cell r="A54">
            <v>37595</v>
          </cell>
          <cell r="B54">
            <v>10</v>
          </cell>
          <cell r="C54">
            <v>0.28999999999999998</v>
          </cell>
          <cell r="D54">
            <v>0.8</v>
          </cell>
          <cell r="E54">
            <v>12</v>
          </cell>
          <cell r="F54">
            <v>8</v>
          </cell>
          <cell r="G54">
            <v>2.7624300000000002</v>
          </cell>
          <cell r="H54">
            <v>6.9</v>
          </cell>
          <cell r="I54">
            <v>52</v>
          </cell>
          <cell r="J54">
            <v>1000</v>
          </cell>
          <cell r="O54">
            <v>46</v>
          </cell>
        </row>
        <row r="55">
          <cell r="A55">
            <v>37596</v>
          </cell>
          <cell r="O55">
            <v>89</v>
          </cell>
        </row>
        <row r="56">
          <cell r="A56">
            <v>37599</v>
          </cell>
          <cell r="O56">
            <v>45.7</v>
          </cell>
        </row>
        <row r="57">
          <cell r="A57">
            <v>37601</v>
          </cell>
          <cell r="O57">
            <v>34.799999999999997</v>
          </cell>
        </row>
        <row r="58">
          <cell r="A58">
            <v>37606</v>
          </cell>
          <cell r="O58">
            <v>67</v>
          </cell>
        </row>
        <row r="59">
          <cell r="A59">
            <v>37610</v>
          </cell>
          <cell r="O59">
            <v>30.03</v>
          </cell>
        </row>
        <row r="60">
          <cell r="A60">
            <v>37613</v>
          </cell>
          <cell r="O60">
            <v>148</v>
          </cell>
        </row>
        <row r="61">
          <cell r="A61">
            <v>37635</v>
          </cell>
          <cell r="B61">
            <v>12</v>
          </cell>
          <cell r="C61">
            <v>0.34</v>
          </cell>
          <cell r="D61">
            <v>2.5</v>
          </cell>
          <cell r="E61">
            <v>7</v>
          </cell>
          <cell r="F61">
            <v>18</v>
          </cell>
          <cell r="G61">
            <v>2.5706899999999999</v>
          </cell>
          <cell r="H61">
            <v>7.74</v>
          </cell>
          <cell r="I61">
            <v>57</v>
          </cell>
          <cell r="J61">
            <v>100</v>
          </cell>
          <cell r="O61">
            <v>16</v>
          </cell>
        </row>
        <row r="62">
          <cell r="A62">
            <v>37658</v>
          </cell>
          <cell r="B62">
            <v>11</v>
          </cell>
          <cell r="C62">
            <v>0.16</v>
          </cell>
          <cell r="D62">
            <v>4</v>
          </cell>
          <cell r="E62">
            <v>6</v>
          </cell>
          <cell r="F62">
            <v>4</v>
          </cell>
          <cell r="G62">
            <v>2.5905999999999998</v>
          </cell>
          <cell r="H62">
            <v>7.71</v>
          </cell>
          <cell r="I62">
            <v>54</v>
          </cell>
          <cell r="J62">
            <v>100</v>
          </cell>
          <cell r="O62">
            <v>25</v>
          </cell>
        </row>
        <row r="63">
          <cell r="A63">
            <v>37705</v>
          </cell>
          <cell r="B63">
            <v>11</v>
          </cell>
          <cell r="C63">
            <v>0.2</v>
          </cell>
          <cell r="D63">
            <v>2</v>
          </cell>
          <cell r="E63">
            <v>6</v>
          </cell>
          <cell r="F63">
            <v>30</v>
          </cell>
          <cell r="G63">
            <v>2.7100200000000001</v>
          </cell>
          <cell r="H63">
            <v>7.45</v>
          </cell>
          <cell r="I63">
            <v>57</v>
          </cell>
          <cell r="J63">
            <v>1000</v>
          </cell>
          <cell r="O63">
            <v>7</v>
          </cell>
        </row>
        <row r="64">
          <cell r="A64">
            <v>37748</v>
          </cell>
          <cell r="C64">
            <v>0.75</v>
          </cell>
        </row>
        <row r="65">
          <cell r="A65">
            <v>37753</v>
          </cell>
          <cell r="O65">
            <v>8</v>
          </cell>
        </row>
        <row r="66">
          <cell r="A66">
            <v>37763</v>
          </cell>
          <cell r="B66">
            <v>9</v>
          </cell>
          <cell r="C66">
            <v>0.19</v>
          </cell>
          <cell r="D66">
            <v>2</v>
          </cell>
          <cell r="E66">
            <v>10</v>
          </cell>
          <cell r="F66">
            <v>8</v>
          </cell>
          <cell r="G66">
            <v>3.1644999999999999</v>
          </cell>
          <cell r="H66">
            <v>7.61</v>
          </cell>
          <cell r="I66">
            <v>50</v>
          </cell>
          <cell r="J66">
            <v>100</v>
          </cell>
          <cell r="O66">
            <v>126</v>
          </cell>
        </row>
        <row r="67">
          <cell r="A67">
            <v>37764</v>
          </cell>
          <cell r="O67">
            <v>102</v>
          </cell>
        </row>
        <row r="68">
          <cell r="A68">
            <v>37769</v>
          </cell>
          <cell r="O68">
            <v>51</v>
          </cell>
        </row>
        <row r="69">
          <cell r="A69">
            <v>37771</v>
          </cell>
          <cell r="O69">
            <v>50.4</v>
          </cell>
        </row>
        <row r="70">
          <cell r="A70">
            <v>37774</v>
          </cell>
          <cell r="O70">
            <v>74.3</v>
          </cell>
        </row>
        <row r="71">
          <cell r="A71">
            <v>37776</v>
          </cell>
          <cell r="O71">
            <v>26.1</v>
          </cell>
        </row>
        <row r="72">
          <cell r="A72">
            <v>37781</v>
          </cell>
          <cell r="O72">
            <v>85.3</v>
          </cell>
        </row>
        <row r="73">
          <cell r="A73">
            <v>37788</v>
          </cell>
          <cell r="O73">
            <v>19.899999999999999</v>
          </cell>
        </row>
        <row r="74">
          <cell r="A74">
            <v>37799</v>
          </cell>
          <cell r="O74">
            <v>17.100000000000001</v>
          </cell>
        </row>
        <row r="75">
          <cell r="A75">
            <v>37803</v>
          </cell>
          <cell r="O75">
            <v>100.9</v>
          </cell>
        </row>
        <row r="76">
          <cell r="A76">
            <v>37805</v>
          </cell>
          <cell r="B76">
            <v>14</v>
          </cell>
          <cell r="C76">
            <v>0.17</v>
          </cell>
          <cell r="D76">
            <v>2</v>
          </cell>
          <cell r="E76">
            <v>8</v>
          </cell>
          <cell r="F76">
            <v>4</v>
          </cell>
          <cell r="G76">
            <v>3.3112582781456954</v>
          </cell>
          <cell r="H76">
            <v>7.32</v>
          </cell>
          <cell r="I76">
            <v>51</v>
          </cell>
          <cell r="J76">
            <v>1000</v>
          </cell>
          <cell r="O76">
            <v>77</v>
          </cell>
        </row>
        <row r="77">
          <cell r="A77">
            <v>37806</v>
          </cell>
          <cell r="O77">
            <v>112.8</v>
          </cell>
        </row>
        <row r="78">
          <cell r="A78">
            <v>37823</v>
          </cell>
          <cell r="O78">
            <v>21.44</v>
          </cell>
        </row>
        <row r="79">
          <cell r="A79">
            <v>37827</v>
          </cell>
          <cell r="O79">
            <v>19.809999999999999</v>
          </cell>
        </row>
        <row r="80">
          <cell r="A80">
            <v>37834</v>
          </cell>
          <cell r="O80">
            <v>229.82</v>
          </cell>
        </row>
        <row r="81">
          <cell r="A81">
            <v>37837</v>
          </cell>
          <cell r="O81">
            <v>38.74</v>
          </cell>
        </row>
        <row r="82">
          <cell r="A82">
            <v>37839</v>
          </cell>
          <cell r="O82">
            <v>14.78</v>
          </cell>
        </row>
        <row r="83">
          <cell r="A83">
            <v>37841</v>
          </cell>
          <cell r="O83">
            <v>22.08</v>
          </cell>
        </row>
        <row r="84">
          <cell r="A84">
            <v>37844</v>
          </cell>
          <cell r="O84">
            <v>34.64</v>
          </cell>
        </row>
        <row r="85">
          <cell r="A85">
            <v>37845</v>
          </cell>
          <cell r="B85">
            <v>16</v>
          </cell>
          <cell r="C85">
            <v>0.12</v>
          </cell>
          <cell r="D85">
            <v>5</v>
          </cell>
          <cell r="E85">
            <v>11</v>
          </cell>
          <cell r="F85">
            <v>4</v>
          </cell>
          <cell r="G85">
            <v>3.165</v>
          </cell>
          <cell r="H85">
            <v>7.57</v>
          </cell>
          <cell r="I85">
            <v>53</v>
          </cell>
          <cell r="J85">
            <v>10</v>
          </cell>
          <cell r="O85">
            <v>9</v>
          </cell>
        </row>
        <row r="86">
          <cell r="A86">
            <v>37846</v>
          </cell>
          <cell r="O86">
            <v>15.33</v>
          </cell>
        </row>
        <row r="87">
          <cell r="A87">
            <v>37848</v>
          </cell>
          <cell r="O87">
            <v>74.040000000000006</v>
          </cell>
        </row>
        <row r="88">
          <cell r="A88">
            <v>37853</v>
          </cell>
          <cell r="O88">
            <v>163.68</v>
          </cell>
        </row>
        <row r="89">
          <cell r="A89">
            <v>37858</v>
          </cell>
          <cell r="O89">
            <v>561.12</v>
          </cell>
        </row>
        <row r="90">
          <cell r="A90">
            <v>37860</v>
          </cell>
          <cell r="O90">
            <v>366.52</v>
          </cell>
        </row>
        <row r="91">
          <cell r="A91">
            <v>37861</v>
          </cell>
          <cell r="O91">
            <v>178</v>
          </cell>
        </row>
        <row r="92">
          <cell r="A92">
            <v>37865</v>
          </cell>
          <cell r="O92">
            <v>41.85</v>
          </cell>
        </row>
        <row r="93">
          <cell r="A93">
            <v>37869</v>
          </cell>
          <cell r="O93">
            <v>57.64</v>
          </cell>
        </row>
        <row r="94">
          <cell r="A94">
            <v>37872</v>
          </cell>
          <cell r="O94">
            <v>29.24</v>
          </cell>
        </row>
        <row r="95">
          <cell r="A95">
            <v>37874</v>
          </cell>
          <cell r="O95">
            <v>23.34</v>
          </cell>
        </row>
        <row r="96">
          <cell r="A96">
            <v>37881</v>
          </cell>
          <cell r="O96">
            <v>16.87</v>
          </cell>
        </row>
        <row r="97">
          <cell r="A97">
            <v>37883</v>
          </cell>
          <cell r="O97">
            <v>47.04</v>
          </cell>
        </row>
        <row r="98">
          <cell r="A98">
            <v>37886</v>
          </cell>
          <cell r="O98">
            <v>43.22</v>
          </cell>
        </row>
        <row r="99">
          <cell r="A99">
            <v>37888</v>
          </cell>
          <cell r="O99">
            <v>22.39</v>
          </cell>
        </row>
        <row r="100">
          <cell r="A100">
            <v>37895</v>
          </cell>
          <cell r="O100">
            <v>329</v>
          </cell>
        </row>
        <row r="101">
          <cell r="A101">
            <v>37897</v>
          </cell>
          <cell r="O101">
            <v>43.72</v>
          </cell>
        </row>
        <row r="102">
          <cell r="A102">
            <v>37900</v>
          </cell>
          <cell r="O102">
            <v>79.2</v>
          </cell>
        </row>
        <row r="103">
          <cell r="A103">
            <v>37902</v>
          </cell>
          <cell r="O103">
            <v>151</v>
          </cell>
        </row>
        <row r="104">
          <cell r="A104">
            <v>37904</v>
          </cell>
          <cell r="O104">
            <v>13.96</v>
          </cell>
        </row>
        <row r="105">
          <cell r="A105">
            <v>37907</v>
          </cell>
          <cell r="O105">
            <v>12.08</v>
          </cell>
        </row>
        <row r="106">
          <cell r="A106">
            <v>37909</v>
          </cell>
          <cell r="O106">
            <v>16.12</v>
          </cell>
        </row>
        <row r="107">
          <cell r="A107">
            <v>37911</v>
          </cell>
          <cell r="O107">
            <v>23</v>
          </cell>
        </row>
        <row r="108">
          <cell r="A108">
            <v>37914</v>
          </cell>
          <cell r="O108">
            <v>29</v>
          </cell>
        </row>
        <row r="109">
          <cell r="A109">
            <v>37916</v>
          </cell>
          <cell r="O109">
            <v>24</v>
          </cell>
        </row>
        <row r="110">
          <cell r="A110">
            <v>37917</v>
          </cell>
          <cell r="B110">
            <v>14</v>
          </cell>
          <cell r="C110">
            <v>0.1</v>
          </cell>
          <cell r="D110">
            <v>1.5</v>
          </cell>
          <cell r="E110">
            <v>10</v>
          </cell>
          <cell r="F110">
            <v>14</v>
          </cell>
          <cell r="G110">
            <v>2.4649999999999999</v>
          </cell>
          <cell r="H110">
            <v>7.2</v>
          </cell>
          <cell r="I110">
            <v>52</v>
          </cell>
          <cell r="J110">
            <v>100</v>
          </cell>
          <cell r="O110">
            <v>13</v>
          </cell>
        </row>
        <row r="111">
          <cell r="A111">
            <v>37918</v>
          </cell>
          <cell r="O111">
            <v>15</v>
          </cell>
        </row>
        <row r="112">
          <cell r="A112">
            <v>37923</v>
          </cell>
          <cell r="O112">
            <v>16</v>
          </cell>
        </row>
        <row r="113">
          <cell r="A113">
            <v>37925</v>
          </cell>
          <cell r="O113">
            <v>15.5</v>
          </cell>
        </row>
        <row r="114">
          <cell r="A114">
            <v>37929</v>
          </cell>
          <cell r="O114">
            <v>11</v>
          </cell>
        </row>
        <row r="115">
          <cell r="A115">
            <v>37930</v>
          </cell>
          <cell r="O115">
            <v>84</v>
          </cell>
        </row>
        <row r="116">
          <cell r="A116">
            <v>37932</v>
          </cell>
          <cell r="O116">
            <v>17</v>
          </cell>
        </row>
        <row r="117">
          <cell r="A117">
            <v>37935</v>
          </cell>
          <cell r="O117">
            <v>30</v>
          </cell>
        </row>
        <row r="118">
          <cell r="A118">
            <v>37938</v>
          </cell>
          <cell r="O118">
            <v>36</v>
          </cell>
        </row>
        <row r="119">
          <cell r="A119">
            <v>37939</v>
          </cell>
          <cell r="O119">
            <v>54</v>
          </cell>
        </row>
        <row r="120">
          <cell r="A120">
            <v>37942</v>
          </cell>
          <cell r="O120">
            <v>11</v>
          </cell>
        </row>
        <row r="121">
          <cell r="A121">
            <v>37944</v>
          </cell>
          <cell r="O121">
            <v>21</v>
          </cell>
        </row>
        <row r="122">
          <cell r="A122">
            <v>37949</v>
          </cell>
          <cell r="O122">
            <v>8</v>
          </cell>
        </row>
        <row r="123">
          <cell r="A123">
            <v>37951</v>
          </cell>
          <cell r="O123">
            <v>42</v>
          </cell>
        </row>
        <row r="124">
          <cell r="A124">
            <v>37956</v>
          </cell>
          <cell r="O124">
            <v>24</v>
          </cell>
        </row>
        <row r="125">
          <cell r="A125">
            <v>37958</v>
          </cell>
          <cell r="O125">
            <v>14.5</v>
          </cell>
        </row>
        <row r="126">
          <cell r="A126">
            <v>37960</v>
          </cell>
          <cell r="O126">
            <v>21.1</v>
          </cell>
        </row>
        <row r="127">
          <cell r="A127">
            <v>37964</v>
          </cell>
          <cell r="O127">
            <v>128</v>
          </cell>
        </row>
        <row r="128">
          <cell r="A128">
            <v>37966</v>
          </cell>
          <cell r="O128">
            <v>250</v>
          </cell>
        </row>
        <row r="129">
          <cell r="A129">
            <v>37970</v>
          </cell>
          <cell r="O129">
            <v>55.6</v>
          </cell>
        </row>
        <row r="130">
          <cell r="A130">
            <v>37972</v>
          </cell>
          <cell r="O130">
            <v>20.7</v>
          </cell>
        </row>
        <row r="131">
          <cell r="A131">
            <v>37977</v>
          </cell>
          <cell r="O131">
            <v>80</v>
          </cell>
        </row>
        <row r="132">
          <cell r="A132">
            <v>37978</v>
          </cell>
          <cell r="O132">
            <v>84</v>
          </cell>
        </row>
        <row r="133">
          <cell r="A133">
            <v>37991</v>
          </cell>
          <cell r="O133">
            <v>85</v>
          </cell>
        </row>
        <row r="134">
          <cell r="A134">
            <v>37993</v>
          </cell>
          <cell r="O134">
            <v>23.5</v>
          </cell>
        </row>
        <row r="135">
          <cell r="A135">
            <v>37995</v>
          </cell>
          <cell r="O135">
            <v>51</v>
          </cell>
        </row>
        <row r="136">
          <cell r="A136">
            <v>37998</v>
          </cell>
          <cell r="O136">
            <v>16</v>
          </cell>
        </row>
        <row r="137">
          <cell r="A137">
            <v>38000</v>
          </cell>
          <cell r="O137">
            <v>46</v>
          </cell>
        </row>
        <row r="138">
          <cell r="A138">
            <v>38002</v>
          </cell>
          <cell r="O138">
            <v>35.6</v>
          </cell>
        </row>
        <row r="139">
          <cell r="A139">
            <v>38005</v>
          </cell>
          <cell r="O139">
            <v>48</v>
          </cell>
        </row>
        <row r="140">
          <cell r="A140">
            <v>38009</v>
          </cell>
          <cell r="O140">
            <v>11</v>
          </cell>
        </row>
        <row r="141">
          <cell r="A141">
            <v>38012</v>
          </cell>
          <cell r="O141">
            <v>18</v>
          </cell>
        </row>
        <row r="142">
          <cell r="A142">
            <v>38044</v>
          </cell>
          <cell r="J142">
            <v>10</v>
          </cell>
        </row>
        <row r="143">
          <cell r="A143">
            <v>38019</v>
          </cell>
          <cell r="O143">
            <v>18.399999999999999</v>
          </cell>
        </row>
        <row r="144">
          <cell r="A144">
            <v>38021</v>
          </cell>
          <cell r="O144">
            <v>20.9</v>
          </cell>
        </row>
        <row r="145">
          <cell r="A145">
            <v>38023</v>
          </cell>
          <cell r="O145">
            <v>12.7</v>
          </cell>
        </row>
        <row r="146">
          <cell r="A146">
            <v>38026</v>
          </cell>
          <cell r="O146">
            <v>7.1</v>
          </cell>
        </row>
        <row r="147">
          <cell r="A147">
            <v>38028</v>
          </cell>
          <cell r="O147">
            <v>23</v>
          </cell>
        </row>
        <row r="148">
          <cell r="A148">
            <v>38030</v>
          </cell>
          <cell r="O148">
            <v>13</v>
          </cell>
        </row>
        <row r="149">
          <cell r="A149">
            <v>38033</v>
          </cell>
          <cell r="O149">
            <v>16.3</v>
          </cell>
        </row>
        <row r="150">
          <cell r="A150">
            <v>38035</v>
          </cell>
          <cell r="O150">
            <v>10.8</v>
          </cell>
        </row>
        <row r="151">
          <cell r="A151">
            <v>38037</v>
          </cell>
          <cell r="O151">
            <v>10.6</v>
          </cell>
        </row>
        <row r="152">
          <cell r="A152">
            <v>38040</v>
          </cell>
          <cell r="O152">
            <v>35.6</v>
          </cell>
        </row>
        <row r="153">
          <cell r="A153">
            <v>38044</v>
          </cell>
          <cell r="O153">
            <v>14</v>
          </cell>
        </row>
        <row r="154">
          <cell r="A154">
            <v>38051</v>
          </cell>
          <cell r="O154">
            <v>80</v>
          </cell>
        </row>
        <row r="155">
          <cell r="A155">
            <v>38054</v>
          </cell>
          <cell r="O155">
            <v>17</v>
          </cell>
        </row>
        <row r="156">
          <cell r="A156">
            <v>38056</v>
          </cell>
          <cell r="O156">
            <v>46</v>
          </cell>
        </row>
        <row r="157">
          <cell r="A157">
            <v>38058</v>
          </cell>
          <cell r="O157">
            <v>66</v>
          </cell>
        </row>
        <row r="158">
          <cell r="A158">
            <v>38063</v>
          </cell>
          <cell r="O158">
            <v>10</v>
          </cell>
        </row>
        <row r="159">
          <cell r="A159">
            <v>38065</v>
          </cell>
          <cell r="O159">
            <v>17</v>
          </cell>
        </row>
        <row r="160">
          <cell r="A160">
            <v>38068</v>
          </cell>
          <cell r="O160">
            <v>95</v>
          </cell>
        </row>
        <row r="161">
          <cell r="A161">
            <v>38072</v>
          </cell>
          <cell r="O161">
            <v>150</v>
          </cell>
        </row>
        <row r="162">
          <cell r="A162">
            <v>38076</v>
          </cell>
          <cell r="O162">
            <v>25</v>
          </cell>
        </row>
        <row r="163">
          <cell r="A163">
            <v>38083</v>
          </cell>
          <cell r="J163">
            <v>10</v>
          </cell>
        </row>
        <row r="164">
          <cell r="A164">
            <v>38085</v>
          </cell>
          <cell r="O164">
            <v>35.200000000000003</v>
          </cell>
        </row>
        <row r="165">
          <cell r="A165">
            <v>38087</v>
          </cell>
          <cell r="O165">
            <v>18.399999999999999</v>
          </cell>
        </row>
        <row r="166">
          <cell r="A166">
            <v>38089</v>
          </cell>
          <cell r="J166">
            <v>0</v>
          </cell>
          <cell r="O166">
            <v>26</v>
          </cell>
        </row>
        <row r="167">
          <cell r="A167">
            <v>38091</v>
          </cell>
          <cell r="O167">
            <v>168.8</v>
          </cell>
        </row>
        <row r="168">
          <cell r="A168">
            <v>38093</v>
          </cell>
          <cell r="O168">
            <v>17.2</v>
          </cell>
        </row>
        <row r="169">
          <cell r="A169">
            <v>38094</v>
          </cell>
          <cell r="B169">
            <v>11</v>
          </cell>
          <cell r="C169">
            <v>0.22</v>
          </cell>
          <cell r="D169">
            <v>7.5</v>
          </cell>
          <cell r="E169">
            <v>9</v>
          </cell>
          <cell r="F169">
            <v>12</v>
          </cell>
          <cell r="G169">
            <v>2.0750000000000002</v>
          </cell>
          <cell r="H169">
            <v>7.3</v>
          </cell>
          <cell r="I169">
            <v>56</v>
          </cell>
          <cell r="J169">
            <v>10</v>
          </cell>
          <cell r="O169">
            <v>31</v>
          </cell>
        </row>
        <row r="170">
          <cell r="A170">
            <v>38095</v>
          </cell>
          <cell r="O170">
            <v>16.8</v>
          </cell>
        </row>
        <row r="171">
          <cell r="A171">
            <v>38098</v>
          </cell>
          <cell r="O171">
            <v>43.4</v>
          </cell>
        </row>
        <row r="172">
          <cell r="A172">
            <v>38103</v>
          </cell>
          <cell r="O172">
            <v>30.4</v>
          </cell>
        </row>
        <row r="173">
          <cell r="A173">
            <v>38106</v>
          </cell>
          <cell r="O173">
            <v>14.9</v>
          </cell>
        </row>
        <row r="174">
          <cell r="A174">
            <v>38110</v>
          </cell>
          <cell r="O174">
            <v>28</v>
          </cell>
        </row>
        <row r="175">
          <cell r="A175">
            <v>38111</v>
          </cell>
          <cell r="J175">
            <v>10</v>
          </cell>
          <cell r="O175">
            <v>34</v>
          </cell>
        </row>
        <row r="176">
          <cell r="A176">
            <v>38112</v>
          </cell>
          <cell r="O176">
            <v>20</v>
          </cell>
        </row>
        <row r="177">
          <cell r="A177">
            <v>38114</v>
          </cell>
          <cell r="O177">
            <v>22.5</v>
          </cell>
        </row>
        <row r="178">
          <cell r="A178">
            <v>38117</v>
          </cell>
          <cell r="O178">
            <v>79.2</v>
          </cell>
        </row>
        <row r="179">
          <cell r="A179">
            <v>38119</v>
          </cell>
          <cell r="O179">
            <v>31.8</v>
          </cell>
        </row>
        <row r="180">
          <cell r="A180">
            <v>38121</v>
          </cell>
          <cell r="O180">
            <v>18.5</v>
          </cell>
        </row>
        <row r="181">
          <cell r="A181">
            <v>38124</v>
          </cell>
          <cell r="O181">
            <v>16</v>
          </cell>
        </row>
        <row r="182">
          <cell r="A182">
            <v>38126</v>
          </cell>
          <cell r="O182">
            <v>68</v>
          </cell>
        </row>
        <row r="183">
          <cell r="A183">
            <v>38127</v>
          </cell>
          <cell r="B183">
            <v>15</v>
          </cell>
          <cell r="C183">
            <v>0.32</v>
          </cell>
          <cell r="D183">
            <v>2</v>
          </cell>
          <cell r="E183">
            <v>6</v>
          </cell>
          <cell r="F183">
            <v>1</v>
          </cell>
          <cell r="H183">
            <v>7.7</v>
          </cell>
          <cell r="I183">
            <v>57</v>
          </cell>
          <cell r="J183">
            <v>1000</v>
          </cell>
          <cell r="O183">
            <v>42</v>
          </cell>
        </row>
        <row r="184">
          <cell r="A184">
            <v>38128</v>
          </cell>
          <cell r="O184">
            <v>135</v>
          </cell>
        </row>
        <row r="185">
          <cell r="A185">
            <v>38135</v>
          </cell>
          <cell r="O185">
            <v>90</v>
          </cell>
        </row>
        <row r="186">
          <cell r="A186">
            <v>38140</v>
          </cell>
          <cell r="O186">
            <v>61.2</v>
          </cell>
        </row>
        <row r="187">
          <cell r="A187">
            <v>38147</v>
          </cell>
          <cell r="O187">
            <v>25.62</v>
          </cell>
        </row>
        <row r="188">
          <cell r="A188">
            <v>38149</v>
          </cell>
          <cell r="O188">
            <v>24.6</v>
          </cell>
        </row>
        <row r="189">
          <cell r="A189">
            <v>38152</v>
          </cell>
          <cell r="O189">
            <v>193.63</v>
          </cell>
        </row>
        <row r="190">
          <cell r="A190">
            <v>38156</v>
          </cell>
          <cell r="O190">
            <v>28.14</v>
          </cell>
        </row>
        <row r="191">
          <cell r="A191">
            <v>38159</v>
          </cell>
          <cell r="O191">
            <v>33.880000000000003</v>
          </cell>
        </row>
        <row r="192">
          <cell r="A192">
            <v>38163</v>
          </cell>
          <cell r="O192">
            <v>65.2</v>
          </cell>
        </row>
        <row r="193">
          <cell r="A193">
            <v>38168</v>
          </cell>
          <cell r="O193">
            <v>68.44</v>
          </cell>
        </row>
        <row r="194">
          <cell r="A194">
            <v>38170</v>
          </cell>
          <cell r="O194">
            <v>36.799999999999997</v>
          </cell>
        </row>
        <row r="195">
          <cell r="A195">
            <v>38175</v>
          </cell>
          <cell r="O195">
            <v>16.899999999999999</v>
          </cell>
        </row>
        <row r="196">
          <cell r="A196">
            <v>38176</v>
          </cell>
          <cell r="O196">
            <v>19</v>
          </cell>
        </row>
        <row r="197">
          <cell r="A197">
            <v>38182</v>
          </cell>
          <cell r="O197">
            <v>7</v>
          </cell>
        </row>
        <row r="198">
          <cell r="A198">
            <v>38184</v>
          </cell>
          <cell r="O198">
            <v>13.9</v>
          </cell>
        </row>
        <row r="199">
          <cell r="A199">
            <v>38187</v>
          </cell>
          <cell r="O199">
            <v>16.39</v>
          </cell>
        </row>
        <row r="200">
          <cell r="A200">
            <v>38189</v>
          </cell>
          <cell r="O200">
            <v>36.81</v>
          </cell>
        </row>
        <row r="201">
          <cell r="A201">
            <v>38194</v>
          </cell>
          <cell r="O201">
            <v>40.32</v>
          </cell>
        </row>
        <row r="202">
          <cell r="A202">
            <v>38196</v>
          </cell>
          <cell r="O202">
            <v>5.35</v>
          </cell>
        </row>
        <row r="203">
          <cell r="A203">
            <v>38198</v>
          </cell>
          <cell r="O203">
            <v>31.1</v>
          </cell>
        </row>
        <row r="204">
          <cell r="A204">
            <v>38201</v>
          </cell>
          <cell r="O204">
            <v>14.3</v>
          </cell>
        </row>
        <row r="205">
          <cell r="A205">
            <v>38203</v>
          </cell>
          <cell r="O205">
            <v>8.9</v>
          </cell>
        </row>
        <row r="206">
          <cell r="A206">
            <v>38205</v>
          </cell>
          <cell r="O206">
            <v>47.11</v>
          </cell>
        </row>
        <row r="207">
          <cell r="A207">
            <v>38208</v>
          </cell>
          <cell r="O207">
            <v>9.6</v>
          </cell>
        </row>
        <row r="208">
          <cell r="A208">
            <v>38210</v>
          </cell>
          <cell r="O208">
            <v>19.3</v>
          </cell>
        </row>
        <row r="209">
          <cell r="A209">
            <v>38212</v>
          </cell>
          <cell r="O209">
            <v>5.2</v>
          </cell>
        </row>
        <row r="210">
          <cell r="A210">
            <v>38216</v>
          </cell>
          <cell r="O210">
            <v>32</v>
          </cell>
        </row>
        <row r="211">
          <cell r="A211">
            <v>38218</v>
          </cell>
          <cell r="B211">
            <v>4</v>
          </cell>
          <cell r="C211">
            <v>0.6</v>
          </cell>
          <cell r="D211">
            <v>3</v>
          </cell>
          <cell r="E211">
            <v>10</v>
          </cell>
          <cell r="F211">
            <v>4</v>
          </cell>
          <cell r="G211">
            <v>2.1785999999999999</v>
          </cell>
          <cell r="H211">
            <v>7.6</v>
          </cell>
          <cell r="I211">
            <v>58</v>
          </cell>
          <cell r="J211">
            <v>10</v>
          </cell>
          <cell r="O211">
            <v>13</v>
          </cell>
        </row>
        <row r="212">
          <cell r="A212">
            <v>38219</v>
          </cell>
          <cell r="O212">
            <v>13.5</v>
          </cell>
        </row>
        <row r="213">
          <cell r="A213">
            <v>38222</v>
          </cell>
          <cell r="O213">
            <v>24</v>
          </cell>
        </row>
        <row r="214">
          <cell r="A214">
            <v>38224</v>
          </cell>
          <cell r="O214">
            <v>34</v>
          </cell>
        </row>
        <row r="215">
          <cell r="A215">
            <v>38226</v>
          </cell>
          <cell r="O215">
            <v>10</v>
          </cell>
        </row>
        <row r="216">
          <cell r="A216">
            <v>38229</v>
          </cell>
          <cell r="O216">
            <v>19</v>
          </cell>
        </row>
        <row r="217">
          <cell r="A217">
            <v>38231</v>
          </cell>
          <cell r="O217">
            <v>31.44</v>
          </cell>
          <cell r="P217" t="str">
            <v>Lab. C.D. 31 ppm H.C:</v>
          </cell>
        </row>
        <row r="218">
          <cell r="A218">
            <v>38233</v>
          </cell>
          <cell r="O218">
            <v>9</v>
          </cell>
        </row>
        <row r="219">
          <cell r="A219">
            <v>38236</v>
          </cell>
          <cell r="O219">
            <v>25</v>
          </cell>
        </row>
        <row r="220">
          <cell r="A220">
            <v>38238</v>
          </cell>
          <cell r="O220">
            <v>18</v>
          </cell>
        </row>
        <row r="221">
          <cell r="A221">
            <v>38240</v>
          </cell>
          <cell r="O221">
            <v>23</v>
          </cell>
        </row>
        <row r="222">
          <cell r="A222">
            <v>38243</v>
          </cell>
          <cell r="O222">
            <v>24</v>
          </cell>
        </row>
        <row r="223">
          <cell r="A223">
            <v>38245</v>
          </cell>
          <cell r="O223">
            <v>16</v>
          </cell>
        </row>
        <row r="224">
          <cell r="A224">
            <v>38247</v>
          </cell>
          <cell r="O224">
            <v>9</v>
          </cell>
        </row>
        <row r="225">
          <cell r="A225">
            <v>38252</v>
          </cell>
          <cell r="O225">
            <v>77</v>
          </cell>
        </row>
        <row r="226">
          <cell r="A226">
            <v>38267</v>
          </cell>
          <cell r="D226">
            <v>1.5</v>
          </cell>
          <cell r="E226">
            <v>5</v>
          </cell>
          <cell r="F226">
            <v>4</v>
          </cell>
          <cell r="H226">
            <v>7.4</v>
          </cell>
          <cell r="I226">
            <v>53</v>
          </cell>
          <cell r="J226">
            <v>1000</v>
          </cell>
          <cell r="O226">
            <v>54</v>
          </cell>
        </row>
        <row r="227">
          <cell r="A227">
            <v>38280</v>
          </cell>
          <cell r="J227">
            <v>10</v>
          </cell>
        </row>
        <row r="228">
          <cell r="A228">
            <v>38301</v>
          </cell>
          <cell r="D228">
            <v>2</v>
          </cell>
          <cell r="E228">
            <v>7</v>
          </cell>
          <cell r="F228">
            <v>70</v>
          </cell>
          <cell r="H228">
            <v>7.67</v>
          </cell>
          <cell r="I228">
            <v>58</v>
          </cell>
          <cell r="J228">
            <v>1000</v>
          </cell>
          <cell r="O228">
            <v>32</v>
          </cell>
        </row>
        <row r="229">
          <cell r="A229">
            <v>38324</v>
          </cell>
          <cell r="O229">
            <v>25</v>
          </cell>
        </row>
        <row r="230">
          <cell r="A230">
            <v>38327</v>
          </cell>
          <cell r="O230">
            <v>13</v>
          </cell>
        </row>
        <row r="231">
          <cell r="A231">
            <v>38329</v>
          </cell>
          <cell r="O231">
            <v>11</v>
          </cell>
        </row>
        <row r="232">
          <cell r="A232">
            <v>38331</v>
          </cell>
          <cell r="D232">
            <v>3</v>
          </cell>
          <cell r="E232">
            <v>6</v>
          </cell>
          <cell r="F232">
            <v>50</v>
          </cell>
          <cell r="H232">
            <v>8.1</v>
          </cell>
          <cell r="I232">
            <v>55</v>
          </cell>
          <cell r="J232">
            <v>100</v>
          </cell>
          <cell r="O232">
            <v>30</v>
          </cell>
        </row>
        <row r="233">
          <cell r="A233">
            <v>38338</v>
          </cell>
          <cell r="O233">
            <v>59</v>
          </cell>
        </row>
        <row r="234">
          <cell r="A234">
            <v>38341</v>
          </cell>
          <cell r="O234">
            <v>32.36</v>
          </cell>
        </row>
        <row r="235">
          <cell r="A235">
            <v>38343</v>
          </cell>
          <cell r="O235">
            <v>22.14</v>
          </cell>
        </row>
        <row r="236">
          <cell r="A236">
            <v>38376</v>
          </cell>
          <cell r="B236">
            <v>14</v>
          </cell>
          <cell r="C236">
            <v>0.12</v>
          </cell>
          <cell r="D236">
            <v>5</v>
          </cell>
          <cell r="E236">
            <v>8</v>
          </cell>
          <cell r="F236">
            <v>2</v>
          </cell>
          <cell r="G236">
            <v>2.8010999999999999</v>
          </cell>
          <cell r="H236">
            <v>8.17</v>
          </cell>
          <cell r="I236">
            <v>58</v>
          </cell>
          <cell r="J236">
            <v>0</v>
          </cell>
          <cell r="O236">
            <v>17</v>
          </cell>
        </row>
        <row r="237">
          <cell r="A237">
            <v>38350</v>
          </cell>
          <cell r="O237">
            <v>31.72</v>
          </cell>
        </row>
        <row r="238">
          <cell r="A238">
            <v>38357</v>
          </cell>
          <cell r="O238">
            <v>26</v>
          </cell>
        </row>
        <row r="239">
          <cell r="A239">
            <v>38359</v>
          </cell>
          <cell r="O239">
            <v>26.8</v>
          </cell>
        </row>
        <row r="240">
          <cell r="A240">
            <v>38362</v>
          </cell>
          <cell r="O240">
            <v>17.2</v>
          </cell>
        </row>
        <row r="241">
          <cell r="A241">
            <v>38366</v>
          </cell>
          <cell r="O241">
            <v>13.7</v>
          </cell>
        </row>
        <row r="242">
          <cell r="A242">
            <v>38371</v>
          </cell>
          <cell r="O242">
            <v>28.9</v>
          </cell>
        </row>
        <row r="243">
          <cell r="A243">
            <v>38373</v>
          </cell>
          <cell r="O243">
            <v>12</v>
          </cell>
        </row>
        <row r="244">
          <cell r="A244">
            <v>38376</v>
          </cell>
          <cell r="O244">
            <v>49</v>
          </cell>
        </row>
        <row r="245">
          <cell r="A245">
            <v>38378</v>
          </cell>
          <cell r="O245">
            <v>14.7</v>
          </cell>
        </row>
        <row r="246">
          <cell r="A246">
            <v>38380</v>
          </cell>
          <cell r="O246">
            <v>18.2</v>
          </cell>
        </row>
        <row r="247">
          <cell r="A247">
            <v>38383</v>
          </cell>
          <cell r="O247">
            <v>12.2</v>
          </cell>
        </row>
        <row r="248">
          <cell r="A248">
            <v>38385</v>
          </cell>
          <cell r="O248">
            <v>11</v>
          </cell>
        </row>
        <row r="249">
          <cell r="A249">
            <v>38387</v>
          </cell>
          <cell r="O249">
            <v>10.6</v>
          </cell>
        </row>
        <row r="250">
          <cell r="A250">
            <v>38390</v>
          </cell>
          <cell r="O250">
            <v>16.5</v>
          </cell>
        </row>
        <row r="251">
          <cell r="A251">
            <v>38392</v>
          </cell>
          <cell r="O251">
            <v>20</v>
          </cell>
        </row>
        <row r="252">
          <cell r="A252">
            <v>38394</v>
          </cell>
          <cell r="O252">
            <v>11.1</v>
          </cell>
        </row>
        <row r="253">
          <cell r="A253">
            <v>38397</v>
          </cell>
          <cell r="O253">
            <v>10.3</v>
          </cell>
        </row>
        <row r="254">
          <cell r="A254">
            <v>38399</v>
          </cell>
          <cell r="O254">
            <v>30</v>
          </cell>
        </row>
        <row r="255">
          <cell r="A255">
            <v>38401</v>
          </cell>
          <cell r="B255">
            <v>28</v>
          </cell>
          <cell r="C255">
            <v>0.19</v>
          </cell>
          <cell r="D255">
            <v>4</v>
          </cell>
          <cell r="E255">
            <v>6</v>
          </cell>
          <cell r="F255">
            <v>60</v>
          </cell>
          <cell r="G255">
            <v>2.7776999999999998</v>
          </cell>
          <cell r="H255">
            <v>8.1199999999999992</v>
          </cell>
          <cell r="I255">
            <v>61</v>
          </cell>
          <cell r="J255">
            <v>100</v>
          </cell>
          <cell r="O255">
            <v>5</v>
          </cell>
        </row>
        <row r="256">
          <cell r="A256">
            <v>38404</v>
          </cell>
          <cell r="O256">
            <v>7.16</v>
          </cell>
        </row>
        <row r="257">
          <cell r="A257">
            <v>38406</v>
          </cell>
          <cell r="O257">
            <v>20.399999999999999</v>
          </cell>
        </row>
        <row r="258">
          <cell r="A258">
            <v>38411</v>
          </cell>
          <cell r="O258">
            <v>21.01</v>
          </cell>
        </row>
        <row r="259">
          <cell r="A259">
            <v>38413</v>
          </cell>
          <cell r="O259">
            <v>20</v>
          </cell>
        </row>
        <row r="260">
          <cell r="A260">
            <v>38414</v>
          </cell>
          <cell r="B260">
            <v>22</v>
          </cell>
          <cell r="C260">
            <v>0.1</v>
          </cell>
          <cell r="D260">
            <v>1</v>
          </cell>
          <cell r="E260">
            <v>8</v>
          </cell>
          <cell r="F260">
            <v>150</v>
          </cell>
          <cell r="G260">
            <v>2.7471999999999999</v>
          </cell>
          <cell r="H260">
            <v>7.78</v>
          </cell>
          <cell r="I260">
            <v>58</v>
          </cell>
          <cell r="J260">
            <v>10</v>
          </cell>
          <cell r="O260">
            <v>6</v>
          </cell>
        </row>
        <row r="261">
          <cell r="A261">
            <v>38415</v>
          </cell>
          <cell r="O261">
            <v>37.200000000000003</v>
          </cell>
        </row>
        <row r="262">
          <cell r="A262">
            <v>38418</v>
          </cell>
          <cell r="O262">
            <v>12.7</v>
          </cell>
        </row>
        <row r="263">
          <cell r="A263">
            <v>38420</v>
          </cell>
          <cell r="O263">
            <v>10.6</v>
          </cell>
        </row>
        <row r="264">
          <cell r="A264">
            <v>38425</v>
          </cell>
          <cell r="O264">
            <v>24.82</v>
          </cell>
        </row>
        <row r="265">
          <cell r="A265">
            <v>38427</v>
          </cell>
          <cell r="O265">
            <v>39.15</v>
          </cell>
        </row>
        <row r="266">
          <cell r="A266">
            <v>38429</v>
          </cell>
          <cell r="O266">
            <v>14.62</v>
          </cell>
        </row>
        <row r="267">
          <cell r="A267">
            <v>38432</v>
          </cell>
          <cell r="O267">
            <v>12.85</v>
          </cell>
        </row>
        <row r="268">
          <cell r="A268">
            <v>38434</v>
          </cell>
          <cell r="O268">
            <v>34.86</v>
          </cell>
        </row>
        <row r="269">
          <cell r="A269">
            <v>38439</v>
          </cell>
          <cell r="O269">
            <v>78</v>
          </cell>
        </row>
        <row r="270">
          <cell r="A270">
            <v>38447</v>
          </cell>
          <cell r="O270">
            <v>10.4</v>
          </cell>
        </row>
        <row r="271">
          <cell r="A271">
            <v>38450</v>
          </cell>
          <cell r="O271">
            <v>44.3</v>
          </cell>
        </row>
        <row r="272">
          <cell r="A272">
            <v>38453</v>
          </cell>
          <cell r="O272">
            <v>7.5</v>
          </cell>
        </row>
        <row r="273">
          <cell r="A273">
            <v>38455</v>
          </cell>
          <cell r="O273">
            <v>14</v>
          </cell>
        </row>
        <row r="274">
          <cell r="A274">
            <v>38456</v>
          </cell>
          <cell r="B274" t="str">
            <v>S/M</v>
          </cell>
          <cell r="C274" t="str">
            <v>S/M</v>
          </cell>
          <cell r="D274" t="str">
            <v>S/M</v>
          </cell>
          <cell r="E274" t="str">
            <v>S/M</v>
          </cell>
          <cell r="F274" t="str">
            <v>S/M</v>
          </cell>
          <cell r="G274" t="str">
            <v>S/M</v>
          </cell>
          <cell r="H274" t="str">
            <v>S/M</v>
          </cell>
          <cell r="I274" t="str">
            <v>S/M</v>
          </cell>
          <cell r="J274" t="str">
            <v>S/M</v>
          </cell>
          <cell r="K274" t="str">
            <v>S/M</v>
          </cell>
          <cell r="L274" t="str">
            <v>S/M</v>
          </cell>
          <cell r="M274" t="str">
            <v>S/M</v>
          </cell>
          <cell r="N274" t="str">
            <v>S/M</v>
          </cell>
          <cell r="O274" t="str">
            <v>S/M</v>
          </cell>
          <cell r="P274" t="str">
            <v>S/M</v>
          </cell>
        </row>
        <row r="275">
          <cell r="A275">
            <v>38460</v>
          </cell>
          <cell r="O275">
            <v>5.54</v>
          </cell>
        </row>
        <row r="276">
          <cell r="A276">
            <v>38461</v>
          </cell>
          <cell r="O276">
            <v>17.18</v>
          </cell>
        </row>
        <row r="277">
          <cell r="A277">
            <v>38462</v>
          </cell>
          <cell r="O277">
            <v>16.39</v>
          </cell>
        </row>
        <row r="278">
          <cell r="A278">
            <v>38462</v>
          </cell>
          <cell r="O278">
            <v>156.72</v>
          </cell>
        </row>
        <row r="279">
          <cell r="A279">
            <v>38467</v>
          </cell>
          <cell r="O279">
            <v>28.1</v>
          </cell>
          <cell r="P279" t="str">
            <v>otra muestracon 20.2 ppm de Hc</v>
          </cell>
        </row>
        <row r="280">
          <cell r="A280">
            <v>38468</v>
          </cell>
          <cell r="O280">
            <v>43.1</v>
          </cell>
        </row>
        <row r="281">
          <cell r="A281">
            <v>38485</v>
          </cell>
          <cell r="B281" t="str">
            <v>F/S</v>
          </cell>
          <cell r="C281" t="str">
            <v>F/S</v>
          </cell>
          <cell r="D281" t="str">
            <v>F/S</v>
          </cell>
          <cell r="E281" t="str">
            <v>F/S</v>
          </cell>
          <cell r="F281" t="str">
            <v>F/S</v>
          </cell>
          <cell r="G281" t="str">
            <v>F/S</v>
          </cell>
          <cell r="H281" t="str">
            <v>F/S</v>
          </cell>
          <cell r="I281" t="str">
            <v>F/S</v>
          </cell>
          <cell r="J281" t="str">
            <v>F/S</v>
          </cell>
          <cell r="K281" t="str">
            <v>F/S</v>
          </cell>
          <cell r="L281" t="str">
            <v>F/S</v>
          </cell>
          <cell r="M281" t="str">
            <v>F/S</v>
          </cell>
          <cell r="N281" t="str">
            <v>F/S</v>
          </cell>
          <cell r="O281" t="str">
            <v>F/S</v>
          </cell>
          <cell r="P281" t="str">
            <v>F/S</v>
          </cell>
        </row>
        <row r="282">
          <cell r="A282">
            <v>38505</v>
          </cell>
        </row>
        <row r="283">
          <cell r="A283">
            <v>38506</v>
          </cell>
          <cell r="B283" t="str">
            <v>F/S</v>
          </cell>
          <cell r="C283" t="str">
            <v>F/S</v>
          </cell>
          <cell r="D283" t="str">
            <v>F/S</v>
          </cell>
          <cell r="E283" t="str">
            <v>F/S</v>
          </cell>
          <cell r="F283" t="str">
            <v>F/S</v>
          </cell>
          <cell r="G283" t="str">
            <v>F/S</v>
          </cell>
          <cell r="H283" t="str">
            <v>F/S</v>
          </cell>
          <cell r="I283" t="str">
            <v>F/S</v>
          </cell>
          <cell r="J283" t="str">
            <v>F/S</v>
          </cell>
          <cell r="K283" t="str">
            <v>F/S</v>
          </cell>
          <cell r="L283" t="str">
            <v>F/S</v>
          </cell>
          <cell r="M283" t="str">
            <v>F/S</v>
          </cell>
          <cell r="N283" t="str">
            <v>F/S</v>
          </cell>
          <cell r="O283" t="str">
            <v>F/S</v>
          </cell>
          <cell r="P283" t="str">
            <v>F/S</v>
          </cell>
        </row>
        <row r="284">
          <cell r="A284">
            <v>38509</v>
          </cell>
          <cell r="O284">
            <v>14.9</v>
          </cell>
        </row>
        <row r="285">
          <cell r="A285">
            <v>38511</v>
          </cell>
          <cell r="O285">
            <v>10.6</v>
          </cell>
        </row>
        <row r="286">
          <cell r="A286">
            <v>38519</v>
          </cell>
          <cell r="O286">
            <v>12</v>
          </cell>
        </row>
        <row r="287">
          <cell r="A287">
            <v>38544</v>
          </cell>
          <cell r="D287">
            <v>4</v>
          </cell>
          <cell r="E287">
            <v>4</v>
          </cell>
          <cell r="F287">
            <v>30</v>
          </cell>
          <cell r="H287">
            <v>7.78</v>
          </cell>
          <cell r="I287">
            <v>55</v>
          </cell>
          <cell r="J287">
            <v>1000</v>
          </cell>
          <cell r="O287">
            <v>36</v>
          </cell>
        </row>
        <row r="288">
          <cell r="A288">
            <v>38545</v>
          </cell>
          <cell r="O288">
            <v>9.4</v>
          </cell>
        </row>
        <row r="289">
          <cell r="A289">
            <v>38551</v>
          </cell>
          <cell r="O289">
            <v>29.7</v>
          </cell>
        </row>
        <row r="290">
          <cell r="A290">
            <v>38555</v>
          </cell>
          <cell r="O290">
            <v>16.7</v>
          </cell>
        </row>
        <row r="291">
          <cell r="A291">
            <v>38559</v>
          </cell>
          <cell r="O291">
            <v>12.2</v>
          </cell>
        </row>
        <row r="292">
          <cell r="A292">
            <v>38560</v>
          </cell>
          <cell r="O292">
            <v>25.4</v>
          </cell>
        </row>
        <row r="293">
          <cell r="A293">
            <v>38562</v>
          </cell>
          <cell r="O293">
            <v>25.3</v>
          </cell>
        </row>
        <row r="294">
          <cell r="A294">
            <v>38565</v>
          </cell>
          <cell r="O294">
            <v>22</v>
          </cell>
        </row>
        <row r="295">
          <cell r="A295">
            <v>38567</v>
          </cell>
          <cell r="O295">
            <v>9.5</v>
          </cell>
        </row>
        <row r="296">
          <cell r="A296">
            <v>38569</v>
          </cell>
          <cell r="O296">
            <v>35.1</v>
          </cell>
        </row>
        <row r="297">
          <cell r="A297">
            <v>38574</v>
          </cell>
          <cell r="O297">
            <v>31.4</v>
          </cell>
        </row>
        <row r="298">
          <cell r="A298">
            <v>38576</v>
          </cell>
          <cell r="O298">
            <v>34.5</v>
          </cell>
        </row>
        <row r="299">
          <cell r="A299">
            <v>38581</v>
          </cell>
          <cell r="O299">
            <v>21.2</v>
          </cell>
        </row>
        <row r="300">
          <cell r="A300">
            <v>38583</v>
          </cell>
          <cell r="O300">
            <v>25.4</v>
          </cell>
        </row>
        <row r="301">
          <cell r="A301">
            <v>38586</v>
          </cell>
          <cell r="O301">
            <v>11</v>
          </cell>
        </row>
        <row r="302">
          <cell r="A302">
            <v>38588</v>
          </cell>
          <cell r="D302">
            <v>5</v>
          </cell>
          <cell r="E302">
            <v>4</v>
          </cell>
          <cell r="F302">
            <v>18</v>
          </cell>
          <cell r="H302">
            <v>7.7</v>
          </cell>
          <cell r="I302">
            <v>48</v>
          </cell>
          <cell r="J302">
            <v>100</v>
          </cell>
          <cell r="O302">
            <v>15</v>
          </cell>
          <cell r="P302" t="str">
            <v>Lab. C.D. 14.7ppm H.C:</v>
          </cell>
        </row>
        <row r="303">
          <cell r="A303">
            <v>38590</v>
          </cell>
          <cell r="O303">
            <v>13.4</v>
          </cell>
        </row>
        <row r="304">
          <cell r="A304">
            <v>38593</v>
          </cell>
          <cell r="O304">
            <v>8.7200000000000006</v>
          </cell>
        </row>
        <row r="305">
          <cell r="A305">
            <v>38595</v>
          </cell>
          <cell r="O305">
            <v>11.1</v>
          </cell>
        </row>
        <row r="306">
          <cell r="A306">
            <v>38600</v>
          </cell>
          <cell r="O306">
            <v>7.7</v>
          </cell>
        </row>
        <row r="307">
          <cell r="A307">
            <v>38602</v>
          </cell>
          <cell r="O307">
            <v>15.2</v>
          </cell>
        </row>
        <row r="308">
          <cell r="A308">
            <v>38607</v>
          </cell>
          <cell r="O308">
            <v>10.7</v>
          </cell>
        </row>
        <row r="309">
          <cell r="A309">
            <v>38611</v>
          </cell>
          <cell r="O309">
            <v>6.5</v>
          </cell>
        </row>
        <row r="310">
          <cell r="A310">
            <v>38614</v>
          </cell>
          <cell r="O310">
            <v>19.899999999999999</v>
          </cell>
        </row>
        <row r="311">
          <cell r="A311">
            <v>38616</v>
          </cell>
          <cell r="O311">
            <v>17.5</v>
          </cell>
        </row>
        <row r="312">
          <cell r="A312">
            <v>38621</v>
          </cell>
          <cell r="O312">
            <v>17.600000000000001</v>
          </cell>
        </row>
        <row r="313">
          <cell r="A313">
            <v>38644</v>
          </cell>
          <cell r="O313">
            <v>12.9</v>
          </cell>
        </row>
        <row r="314">
          <cell r="A314">
            <v>38651</v>
          </cell>
          <cell r="O314">
            <v>15.3</v>
          </cell>
        </row>
        <row r="315">
          <cell r="A315">
            <v>38646</v>
          </cell>
          <cell r="D315">
            <v>3</v>
          </cell>
          <cell r="E315">
            <v>8</v>
          </cell>
          <cell r="F315">
            <v>20</v>
          </cell>
          <cell r="H315">
            <v>7.14</v>
          </cell>
          <cell r="I315">
            <v>54</v>
          </cell>
          <cell r="J315">
            <v>1000</v>
          </cell>
          <cell r="O315">
            <v>15</v>
          </cell>
        </row>
        <row r="316">
          <cell r="A316">
            <v>38659</v>
          </cell>
          <cell r="O316">
            <v>37.299999999999997</v>
          </cell>
        </row>
        <row r="317">
          <cell r="A317">
            <v>38672</v>
          </cell>
          <cell r="D317">
            <v>3</v>
          </cell>
          <cell r="E317">
            <v>10</v>
          </cell>
          <cell r="F317">
            <v>10</v>
          </cell>
          <cell r="H317">
            <v>7.49</v>
          </cell>
          <cell r="I317">
            <v>53</v>
          </cell>
          <cell r="J317">
            <v>10000</v>
          </cell>
          <cell r="O317">
            <v>6</v>
          </cell>
        </row>
        <row r="318">
          <cell r="A318">
            <v>38687</v>
          </cell>
          <cell r="O318">
            <v>6.3</v>
          </cell>
        </row>
        <row r="319">
          <cell r="A319">
            <v>38699</v>
          </cell>
          <cell r="O319">
            <v>8.4</v>
          </cell>
        </row>
        <row r="320">
          <cell r="A320">
            <v>38701</v>
          </cell>
          <cell r="D320">
            <v>1</v>
          </cell>
          <cell r="E320">
            <v>7</v>
          </cell>
          <cell r="F320">
            <v>60</v>
          </cell>
          <cell r="H320" t="str">
            <v>7,60</v>
          </cell>
          <cell r="I320">
            <v>55</v>
          </cell>
          <cell r="J320">
            <v>1000</v>
          </cell>
          <cell r="O320">
            <v>13</v>
          </cell>
        </row>
        <row r="321">
          <cell r="A321">
            <v>38707</v>
          </cell>
          <cell r="O321">
            <v>10.1</v>
          </cell>
        </row>
        <row r="322">
          <cell r="A322">
            <v>38729</v>
          </cell>
          <cell r="D322">
            <v>2</v>
          </cell>
          <cell r="E322">
            <v>6</v>
          </cell>
          <cell r="F322">
            <v>8</v>
          </cell>
          <cell r="H322">
            <v>7.48</v>
          </cell>
          <cell r="I322">
            <v>57</v>
          </cell>
          <cell r="J322">
            <v>10</v>
          </cell>
          <cell r="O322">
            <v>17</v>
          </cell>
        </row>
        <row r="323">
          <cell r="A323">
            <v>38737</v>
          </cell>
          <cell r="O323">
            <v>24.1</v>
          </cell>
        </row>
        <row r="324">
          <cell r="A324">
            <v>38763</v>
          </cell>
          <cell r="J324">
            <v>100</v>
          </cell>
        </row>
        <row r="325">
          <cell r="A325">
            <v>38810</v>
          </cell>
          <cell r="J325">
            <v>10</v>
          </cell>
        </row>
        <row r="326">
          <cell r="A326">
            <v>38827</v>
          </cell>
          <cell r="D326">
            <v>3</v>
          </cell>
          <cell r="E326">
            <v>8</v>
          </cell>
          <cell r="F326">
            <v>12</v>
          </cell>
          <cell r="H326">
            <v>7.58</v>
          </cell>
          <cell r="I326">
            <v>58</v>
          </cell>
          <cell r="J326">
            <v>100</v>
          </cell>
          <cell r="O326">
            <v>7</v>
          </cell>
        </row>
        <row r="327">
          <cell r="A327">
            <v>38866</v>
          </cell>
          <cell r="D327">
            <v>2</v>
          </cell>
          <cell r="E327">
            <v>12</v>
          </cell>
          <cell r="F327">
            <v>16</v>
          </cell>
          <cell r="H327">
            <v>7.29</v>
          </cell>
          <cell r="I327">
            <v>52</v>
          </cell>
          <cell r="J327">
            <v>1000</v>
          </cell>
          <cell r="O327">
            <v>5</v>
          </cell>
        </row>
        <row r="328">
          <cell r="A328">
            <v>38883</v>
          </cell>
          <cell r="D328">
            <v>3</v>
          </cell>
          <cell r="E328">
            <v>14</v>
          </cell>
          <cell r="F328">
            <v>12</v>
          </cell>
          <cell r="H328">
            <v>7.46</v>
          </cell>
          <cell r="I328">
            <v>53</v>
          </cell>
          <cell r="J328">
            <v>10000</v>
          </cell>
          <cell r="O328">
            <v>22</v>
          </cell>
        </row>
        <row r="329">
          <cell r="A329">
            <v>38910</v>
          </cell>
          <cell r="D329">
            <v>4</v>
          </cell>
          <cell r="E329">
            <v>11</v>
          </cell>
          <cell r="F329">
            <v>12</v>
          </cell>
          <cell r="H329">
            <v>7.57</v>
          </cell>
          <cell r="I329">
            <v>54</v>
          </cell>
          <cell r="J329">
            <v>100</v>
          </cell>
          <cell r="O329">
            <v>18</v>
          </cell>
        </row>
        <row r="330">
          <cell r="A330">
            <v>38958</v>
          </cell>
          <cell r="D330">
            <v>2</v>
          </cell>
          <cell r="E330">
            <v>10</v>
          </cell>
          <cell r="F330">
            <v>20</v>
          </cell>
          <cell r="H330">
            <v>7.68</v>
          </cell>
          <cell r="I330">
            <v>56</v>
          </cell>
          <cell r="J330">
            <v>100</v>
          </cell>
          <cell r="O330">
            <v>30</v>
          </cell>
        </row>
        <row r="331">
          <cell r="A331">
            <v>38981</v>
          </cell>
          <cell r="D331">
            <v>3</v>
          </cell>
          <cell r="E331">
            <v>8</v>
          </cell>
          <cell r="F331">
            <v>30</v>
          </cell>
          <cell r="H331">
            <v>7.45</v>
          </cell>
          <cell r="I331">
            <v>58</v>
          </cell>
          <cell r="J331">
            <v>1000</v>
          </cell>
          <cell r="O331">
            <v>9</v>
          </cell>
        </row>
        <row r="332">
          <cell r="A332">
            <v>39016</v>
          </cell>
          <cell r="D332">
            <v>2</v>
          </cell>
          <cell r="E332">
            <v>6</v>
          </cell>
          <cell r="F332">
            <v>20</v>
          </cell>
          <cell r="H332">
            <v>7.52</v>
          </cell>
          <cell r="I332">
            <v>56</v>
          </cell>
          <cell r="J332">
            <v>100</v>
          </cell>
          <cell r="O332">
            <v>6</v>
          </cell>
        </row>
        <row r="365">
          <cell r="A365" t="str">
            <v>OBSERVACIONES :</v>
          </cell>
        </row>
      </sheetData>
      <sheetData sheetId="9">
        <row r="4">
          <cell r="A4" t="str">
            <v>FECHA</v>
          </cell>
          <cell r="B4" t="str">
            <v>SO4=</v>
          </cell>
          <cell r="C4" t="str">
            <v>Fe</v>
          </cell>
          <cell r="D4" t="str">
            <v>S=</v>
          </cell>
          <cell r="E4" t="str">
            <v>CO2</v>
          </cell>
          <cell r="F4" t="str">
            <v>O2</v>
          </cell>
          <cell r="G4" t="str">
            <v>Rms.</v>
          </cell>
          <cell r="H4" t="str">
            <v>pH</v>
          </cell>
          <cell r="I4" t="str">
            <v>Temp.</v>
          </cell>
          <cell r="J4" t="str">
            <v>B.S.R.</v>
          </cell>
          <cell r="K4" t="str">
            <v xml:space="preserve">Solidos </v>
          </cell>
          <cell r="L4" t="str">
            <v>Solidos</v>
          </cell>
          <cell r="M4" t="str">
            <v>Organicos</v>
          </cell>
          <cell r="N4" t="str">
            <v>Sólidos Susp. Totales</v>
          </cell>
          <cell r="O4" t="str">
            <v>Oil/W</v>
          </cell>
          <cell r="P4" t="str">
            <v>Ca</v>
          </cell>
          <cell r="Q4" t="str">
            <v>Mg</v>
          </cell>
          <cell r="R4" t="str">
            <v>COH3-</v>
          </cell>
          <cell r="S4" t="str">
            <v>CO3=</v>
          </cell>
          <cell r="T4" t="str">
            <v>SO3=</v>
          </cell>
          <cell r="U4" t="str">
            <v>Observaciones</v>
          </cell>
        </row>
        <row r="5">
          <cell r="K5" t="str">
            <v>Insolubles</v>
          </cell>
          <cell r="L5" t="str">
            <v>Solubles</v>
          </cell>
          <cell r="O5" t="str">
            <v>(Expect)</v>
          </cell>
        </row>
        <row r="6">
          <cell r="B6" t="str">
            <v>mg / l</v>
          </cell>
          <cell r="C6" t="str">
            <v>mg / l</v>
          </cell>
          <cell r="D6" t="str">
            <v>mg / l</v>
          </cell>
          <cell r="E6" t="str">
            <v>mg / l</v>
          </cell>
          <cell r="F6" t="str">
            <v>ppb</v>
          </cell>
          <cell r="G6" t="str">
            <v>ohm/m</v>
          </cell>
          <cell r="I6" t="str">
            <v>°C</v>
          </cell>
          <cell r="J6" t="str">
            <v>col / ml</v>
          </cell>
          <cell r="K6" t="str">
            <v>mg / l</v>
          </cell>
          <cell r="L6" t="str">
            <v>mg / l</v>
          </cell>
          <cell r="M6" t="str">
            <v>mg / l</v>
          </cell>
          <cell r="N6" t="str">
            <v>mg / l</v>
          </cell>
          <cell r="O6" t="str">
            <v>ppm</v>
          </cell>
          <cell r="P6" t="str">
            <v>mg / l</v>
          </cell>
          <cell r="Q6" t="str">
            <v>mg / l</v>
          </cell>
          <cell r="R6" t="str">
            <v>mg / l</v>
          </cell>
          <cell r="S6" t="str">
            <v>mg / l</v>
          </cell>
          <cell r="T6" t="str">
            <v>mg / l</v>
          </cell>
        </row>
        <row r="7">
          <cell r="A7">
            <v>36854</v>
          </cell>
          <cell r="B7">
            <v>28</v>
          </cell>
          <cell r="C7">
            <v>2.56</v>
          </cell>
          <cell r="D7">
            <v>3.54</v>
          </cell>
          <cell r="E7">
            <v>15</v>
          </cell>
          <cell r="F7">
            <v>10</v>
          </cell>
          <cell r="G7">
            <v>2.2153300841825434</v>
          </cell>
          <cell r="H7">
            <v>7.71</v>
          </cell>
          <cell r="I7">
            <v>50</v>
          </cell>
          <cell r="J7">
            <v>1000</v>
          </cell>
          <cell r="K7">
            <v>1.3</v>
          </cell>
          <cell r="L7">
            <v>2.6</v>
          </cell>
          <cell r="M7">
            <v>56</v>
          </cell>
          <cell r="N7">
            <v>60</v>
          </cell>
          <cell r="O7">
            <v>51</v>
          </cell>
        </row>
        <row r="8">
          <cell r="A8">
            <v>36871</v>
          </cell>
          <cell r="B8">
            <v>29</v>
          </cell>
          <cell r="C8">
            <v>2.68</v>
          </cell>
          <cell r="D8">
            <v>4</v>
          </cell>
          <cell r="E8">
            <v>15</v>
          </cell>
          <cell r="G8">
            <v>2.2123893805309733</v>
          </cell>
          <cell r="H8">
            <v>7.73</v>
          </cell>
          <cell r="I8">
            <v>51</v>
          </cell>
          <cell r="J8">
            <v>1000</v>
          </cell>
          <cell r="K8">
            <v>2.8</v>
          </cell>
          <cell r="L8">
            <v>1</v>
          </cell>
          <cell r="M8">
            <v>35</v>
          </cell>
          <cell r="N8">
            <v>36</v>
          </cell>
          <cell r="O8">
            <v>23</v>
          </cell>
        </row>
        <row r="9">
          <cell r="A9">
            <v>36879</v>
          </cell>
          <cell r="B9">
            <v>27</v>
          </cell>
          <cell r="C9">
            <v>2.6</v>
          </cell>
          <cell r="D9">
            <v>2</v>
          </cell>
          <cell r="E9">
            <v>15</v>
          </cell>
          <cell r="G9">
            <v>2.2421524663677128</v>
          </cell>
          <cell r="H9">
            <v>7.68</v>
          </cell>
          <cell r="I9">
            <v>56</v>
          </cell>
          <cell r="J9">
            <v>1000</v>
          </cell>
          <cell r="K9">
            <v>0.8</v>
          </cell>
          <cell r="L9">
            <v>27</v>
          </cell>
          <cell r="M9">
            <v>52</v>
          </cell>
          <cell r="N9">
            <v>80</v>
          </cell>
          <cell r="O9">
            <v>52</v>
          </cell>
        </row>
        <row r="10">
          <cell r="A10">
            <v>36887</v>
          </cell>
          <cell r="B10">
            <v>24</v>
          </cell>
          <cell r="C10">
            <v>0.28000000000000003</v>
          </cell>
          <cell r="D10">
            <v>3.8</v>
          </cell>
          <cell r="E10">
            <v>15</v>
          </cell>
          <cell r="F10">
            <v>40</v>
          </cell>
          <cell r="G10">
            <v>2.2371364653243848</v>
          </cell>
          <cell r="H10">
            <v>7.73</v>
          </cell>
          <cell r="I10">
            <v>55</v>
          </cell>
          <cell r="J10">
            <v>1000</v>
          </cell>
          <cell r="K10">
            <v>2.8</v>
          </cell>
          <cell r="L10">
            <v>1</v>
          </cell>
          <cell r="M10">
            <v>50.75</v>
          </cell>
          <cell r="N10">
            <v>54</v>
          </cell>
          <cell r="O10">
            <v>35</v>
          </cell>
        </row>
        <row r="11">
          <cell r="A11">
            <v>36907</v>
          </cell>
          <cell r="B11">
            <v>35</v>
          </cell>
          <cell r="C11">
            <v>0.38</v>
          </cell>
          <cell r="D11">
            <v>5.5</v>
          </cell>
          <cell r="E11">
            <v>12</v>
          </cell>
          <cell r="G11">
            <v>2.1834061135371181</v>
          </cell>
          <cell r="H11">
            <v>7.78</v>
          </cell>
          <cell r="I11">
            <v>58</v>
          </cell>
          <cell r="K11">
            <v>2.2999999999999998</v>
          </cell>
          <cell r="L11">
            <v>0.5</v>
          </cell>
          <cell r="M11">
            <v>46</v>
          </cell>
          <cell r="N11">
            <v>49</v>
          </cell>
          <cell r="O11">
            <v>52</v>
          </cell>
        </row>
        <row r="12">
          <cell r="A12">
            <v>36924</v>
          </cell>
          <cell r="O12">
            <v>27</v>
          </cell>
        </row>
        <row r="13">
          <cell r="A13">
            <v>36931</v>
          </cell>
          <cell r="O13">
            <v>39</v>
          </cell>
        </row>
        <row r="14">
          <cell r="A14">
            <v>36938</v>
          </cell>
          <cell r="O14">
            <v>41</v>
          </cell>
        </row>
        <row r="15">
          <cell r="A15">
            <v>36945</v>
          </cell>
          <cell r="O15">
            <v>42</v>
          </cell>
        </row>
        <row r="16">
          <cell r="A16">
            <v>36957</v>
          </cell>
          <cell r="O16">
            <v>36</v>
          </cell>
        </row>
        <row r="17">
          <cell r="A17">
            <v>36958</v>
          </cell>
          <cell r="B17">
            <v>12</v>
          </cell>
          <cell r="C17">
            <v>0.48</v>
          </cell>
          <cell r="D17">
            <v>1.81</v>
          </cell>
          <cell r="E17">
            <v>10</v>
          </cell>
          <cell r="F17">
            <v>25</v>
          </cell>
          <cell r="I17">
            <v>50</v>
          </cell>
          <cell r="J17">
            <v>10</v>
          </cell>
          <cell r="O17">
            <v>44</v>
          </cell>
        </row>
        <row r="18">
          <cell r="A18">
            <v>36959</v>
          </cell>
          <cell r="O18">
            <v>21</v>
          </cell>
        </row>
        <row r="19">
          <cell r="A19">
            <v>36962</v>
          </cell>
          <cell r="O19">
            <v>34</v>
          </cell>
        </row>
        <row r="20">
          <cell r="A20">
            <v>36964</v>
          </cell>
          <cell r="O20">
            <v>39</v>
          </cell>
        </row>
        <row r="21">
          <cell r="A21">
            <v>36966</v>
          </cell>
          <cell r="O21">
            <v>26</v>
          </cell>
        </row>
        <row r="22">
          <cell r="A22">
            <v>36969</v>
          </cell>
          <cell r="O22">
            <v>17</v>
          </cell>
        </row>
        <row r="23">
          <cell r="A23">
            <v>36973</v>
          </cell>
          <cell r="O23">
            <v>29</v>
          </cell>
        </row>
        <row r="24">
          <cell r="A24">
            <v>36976</v>
          </cell>
          <cell r="O24">
            <v>25</v>
          </cell>
        </row>
        <row r="25">
          <cell r="A25">
            <v>36978</v>
          </cell>
          <cell r="O25">
            <v>18</v>
          </cell>
        </row>
        <row r="26">
          <cell r="A26">
            <v>36984</v>
          </cell>
          <cell r="C26">
            <v>0.6</v>
          </cell>
          <cell r="D26">
            <v>2</v>
          </cell>
          <cell r="E26">
            <v>10</v>
          </cell>
          <cell r="F26">
            <v>100</v>
          </cell>
          <cell r="G26">
            <v>2.2222222222222223</v>
          </cell>
          <cell r="H26">
            <v>7.51</v>
          </cell>
          <cell r="I26">
            <v>56</v>
          </cell>
          <cell r="J26">
            <v>10</v>
          </cell>
          <cell r="O26">
            <v>36</v>
          </cell>
        </row>
        <row r="27">
          <cell r="A27">
            <v>37006</v>
          </cell>
          <cell r="B27">
            <v>30</v>
          </cell>
          <cell r="C27">
            <v>0.27</v>
          </cell>
          <cell r="D27">
            <v>0.1</v>
          </cell>
          <cell r="E27">
            <v>10</v>
          </cell>
          <cell r="F27">
            <v>90</v>
          </cell>
          <cell r="H27">
            <v>7.8</v>
          </cell>
          <cell r="I27">
            <v>50</v>
          </cell>
          <cell r="J27">
            <v>100</v>
          </cell>
          <cell r="K27">
            <v>1.6</v>
          </cell>
          <cell r="L27">
            <v>0.9</v>
          </cell>
          <cell r="M27">
            <v>15.6</v>
          </cell>
          <cell r="N27">
            <v>18.399999999999999</v>
          </cell>
        </row>
        <row r="28">
          <cell r="A28">
            <v>37033</v>
          </cell>
          <cell r="B28">
            <v>21</v>
          </cell>
          <cell r="C28">
            <v>0.1</v>
          </cell>
          <cell r="D28">
            <v>1.5</v>
          </cell>
          <cell r="E28">
            <v>6</v>
          </cell>
          <cell r="F28">
            <v>250</v>
          </cell>
          <cell r="G28">
            <v>2.347417840375587</v>
          </cell>
          <cell r="H28">
            <v>8.1</v>
          </cell>
          <cell r="I28">
            <v>54</v>
          </cell>
          <cell r="J28">
            <v>100</v>
          </cell>
          <cell r="K28">
            <v>0.3</v>
          </cell>
          <cell r="L28">
            <v>0.8</v>
          </cell>
          <cell r="M28">
            <v>12.9</v>
          </cell>
          <cell r="N28">
            <v>13.9</v>
          </cell>
          <cell r="O28">
            <v>24</v>
          </cell>
        </row>
        <row r="29">
          <cell r="A29">
            <v>37062</v>
          </cell>
          <cell r="B29">
            <v>26</v>
          </cell>
          <cell r="C29">
            <v>0.15</v>
          </cell>
          <cell r="D29">
            <v>0.7</v>
          </cell>
          <cell r="E29">
            <v>12</v>
          </cell>
          <cell r="F29">
            <v>250</v>
          </cell>
          <cell r="G29">
            <v>2.1779999999999999</v>
          </cell>
          <cell r="H29">
            <v>7.97</v>
          </cell>
          <cell r="I29">
            <v>55</v>
          </cell>
          <cell r="J29">
            <v>100</v>
          </cell>
          <cell r="O29">
            <v>57</v>
          </cell>
          <cell r="U29" t="str">
            <v>Durante Junio hay mucho petróleo en pileta porque se tiro por no haber capacidad en Caleta Cordoba</v>
          </cell>
        </row>
        <row r="30">
          <cell r="A30">
            <v>37089</v>
          </cell>
          <cell r="B30">
            <v>9</v>
          </cell>
          <cell r="C30">
            <v>0.1</v>
          </cell>
          <cell r="D30">
            <v>2.5</v>
          </cell>
          <cell r="E30">
            <v>15</v>
          </cell>
          <cell r="F30">
            <v>80</v>
          </cell>
          <cell r="G30">
            <v>2.2519999999999998</v>
          </cell>
          <cell r="H30">
            <v>7.65</v>
          </cell>
          <cell r="I30">
            <v>49</v>
          </cell>
          <cell r="J30">
            <v>100</v>
          </cell>
          <cell r="K30">
            <v>1.6</v>
          </cell>
          <cell r="L30">
            <v>1.3</v>
          </cell>
          <cell r="M30">
            <v>43.3</v>
          </cell>
          <cell r="N30">
            <v>46.1</v>
          </cell>
          <cell r="O30">
            <v>42</v>
          </cell>
        </row>
        <row r="31">
          <cell r="A31">
            <v>37090</v>
          </cell>
          <cell r="O31">
            <v>45</v>
          </cell>
        </row>
        <row r="32">
          <cell r="A32">
            <v>37092</v>
          </cell>
          <cell r="O32">
            <v>54</v>
          </cell>
        </row>
        <row r="33">
          <cell r="A33">
            <v>37106</v>
          </cell>
          <cell r="O33">
            <v>50</v>
          </cell>
        </row>
        <row r="34">
          <cell r="A34">
            <v>37130</v>
          </cell>
          <cell r="O34">
            <v>55</v>
          </cell>
        </row>
        <row r="35">
          <cell r="A35">
            <v>37134</v>
          </cell>
          <cell r="O35">
            <v>89</v>
          </cell>
        </row>
        <row r="36">
          <cell r="A36">
            <v>37137</v>
          </cell>
          <cell r="O36">
            <v>44</v>
          </cell>
        </row>
        <row r="37">
          <cell r="A37">
            <v>37144</v>
          </cell>
          <cell r="B37">
            <v>22</v>
          </cell>
          <cell r="C37">
            <v>0.25</v>
          </cell>
          <cell r="D37">
            <v>2</v>
          </cell>
          <cell r="E37">
            <v>12</v>
          </cell>
          <cell r="F37">
            <v>15</v>
          </cell>
          <cell r="G37">
            <v>2.2669999999999999</v>
          </cell>
          <cell r="H37">
            <v>7.79</v>
          </cell>
          <cell r="I37">
            <v>48</v>
          </cell>
          <cell r="J37">
            <v>10</v>
          </cell>
          <cell r="K37">
            <v>1.9</v>
          </cell>
          <cell r="L37">
            <v>1.1000000000000001</v>
          </cell>
          <cell r="M37">
            <v>32.9</v>
          </cell>
          <cell r="N37">
            <v>35.9</v>
          </cell>
          <cell r="O37">
            <v>48</v>
          </cell>
          <cell r="U37" t="str">
            <v>Fecha de lect.Bact. 27/08/2001</v>
          </cell>
        </row>
        <row r="38">
          <cell r="A38">
            <v>37146</v>
          </cell>
          <cell r="O38">
            <v>67</v>
          </cell>
        </row>
        <row r="39">
          <cell r="A39">
            <v>37148</v>
          </cell>
          <cell r="O39">
            <v>50</v>
          </cell>
        </row>
        <row r="40">
          <cell r="A40">
            <v>37151</v>
          </cell>
          <cell r="O40">
            <v>28</v>
          </cell>
        </row>
        <row r="41">
          <cell r="A41">
            <v>37153</v>
          </cell>
          <cell r="O41">
            <v>37</v>
          </cell>
        </row>
        <row r="42">
          <cell r="A42">
            <v>37155</v>
          </cell>
          <cell r="O42">
            <v>32</v>
          </cell>
        </row>
        <row r="43">
          <cell r="A43">
            <v>37158</v>
          </cell>
          <cell r="O43">
            <v>36</v>
          </cell>
        </row>
        <row r="44">
          <cell r="A44">
            <v>37160</v>
          </cell>
          <cell r="O44">
            <v>25</v>
          </cell>
        </row>
        <row r="45">
          <cell r="A45">
            <v>37173</v>
          </cell>
          <cell r="B45">
            <v>17</v>
          </cell>
          <cell r="C45">
            <v>0.7</v>
          </cell>
          <cell r="D45">
            <v>2.5</v>
          </cell>
          <cell r="E45">
            <v>10</v>
          </cell>
          <cell r="F45">
            <v>6</v>
          </cell>
          <cell r="G45">
            <v>2.3148</v>
          </cell>
          <cell r="H45">
            <v>8.32</v>
          </cell>
          <cell r="I45">
            <v>54</v>
          </cell>
          <cell r="J45">
            <v>10</v>
          </cell>
          <cell r="K45">
            <v>1.2</v>
          </cell>
          <cell r="L45">
            <v>0.8</v>
          </cell>
          <cell r="M45">
            <v>31.5</v>
          </cell>
          <cell r="N45">
            <v>33.5</v>
          </cell>
          <cell r="O45">
            <v>29</v>
          </cell>
        </row>
        <row r="46">
          <cell r="A46">
            <v>37175</v>
          </cell>
          <cell r="O46">
            <v>32</v>
          </cell>
        </row>
        <row r="47">
          <cell r="A47">
            <v>37183</v>
          </cell>
          <cell r="O47">
            <v>16</v>
          </cell>
        </row>
        <row r="48">
          <cell r="A48">
            <v>37186</v>
          </cell>
          <cell r="O48">
            <v>179</v>
          </cell>
        </row>
        <row r="49">
          <cell r="A49">
            <v>37188</v>
          </cell>
          <cell r="O49">
            <v>51</v>
          </cell>
        </row>
        <row r="50">
          <cell r="A50">
            <v>37193</v>
          </cell>
          <cell r="J50">
            <v>1000</v>
          </cell>
          <cell r="O50">
            <v>42</v>
          </cell>
          <cell r="U50" t="str">
            <v>Fecha de Cult. 29/10</v>
          </cell>
        </row>
        <row r="51">
          <cell r="A51">
            <v>37203</v>
          </cell>
          <cell r="B51">
            <v>19</v>
          </cell>
          <cell r="C51">
            <v>0.15</v>
          </cell>
          <cell r="D51">
            <v>2</v>
          </cell>
          <cell r="E51">
            <v>13</v>
          </cell>
          <cell r="F51">
            <v>30</v>
          </cell>
          <cell r="G51">
            <v>2.2778999999999998</v>
          </cell>
          <cell r="H51">
            <v>7.5</v>
          </cell>
          <cell r="I51">
            <v>56</v>
          </cell>
          <cell r="J51">
            <v>1000</v>
          </cell>
          <cell r="K51">
            <v>0.6</v>
          </cell>
          <cell r="L51">
            <v>1.8</v>
          </cell>
          <cell r="M51">
            <v>40.1</v>
          </cell>
          <cell r="N51">
            <v>42.5</v>
          </cell>
          <cell r="O51">
            <v>37</v>
          </cell>
          <cell r="U51" t="str">
            <v>Octubre Petroleo en Pileta</v>
          </cell>
        </row>
        <row r="52">
          <cell r="A52">
            <v>37229</v>
          </cell>
          <cell r="B52">
            <v>18</v>
          </cell>
          <cell r="C52">
            <v>0.15</v>
          </cell>
          <cell r="D52">
            <v>2</v>
          </cell>
          <cell r="E52">
            <v>10</v>
          </cell>
          <cell r="F52">
            <v>12</v>
          </cell>
          <cell r="G52">
            <v>2.3923000000000001</v>
          </cell>
          <cell r="H52">
            <v>6.8</v>
          </cell>
          <cell r="I52">
            <v>54</v>
          </cell>
          <cell r="J52">
            <v>1000</v>
          </cell>
          <cell r="K52">
            <v>1.3</v>
          </cell>
          <cell r="L52">
            <v>2</v>
          </cell>
          <cell r="M52">
            <v>48</v>
          </cell>
          <cell r="N52">
            <v>51.3</v>
          </cell>
          <cell r="O52">
            <v>57</v>
          </cell>
          <cell r="U52" t="str">
            <v>Lect.Bact.8/11/01</v>
          </cell>
        </row>
        <row r="53">
          <cell r="A53">
            <v>37230</v>
          </cell>
          <cell r="M53">
            <v>9.4</v>
          </cell>
          <cell r="N53">
            <v>16.100000000000001</v>
          </cell>
          <cell r="U53" t="str">
            <v>Realizó BAKER</v>
          </cell>
        </row>
        <row r="54">
          <cell r="A54">
            <v>37236</v>
          </cell>
          <cell r="M54">
            <v>12.4</v>
          </cell>
          <cell r="N54">
            <v>18.5</v>
          </cell>
          <cell r="U54" t="str">
            <v>Realizó BAKER</v>
          </cell>
        </row>
        <row r="55">
          <cell r="A55">
            <v>37260</v>
          </cell>
          <cell r="O55">
            <v>32</v>
          </cell>
        </row>
        <row r="56">
          <cell r="A56">
            <v>37265</v>
          </cell>
          <cell r="B56">
            <v>23</v>
          </cell>
          <cell r="C56">
            <v>0.1</v>
          </cell>
          <cell r="D56">
            <v>0</v>
          </cell>
          <cell r="E56">
            <v>10</v>
          </cell>
          <cell r="F56">
            <v>250</v>
          </cell>
          <cell r="G56">
            <v>2.32558</v>
          </cell>
          <cell r="H56">
            <v>7.1</v>
          </cell>
          <cell r="I56">
            <v>42</v>
          </cell>
          <cell r="J56">
            <v>1000</v>
          </cell>
          <cell r="K56">
            <v>1.7</v>
          </cell>
          <cell r="L56">
            <v>1.1000000000000001</v>
          </cell>
          <cell r="M56">
            <v>25.2</v>
          </cell>
          <cell r="N56">
            <v>28</v>
          </cell>
          <cell r="O56">
            <v>40</v>
          </cell>
          <cell r="U56" t="str">
            <v>Lect.Bact. 8/11/01-O2med.23/01</v>
          </cell>
        </row>
        <row r="57">
          <cell r="A57">
            <v>37281</v>
          </cell>
          <cell r="O57">
            <v>7</v>
          </cell>
        </row>
        <row r="58">
          <cell r="A58">
            <v>37284</v>
          </cell>
          <cell r="O58">
            <v>15</v>
          </cell>
        </row>
        <row r="59">
          <cell r="A59">
            <v>37286</v>
          </cell>
          <cell r="O59">
            <v>21</v>
          </cell>
        </row>
        <row r="60">
          <cell r="A60">
            <v>37289</v>
          </cell>
          <cell r="O60">
            <v>30</v>
          </cell>
        </row>
        <row r="61">
          <cell r="A61">
            <v>37291</v>
          </cell>
          <cell r="O61">
            <v>11</v>
          </cell>
        </row>
        <row r="62">
          <cell r="A62">
            <v>37293</v>
          </cell>
          <cell r="O62">
            <v>14</v>
          </cell>
        </row>
        <row r="63">
          <cell r="A63">
            <v>37288</v>
          </cell>
          <cell r="B63">
            <v>15</v>
          </cell>
          <cell r="C63">
            <v>0.1</v>
          </cell>
          <cell r="D63">
            <v>0.9</v>
          </cell>
          <cell r="E63">
            <v>8</v>
          </cell>
          <cell r="F63">
            <v>6</v>
          </cell>
          <cell r="G63">
            <v>2.3450000000000002</v>
          </cell>
          <cell r="H63">
            <v>7.3</v>
          </cell>
          <cell r="I63">
            <v>52</v>
          </cell>
          <cell r="J63">
            <v>1000</v>
          </cell>
          <cell r="K63">
            <v>1.8</v>
          </cell>
          <cell r="L63">
            <v>1</v>
          </cell>
          <cell r="M63">
            <v>22.1</v>
          </cell>
          <cell r="N63">
            <v>24.9</v>
          </cell>
          <cell r="O63">
            <v>41</v>
          </cell>
        </row>
        <row r="64">
          <cell r="A64">
            <v>37295</v>
          </cell>
          <cell r="O64">
            <v>32</v>
          </cell>
        </row>
        <row r="65">
          <cell r="A65">
            <v>37298</v>
          </cell>
          <cell r="O65">
            <v>17</v>
          </cell>
        </row>
        <row r="66">
          <cell r="A66">
            <v>37300</v>
          </cell>
          <cell r="O66">
            <v>29</v>
          </cell>
        </row>
        <row r="67">
          <cell r="A67">
            <v>37302</v>
          </cell>
          <cell r="O67">
            <v>33</v>
          </cell>
        </row>
        <row r="68">
          <cell r="A68">
            <v>37305</v>
          </cell>
          <cell r="O68">
            <v>23</v>
          </cell>
        </row>
        <row r="69">
          <cell r="A69">
            <v>37309</v>
          </cell>
          <cell r="O69">
            <v>14</v>
          </cell>
        </row>
        <row r="70">
          <cell r="A70">
            <v>37314</v>
          </cell>
          <cell r="O70">
            <v>16</v>
          </cell>
        </row>
        <row r="71">
          <cell r="A71">
            <v>37319</v>
          </cell>
          <cell r="O71">
            <v>22</v>
          </cell>
        </row>
        <row r="72">
          <cell r="A72">
            <v>37321</v>
          </cell>
          <cell r="O72">
            <v>91</v>
          </cell>
        </row>
        <row r="73">
          <cell r="A73">
            <v>37322</v>
          </cell>
          <cell r="O73">
            <v>16</v>
          </cell>
        </row>
        <row r="74">
          <cell r="A74">
            <v>37323</v>
          </cell>
          <cell r="O74">
            <v>30</v>
          </cell>
        </row>
        <row r="75">
          <cell r="A75">
            <v>37326</v>
          </cell>
          <cell r="O75">
            <v>40</v>
          </cell>
        </row>
        <row r="76">
          <cell r="A76">
            <v>37327</v>
          </cell>
          <cell r="O76">
            <v>33</v>
          </cell>
        </row>
        <row r="77">
          <cell r="A77">
            <v>37328</v>
          </cell>
          <cell r="B77">
            <v>8</v>
          </cell>
          <cell r="C77">
            <v>0.1</v>
          </cell>
          <cell r="D77">
            <v>3.5</v>
          </cell>
          <cell r="E77">
            <v>10</v>
          </cell>
          <cell r="F77">
            <v>16</v>
          </cell>
          <cell r="G77">
            <v>2.331</v>
          </cell>
          <cell r="H77">
            <v>7.3</v>
          </cell>
          <cell r="I77">
            <v>55</v>
          </cell>
          <cell r="J77">
            <v>1000</v>
          </cell>
          <cell r="K77">
            <v>3</v>
          </cell>
          <cell r="L77">
            <v>1.7</v>
          </cell>
          <cell r="M77">
            <v>36.799999999999997</v>
          </cell>
          <cell r="N77">
            <v>51.5</v>
          </cell>
          <cell r="O77">
            <v>37</v>
          </cell>
          <cell r="P77">
            <v>52</v>
          </cell>
          <cell r="Q77">
            <v>2.88</v>
          </cell>
        </row>
        <row r="78">
          <cell r="A78">
            <v>37333</v>
          </cell>
          <cell r="O78">
            <v>51</v>
          </cell>
        </row>
        <row r="79">
          <cell r="A79">
            <v>37335</v>
          </cell>
          <cell r="O79">
            <v>40</v>
          </cell>
        </row>
        <row r="80">
          <cell r="A80">
            <v>37337</v>
          </cell>
          <cell r="O80">
            <v>44</v>
          </cell>
        </row>
        <row r="81">
          <cell r="A81">
            <v>37340</v>
          </cell>
          <cell r="O81">
            <v>29</v>
          </cell>
        </row>
        <row r="82">
          <cell r="A82">
            <v>37342</v>
          </cell>
          <cell r="O82">
            <v>119</v>
          </cell>
        </row>
        <row r="83">
          <cell r="A83">
            <v>37349</v>
          </cell>
          <cell r="O83">
            <v>52</v>
          </cell>
        </row>
        <row r="84">
          <cell r="A84">
            <v>37351</v>
          </cell>
          <cell r="O84">
            <v>103</v>
          </cell>
        </row>
        <row r="85">
          <cell r="A85">
            <v>37354</v>
          </cell>
          <cell r="O85">
            <v>22</v>
          </cell>
        </row>
        <row r="86">
          <cell r="A86">
            <v>37356</v>
          </cell>
          <cell r="O86">
            <v>132</v>
          </cell>
        </row>
        <row r="87">
          <cell r="A87">
            <v>37358</v>
          </cell>
          <cell r="O87">
            <v>16</v>
          </cell>
        </row>
        <row r="88">
          <cell r="A88">
            <v>37361</v>
          </cell>
          <cell r="B88">
            <v>14</v>
          </cell>
          <cell r="C88">
            <v>0.1</v>
          </cell>
          <cell r="D88">
            <v>2.5</v>
          </cell>
          <cell r="E88">
            <v>11</v>
          </cell>
          <cell r="F88">
            <v>8</v>
          </cell>
          <cell r="G88">
            <v>2.5</v>
          </cell>
          <cell r="H88">
            <v>7.2</v>
          </cell>
          <cell r="I88">
            <v>54</v>
          </cell>
          <cell r="J88">
            <v>100</v>
          </cell>
          <cell r="K88">
            <v>3.8</v>
          </cell>
          <cell r="L88">
            <v>0.6</v>
          </cell>
          <cell r="M88">
            <v>78.400000000000006</v>
          </cell>
          <cell r="N88">
            <v>82.8</v>
          </cell>
          <cell r="O88">
            <v>40</v>
          </cell>
          <cell r="P88">
            <v>64</v>
          </cell>
          <cell r="Q88">
            <v>0</v>
          </cell>
        </row>
        <row r="89">
          <cell r="A89">
            <v>37363</v>
          </cell>
          <cell r="O89">
            <v>91</v>
          </cell>
        </row>
        <row r="90">
          <cell r="A90">
            <v>37365</v>
          </cell>
          <cell r="O90">
            <v>38</v>
          </cell>
        </row>
        <row r="91">
          <cell r="A91">
            <v>37368</v>
          </cell>
          <cell r="O91">
            <v>40</v>
          </cell>
        </row>
        <row r="92">
          <cell r="A92">
            <v>37370</v>
          </cell>
          <cell r="O92">
            <v>35</v>
          </cell>
        </row>
        <row r="93">
          <cell r="A93">
            <v>37372</v>
          </cell>
          <cell r="O93">
            <v>23</v>
          </cell>
        </row>
        <row r="94">
          <cell r="A94">
            <v>37376</v>
          </cell>
          <cell r="O94">
            <v>11</v>
          </cell>
        </row>
        <row r="95">
          <cell r="A95">
            <v>37379</v>
          </cell>
          <cell r="O95">
            <v>13</v>
          </cell>
        </row>
        <row r="96">
          <cell r="A96">
            <v>37382</v>
          </cell>
          <cell r="O96">
            <v>20</v>
          </cell>
        </row>
        <row r="97">
          <cell r="A97">
            <v>37384</v>
          </cell>
          <cell r="O97">
            <v>7</v>
          </cell>
        </row>
        <row r="98">
          <cell r="A98">
            <v>37386</v>
          </cell>
          <cell r="O98">
            <v>6</v>
          </cell>
        </row>
        <row r="99">
          <cell r="A99">
            <v>37389</v>
          </cell>
          <cell r="O99">
            <v>14</v>
          </cell>
        </row>
        <row r="100">
          <cell r="A100">
            <v>37391</v>
          </cell>
          <cell r="O100">
            <v>37</v>
          </cell>
        </row>
        <row r="101">
          <cell r="A101">
            <v>37393</v>
          </cell>
          <cell r="O101">
            <v>8</v>
          </cell>
        </row>
        <row r="102">
          <cell r="A102">
            <v>37395</v>
          </cell>
          <cell r="O102">
            <v>15</v>
          </cell>
        </row>
        <row r="103">
          <cell r="A103">
            <v>37398</v>
          </cell>
          <cell r="O103">
            <v>10</v>
          </cell>
        </row>
        <row r="104">
          <cell r="A104">
            <v>37400</v>
          </cell>
          <cell r="O104">
            <v>17</v>
          </cell>
        </row>
        <row r="105">
          <cell r="A105">
            <v>37403</v>
          </cell>
          <cell r="O105">
            <v>14</v>
          </cell>
        </row>
        <row r="106">
          <cell r="A106">
            <v>37405</v>
          </cell>
          <cell r="O106">
            <v>10</v>
          </cell>
        </row>
        <row r="107">
          <cell r="A107">
            <v>37407</v>
          </cell>
          <cell r="O107">
            <v>32</v>
          </cell>
        </row>
        <row r="108">
          <cell r="A108">
            <v>37410</v>
          </cell>
          <cell r="B108">
            <v>16</v>
          </cell>
          <cell r="C108">
            <v>0.2</v>
          </cell>
          <cell r="D108">
            <v>3.5</v>
          </cell>
          <cell r="E108">
            <v>10</v>
          </cell>
          <cell r="F108">
            <v>600</v>
          </cell>
          <cell r="G108">
            <v>2.6953999999999998</v>
          </cell>
          <cell r="H108">
            <v>7</v>
          </cell>
          <cell r="I108">
            <v>44</v>
          </cell>
          <cell r="J108">
            <v>100</v>
          </cell>
          <cell r="K108">
            <v>1.8</v>
          </cell>
          <cell r="L108">
            <v>1</v>
          </cell>
          <cell r="M108">
            <v>43.1</v>
          </cell>
          <cell r="N108">
            <v>45.9</v>
          </cell>
          <cell r="O108">
            <v>36</v>
          </cell>
          <cell r="P108">
            <v>64</v>
          </cell>
          <cell r="Q108">
            <v>0</v>
          </cell>
        </row>
        <row r="109">
          <cell r="A109">
            <v>37418</v>
          </cell>
          <cell r="O109">
            <v>163</v>
          </cell>
        </row>
        <row r="110">
          <cell r="A110">
            <v>37424</v>
          </cell>
          <cell r="O110">
            <v>17.100000000000001</v>
          </cell>
        </row>
        <row r="111">
          <cell r="A111">
            <v>37426</v>
          </cell>
          <cell r="O111">
            <v>21</v>
          </cell>
        </row>
        <row r="112">
          <cell r="A112">
            <v>37428</v>
          </cell>
          <cell r="O112">
            <v>13.1</v>
          </cell>
        </row>
        <row r="113">
          <cell r="A113">
            <v>37431</v>
          </cell>
          <cell r="O113">
            <v>17.5</v>
          </cell>
        </row>
        <row r="114">
          <cell r="A114">
            <v>37434</v>
          </cell>
          <cell r="O114">
            <v>8.4</v>
          </cell>
        </row>
        <row r="115">
          <cell r="A115">
            <v>37435</v>
          </cell>
          <cell r="O115">
            <v>18.3</v>
          </cell>
        </row>
        <row r="116">
          <cell r="A116">
            <v>37438</v>
          </cell>
          <cell r="O116">
            <v>9.6999999999999993</v>
          </cell>
        </row>
        <row r="117">
          <cell r="A117">
            <v>37440</v>
          </cell>
          <cell r="B117">
            <v>17</v>
          </cell>
          <cell r="C117">
            <v>0.6</v>
          </cell>
          <cell r="D117">
            <v>0.6</v>
          </cell>
          <cell r="E117">
            <v>10</v>
          </cell>
          <cell r="F117">
            <v>600</v>
          </cell>
          <cell r="G117">
            <v>2.6040999999999999</v>
          </cell>
          <cell r="H117">
            <v>7.1</v>
          </cell>
          <cell r="I117">
            <v>54</v>
          </cell>
          <cell r="J117">
            <v>100</v>
          </cell>
          <cell r="K117">
            <v>2.6</v>
          </cell>
          <cell r="L117">
            <v>1.2</v>
          </cell>
          <cell r="M117">
            <v>50.4</v>
          </cell>
          <cell r="N117">
            <v>54.2</v>
          </cell>
          <cell r="O117">
            <v>7.4</v>
          </cell>
          <cell r="P117">
            <v>64</v>
          </cell>
          <cell r="Q117">
            <v>0</v>
          </cell>
        </row>
        <row r="118">
          <cell r="A118">
            <v>37445</v>
          </cell>
          <cell r="O118">
            <v>31</v>
          </cell>
        </row>
        <row r="119">
          <cell r="A119">
            <v>37447</v>
          </cell>
          <cell r="O119">
            <v>10.5</v>
          </cell>
        </row>
        <row r="120">
          <cell r="A120">
            <v>37449</v>
          </cell>
          <cell r="O120">
            <v>17.399999999999999</v>
          </cell>
        </row>
        <row r="121">
          <cell r="A121">
            <v>37452</v>
          </cell>
          <cell r="O121">
            <v>10.8</v>
          </cell>
        </row>
        <row r="122">
          <cell r="A122">
            <v>37454</v>
          </cell>
          <cell r="O122">
            <v>9.8000000000000007</v>
          </cell>
        </row>
        <row r="123">
          <cell r="A123">
            <v>37456</v>
          </cell>
          <cell r="O123">
            <v>25.5</v>
          </cell>
        </row>
        <row r="124">
          <cell r="A124">
            <v>37459</v>
          </cell>
          <cell r="O124">
            <v>17.399999999999999</v>
          </cell>
        </row>
        <row r="125">
          <cell r="A125">
            <v>37461</v>
          </cell>
          <cell r="O125">
            <v>11.4</v>
          </cell>
        </row>
        <row r="126">
          <cell r="A126">
            <v>37463</v>
          </cell>
          <cell r="O126">
            <v>21.4</v>
          </cell>
        </row>
        <row r="127">
          <cell r="A127">
            <v>37470</v>
          </cell>
          <cell r="B127">
            <v>15</v>
          </cell>
          <cell r="C127">
            <v>0.2</v>
          </cell>
          <cell r="D127">
            <v>0.6</v>
          </cell>
          <cell r="E127">
            <v>11</v>
          </cell>
          <cell r="F127">
            <v>50</v>
          </cell>
          <cell r="G127">
            <v>2.5906699999999998</v>
          </cell>
          <cell r="H127">
            <v>7</v>
          </cell>
          <cell r="I127">
            <v>57</v>
          </cell>
          <cell r="J127">
            <v>1000</v>
          </cell>
          <cell r="K127">
            <v>2.2999999999999998</v>
          </cell>
          <cell r="L127">
            <v>1.7</v>
          </cell>
          <cell r="M127">
            <v>38.200000000000003</v>
          </cell>
          <cell r="N127">
            <v>42.2</v>
          </cell>
          <cell r="O127">
            <v>44</v>
          </cell>
          <cell r="P127">
            <v>48</v>
          </cell>
          <cell r="Q127">
            <v>6</v>
          </cell>
        </row>
        <row r="128">
          <cell r="A128">
            <v>37473</v>
          </cell>
          <cell r="O128">
            <v>15.6</v>
          </cell>
        </row>
        <row r="129">
          <cell r="A129">
            <v>37475</v>
          </cell>
          <cell r="O129">
            <v>19.100000000000001</v>
          </cell>
        </row>
        <row r="130">
          <cell r="A130">
            <v>37477</v>
          </cell>
          <cell r="O130">
            <v>25.1</v>
          </cell>
        </row>
        <row r="131">
          <cell r="A131">
            <v>37480</v>
          </cell>
          <cell r="O131">
            <v>14.9</v>
          </cell>
        </row>
        <row r="132">
          <cell r="A132">
            <v>37482</v>
          </cell>
          <cell r="O132">
            <v>27.5</v>
          </cell>
        </row>
        <row r="133">
          <cell r="A133">
            <v>37484</v>
          </cell>
          <cell r="O133">
            <v>19.8</v>
          </cell>
        </row>
        <row r="134">
          <cell r="A134">
            <v>37489</v>
          </cell>
          <cell r="O134">
            <v>25.2</v>
          </cell>
        </row>
        <row r="135">
          <cell r="A135">
            <v>37491</v>
          </cell>
          <cell r="O135">
            <v>9.9</v>
          </cell>
        </row>
        <row r="136">
          <cell r="A136">
            <v>37494</v>
          </cell>
          <cell r="O136">
            <v>18.899999999999999</v>
          </cell>
        </row>
        <row r="137">
          <cell r="A137">
            <v>37496</v>
          </cell>
          <cell r="O137">
            <v>10.9</v>
          </cell>
        </row>
        <row r="138">
          <cell r="A138">
            <v>37498</v>
          </cell>
          <cell r="O138">
            <v>21.7</v>
          </cell>
        </row>
        <row r="139">
          <cell r="A139">
            <v>37501</v>
          </cell>
          <cell r="O139">
            <v>12.8</v>
          </cell>
        </row>
        <row r="140">
          <cell r="A140">
            <v>37503</v>
          </cell>
          <cell r="O140">
            <v>12.1</v>
          </cell>
        </row>
        <row r="141">
          <cell r="A141">
            <v>37505</v>
          </cell>
          <cell r="B141">
            <v>10</v>
          </cell>
          <cell r="C141">
            <v>0.37</v>
          </cell>
          <cell r="D141">
            <v>0.6</v>
          </cell>
          <cell r="E141">
            <v>11</v>
          </cell>
          <cell r="F141">
            <v>80</v>
          </cell>
          <cell r="G141">
            <v>2.8248000000000002</v>
          </cell>
          <cell r="H141">
            <v>7</v>
          </cell>
          <cell r="I141">
            <v>56</v>
          </cell>
          <cell r="J141">
            <v>10</v>
          </cell>
          <cell r="K141">
            <v>3.3</v>
          </cell>
          <cell r="L141">
            <v>0.6</v>
          </cell>
          <cell r="M141">
            <v>50.3</v>
          </cell>
          <cell r="N141">
            <v>54.1</v>
          </cell>
          <cell r="O141">
            <v>19.100000000000001</v>
          </cell>
          <cell r="P141">
            <v>72</v>
          </cell>
          <cell r="Q141">
            <v>0</v>
          </cell>
        </row>
        <row r="142">
          <cell r="A142">
            <v>37508</v>
          </cell>
          <cell r="O142">
            <v>7.3</v>
          </cell>
        </row>
        <row r="143">
          <cell r="A143">
            <v>37510</v>
          </cell>
          <cell r="O143">
            <v>37</v>
          </cell>
        </row>
        <row r="144">
          <cell r="A144">
            <v>37512</v>
          </cell>
          <cell r="O144">
            <v>10</v>
          </cell>
        </row>
        <row r="145">
          <cell r="A145">
            <v>37515</v>
          </cell>
          <cell r="O145">
            <v>30</v>
          </cell>
        </row>
        <row r="146">
          <cell r="A146">
            <v>37517</v>
          </cell>
          <cell r="O146">
            <v>87.6</v>
          </cell>
        </row>
        <row r="147">
          <cell r="A147">
            <v>37519</v>
          </cell>
          <cell r="O147">
            <v>31.8</v>
          </cell>
        </row>
        <row r="148">
          <cell r="A148">
            <v>37524</v>
          </cell>
          <cell r="O148">
            <v>10.1</v>
          </cell>
        </row>
        <row r="149">
          <cell r="A149">
            <v>37526</v>
          </cell>
          <cell r="O149">
            <v>14.8</v>
          </cell>
        </row>
        <row r="150">
          <cell r="A150">
            <v>37529</v>
          </cell>
          <cell r="O150">
            <v>28.8</v>
          </cell>
        </row>
        <row r="151">
          <cell r="A151">
            <v>37531</v>
          </cell>
          <cell r="O151">
            <v>15.9</v>
          </cell>
        </row>
        <row r="152">
          <cell r="A152">
            <v>37533</v>
          </cell>
          <cell r="O152">
            <v>31.8</v>
          </cell>
        </row>
        <row r="153">
          <cell r="A153">
            <v>37536</v>
          </cell>
          <cell r="O153">
            <v>38.9</v>
          </cell>
        </row>
        <row r="154">
          <cell r="A154">
            <v>37538</v>
          </cell>
          <cell r="B154">
            <v>9</v>
          </cell>
          <cell r="C154">
            <v>0.5</v>
          </cell>
          <cell r="D154">
            <v>1.5</v>
          </cell>
          <cell r="E154">
            <v>13</v>
          </cell>
          <cell r="F154">
            <v>40</v>
          </cell>
          <cell r="G154">
            <v>2.77</v>
          </cell>
          <cell r="H154">
            <v>7.1</v>
          </cell>
          <cell r="I154">
            <v>53</v>
          </cell>
          <cell r="J154">
            <v>1000</v>
          </cell>
          <cell r="K154">
            <v>1.7</v>
          </cell>
          <cell r="L154">
            <v>1.5</v>
          </cell>
          <cell r="M154">
            <v>11.2</v>
          </cell>
          <cell r="N154">
            <v>14.3</v>
          </cell>
          <cell r="O154">
            <v>6.5</v>
          </cell>
          <cell r="P154">
            <v>96</v>
          </cell>
          <cell r="Q154">
            <v>0</v>
          </cell>
        </row>
        <row r="155">
          <cell r="A155">
            <v>37540</v>
          </cell>
          <cell r="O155">
            <v>9.5</v>
          </cell>
        </row>
        <row r="156">
          <cell r="A156">
            <v>37544</v>
          </cell>
          <cell r="O156">
            <v>30.9</v>
          </cell>
        </row>
        <row r="157">
          <cell r="A157">
            <v>37545</v>
          </cell>
          <cell r="O157">
            <v>12.04</v>
          </cell>
        </row>
        <row r="158">
          <cell r="A158">
            <v>37547</v>
          </cell>
          <cell r="O158">
            <v>30.06</v>
          </cell>
        </row>
        <row r="159">
          <cell r="A159">
            <v>37550</v>
          </cell>
          <cell r="O159">
            <v>5.2</v>
          </cell>
        </row>
        <row r="160">
          <cell r="A160">
            <v>37552</v>
          </cell>
          <cell r="O160">
            <v>32.799999999999997</v>
          </cell>
        </row>
        <row r="161">
          <cell r="A161">
            <v>37554</v>
          </cell>
          <cell r="O161">
            <v>16</v>
          </cell>
        </row>
        <row r="162">
          <cell r="A162">
            <v>37557</v>
          </cell>
          <cell r="O162">
            <v>37</v>
          </cell>
        </row>
        <row r="163">
          <cell r="A163">
            <v>37559</v>
          </cell>
          <cell r="O163">
            <v>18</v>
          </cell>
        </row>
        <row r="164">
          <cell r="A164">
            <v>37561</v>
          </cell>
          <cell r="O164">
            <v>21.3</v>
          </cell>
        </row>
        <row r="165">
          <cell r="A165">
            <v>37564</v>
          </cell>
          <cell r="O165">
            <v>31</v>
          </cell>
        </row>
        <row r="166">
          <cell r="A166">
            <v>37566</v>
          </cell>
          <cell r="O166">
            <v>19</v>
          </cell>
        </row>
        <row r="167">
          <cell r="A167">
            <v>37567</v>
          </cell>
          <cell r="F167">
            <v>80</v>
          </cell>
        </row>
        <row r="168">
          <cell r="A168">
            <v>37568</v>
          </cell>
          <cell r="O168">
            <v>10.6</v>
          </cell>
        </row>
        <row r="169">
          <cell r="A169">
            <v>37571</v>
          </cell>
          <cell r="O169">
            <v>9.9</v>
          </cell>
        </row>
        <row r="170">
          <cell r="A170">
            <v>37572</v>
          </cell>
          <cell r="B170">
            <v>6</v>
          </cell>
          <cell r="C170">
            <v>0.15</v>
          </cell>
          <cell r="D170">
            <v>2</v>
          </cell>
          <cell r="E170">
            <v>12</v>
          </cell>
          <cell r="F170">
            <v>12</v>
          </cell>
          <cell r="G170">
            <v>2.8328000000000002</v>
          </cell>
          <cell r="H170">
            <v>6.6</v>
          </cell>
          <cell r="I170">
            <v>58</v>
          </cell>
          <cell r="J170">
            <v>100</v>
          </cell>
          <cell r="K170">
            <v>2.2000000000000002</v>
          </cell>
          <cell r="L170">
            <v>1.8</v>
          </cell>
          <cell r="M170">
            <v>20.2</v>
          </cell>
          <cell r="N170">
            <v>24.2</v>
          </cell>
          <cell r="O170">
            <v>15</v>
          </cell>
          <cell r="P170">
            <v>80</v>
          </cell>
          <cell r="Q170">
            <v>0</v>
          </cell>
        </row>
        <row r="171">
          <cell r="A171">
            <v>37573</v>
          </cell>
          <cell r="O171">
            <v>26.6</v>
          </cell>
        </row>
        <row r="172">
          <cell r="A172">
            <v>37575</v>
          </cell>
          <cell r="O172">
            <v>52.3</v>
          </cell>
        </row>
        <row r="173">
          <cell r="A173">
            <v>37578</v>
          </cell>
          <cell r="O173">
            <v>8.8000000000000007</v>
          </cell>
        </row>
        <row r="174">
          <cell r="A174">
            <v>37580</v>
          </cell>
          <cell r="O174">
            <v>29.4</v>
          </cell>
        </row>
        <row r="175">
          <cell r="A175">
            <v>37582</v>
          </cell>
          <cell r="O175">
            <v>23.7</v>
          </cell>
          <cell r="U175">
            <v>474.6</v>
          </cell>
        </row>
        <row r="176">
          <cell r="A176">
            <v>37585</v>
          </cell>
          <cell r="O176">
            <v>29</v>
          </cell>
          <cell r="U176" t="str">
            <v xml:space="preserve">Comienza a dosificar Nalco </v>
          </cell>
        </row>
        <row r="177">
          <cell r="A177">
            <v>37589</v>
          </cell>
          <cell r="O177">
            <v>55.4</v>
          </cell>
        </row>
        <row r="178">
          <cell r="A178">
            <v>37595</v>
          </cell>
          <cell r="B178">
            <v>12</v>
          </cell>
          <cell r="C178">
            <v>0.8</v>
          </cell>
          <cell r="D178">
            <v>0.4</v>
          </cell>
          <cell r="E178">
            <v>10</v>
          </cell>
          <cell r="F178">
            <v>100</v>
          </cell>
          <cell r="G178">
            <v>2.7397</v>
          </cell>
          <cell r="H178">
            <v>6.9</v>
          </cell>
          <cell r="I178">
            <v>53</v>
          </cell>
          <cell r="J178">
            <v>1000</v>
          </cell>
          <cell r="O178">
            <v>27</v>
          </cell>
          <cell r="P178">
            <v>64</v>
          </cell>
          <cell r="Q178">
            <v>0</v>
          </cell>
        </row>
        <row r="179">
          <cell r="A179">
            <v>37592</v>
          </cell>
          <cell r="O179">
            <v>17.899999999999999</v>
          </cell>
        </row>
        <row r="180">
          <cell r="A180">
            <v>37596</v>
          </cell>
          <cell r="O180">
            <v>54</v>
          </cell>
        </row>
        <row r="181">
          <cell r="A181">
            <v>37599</v>
          </cell>
          <cell r="O181">
            <v>26.9</v>
          </cell>
        </row>
        <row r="182">
          <cell r="A182">
            <v>37601</v>
          </cell>
          <cell r="O182">
            <v>23.3</v>
          </cell>
        </row>
        <row r="183">
          <cell r="A183">
            <v>37606</v>
          </cell>
          <cell r="O183">
            <v>46.02</v>
          </cell>
        </row>
        <row r="184">
          <cell r="A184">
            <v>37608</v>
          </cell>
          <cell r="O184">
            <v>22.7</v>
          </cell>
        </row>
        <row r="185">
          <cell r="A185">
            <v>37610</v>
          </cell>
          <cell r="O185">
            <v>21.8</v>
          </cell>
        </row>
        <row r="186">
          <cell r="A186">
            <v>37613</v>
          </cell>
          <cell r="O186">
            <v>52.1</v>
          </cell>
          <cell r="U186" t="str">
            <v>Comienza a dosificar WA-720 y FLW-162</v>
          </cell>
        </row>
        <row r="187">
          <cell r="A187">
            <v>37635</v>
          </cell>
          <cell r="B187">
            <v>13</v>
          </cell>
          <cell r="C187">
            <v>0.27</v>
          </cell>
          <cell r="D187">
            <v>3</v>
          </cell>
          <cell r="E187">
            <v>9</v>
          </cell>
          <cell r="F187">
            <v>20</v>
          </cell>
          <cell r="G187">
            <v>2.5839699999999999</v>
          </cell>
          <cell r="H187">
            <v>7.82</v>
          </cell>
          <cell r="I187">
            <v>60</v>
          </cell>
          <cell r="J187">
            <v>100</v>
          </cell>
          <cell r="K187">
            <v>1.1000000000000001</v>
          </cell>
          <cell r="L187">
            <v>1.4</v>
          </cell>
          <cell r="M187">
            <v>14.9</v>
          </cell>
          <cell r="N187">
            <v>17.399999999999999</v>
          </cell>
          <cell r="O187">
            <v>14</v>
          </cell>
          <cell r="P187">
            <v>72</v>
          </cell>
          <cell r="Q187">
            <v>11</v>
          </cell>
        </row>
        <row r="188">
          <cell r="A188">
            <v>37655</v>
          </cell>
          <cell r="O188">
            <v>21</v>
          </cell>
        </row>
        <row r="189">
          <cell r="A189">
            <v>37657</v>
          </cell>
          <cell r="O189">
            <v>5</v>
          </cell>
        </row>
        <row r="190">
          <cell r="A190">
            <v>37658</v>
          </cell>
          <cell r="B190">
            <v>12</v>
          </cell>
          <cell r="C190">
            <v>0.13</v>
          </cell>
          <cell r="D190">
            <v>2</v>
          </cell>
          <cell r="E190">
            <v>10</v>
          </cell>
          <cell r="F190">
            <v>2</v>
          </cell>
          <cell r="G190">
            <v>2.5838999999999999</v>
          </cell>
          <cell r="H190">
            <v>7.55</v>
          </cell>
          <cell r="I190">
            <v>58</v>
          </cell>
          <cell r="J190">
            <v>100</v>
          </cell>
          <cell r="K190">
            <v>0.2</v>
          </cell>
          <cell r="L190">
            <v>2.1</v>
          </cell>
          <cell r="M190">
            <v>11.4</v>
          </cell>
          <cell r="N190">
            <v>13.6</v>
          </cell>
          <cell r="O190">
            <v>11</v>
          </cell>
          <cell r="P190">
            <v>64</v>
          </cell>
          <cell r="Q190">
            <v>0</v>
          </cell>
        </row>
        <row r="191">
          <cell r="A191">
            <v>37659</v>
          </cell>
          <cell r="O191">
            <v>13</v>
          </cell>
        </row>
        <row r="192">
          <cell r="A192">
            <v>37666</v>
          </cell>
          <cell r="O192">
            <v>23</v>
          </cell>
        </row>
        <row r="193">
          <cell r="A193">
            <v>37669</v>
          </cell>
          <cell r="O193">
            <v>10</v>
          </cell>
        </row>
        <row r="194">
          <cell r="A194">
            <v>37671</v>
          </cell>
          <cell r="O194">
            <v>61</v>
          </cell>
        </row>
        <row r="195">
          <cell r="A195">
            <v>37676</v>
          </cell>
          <cell r="O195">
            <v>47</v>
          </cell>
        </row>
        <row r="196">
          <cell r="A196">
            <v>37678</v>
          </cell>
          <cell r="O196">
            <v>22.48</v>
          </cell>
        </row>
        <row r="197">
          <cell r="A197">
            <v>37683</v>
          </cell>
          <cell r="O197">
            <v>33.4</v>
          </cell>
        </row>
        <row r="198">
          <cell r="A198">
            <v>37685</v>
          </cell>
          <cell r="O198">
            <v>11.8</v>
          </cell>
        </row>
        <row r="199">
          <cell r="A199">
            <v>37690</v>
          </cell>
          <cell r="O199">
            <v>24.26</v>
          </cell>
        </row>
        <row r="200">
          <cell r="A200">
            <v>37692</v>
          </cell>
          <cell r="O200">
            <v>14.6</v>
          </cell>
        </row>
        <row r="201">
          <cell r="A201">
            <v>37694</v>
          </cell>
          <cell r="O201">
            <v>13.6</v>
          </cell>
        </row>
        <row r="202">
          <cell r="A202">
            <v>37697</v>
          </cell>
          <cell r="O202">
            <v>8.9</v>
          </cell>
        </row>
        <row r="203">
          <cell r="A203">
            <v>37699</v>
          </cell>
          <cell r="O203">
            <v>23.42</v>
          </cell>
        </row>
        <row r="204">
          <cell r="A204">
            <v>37701</v>
          </cell>
          <cell r="O204">
            <v>6.25</v>
          </cell>
        </row>
        <row r="205">
          <cell r="A205">
            <v>37704</v>
          </cell>
          <cell r="O205">
            <v>19.739999999999998</v>
          </cell>
        </row>
        <row r="206">
          <cell r="A206">
            <v>37705</v>
          </cell>
          <cell r="B206">
            <v>6</v>
          </cell>
          <cell r="C206">
            <v>0.16</v>
          </cell>
          <cell r="D206">
            <v>2</v>
          </cell>
          <cell r="E206">
            <v>7</v>
          </cell>
          <cell r="F206">
            <v>10</v>
          </cell>
          <cell r="G206">
            <v>2.7027000000000001</v>
          </cell>
          <cell r="H206">
            <v>7.38</v>
          </cell>
          <cell r="I206">
            <v>60</v>
          </cell>
          <cell r="J206">
            <v>1000</v>
          </cell>
          <cell r="K206">
            <v>1.2</v>
          </cell>
          <cell r="L206">
            <v>0.7</v>
          </cell>
          <cell r="M206">
            <v>3.9</v>
          </cell>
          <cell r="N206">
            <v>5.8</v>
          </cell>
          <cell r="O206">
            <v>6</v>
          </cell>
          <cell r="P206">
            <v>72</v>
          </cell>
          <cell r="Q206">
            <v>0</v>
          </cell>
          <cell r="R206">
            <v>158</v>
          </cell>
          <cell r="S206">
            <v>0</v>
          </cell>
        </row>
        <row r="207">
          <cell r="A207">
            <v>37708</v>
          </cell>
          <cell r="O207">
            <v>4.5199999999999996</v>
          </cell>
        </row>
        <row r="208">
          <cell r="A208">
            <v>37720</v>
          </cell>
          <cell r="O208">
            <v>6</v>
          </cell>
        </row>
        <row r="209">
          <cell r="A209">
            <v>37725</v>
          </cell>
          <cell r="O209">
            <v>39.200000000000003</v>
          </cell>
          <cell r="U209" t="str">
            <v>No dosificó FLW-162 por rotura de retención de entrada de bba</v>
          </cell>
        </row>
        <row r="210">
          <cell r="A210">
            <v>37727</v>
          </cell>
          <cell r="O210">
            <v>17.8</v>
          </cell>
        </row>
        <row r="211">
          <cell r="A211">
            <v>37729</v>
          </cell>
          <cell r="O211">
            <v>8.9</v>
          </cell>
        </row>
        <row r="212">
          <cell r="A212">
            <v>37732</v>
          </cell>
          <cell r="O212">
            <v>6.1</v>
          </cell>
        </row>
        <row r="213">
          <cell r="A213">
            <v>37734</v>
          </cell>
          <cell r="O213">
            <v>6.3</v>
          </cell>
        </row>
        <row r="214">
          <cell r="A214">
            <v>37739</v>
          </cell>
          <cell r="O214">
            <v>49</v>
          </cell>
          <cell r="U214" t="str">
            <v>Problemas con el flexible de la bba dosif. Fué cambiado.</v>
          </cell>
        </row>
        <row r="215">
          <cell r="A215">
            <v>37746</v>
          </cell>
          <cell r="O215">
            <v>24</v>
          </cell>
        </row>
        <row r="216">
          <cell r="A216">
            <v>37750</v>
          </cell>
          <cell r="O216">
            <v>23.9</v>
          </cell>
        </row>
        <row r="217">
          <cell r="A217">
            <v>37753</v>
          </cell>
          <cell r="O217">
            <v>6</v>
          </cell>
        </row>
        <row r="218">
          <cell r="A218">
            <v>37760</v>
          </cell>
          <cell r="O218">
            <v>31</v>
          </cell>
          <cell r="U218" t="str">
            <v>No inyectó floculante</v>
          </cell>
        </row>
        <row r="219">
          <cell r="A219">
            <v>37763</v>
          </cell>
          <cell r="B219">
            <v>8</v>
          </cell>
          <cell r="C219">
            <v>0.17</v>
          </cell>
          <cell r="D219">
            <v>1.5</v>
          </cell>
          <cell r="E219">
            <v>8</v>
          </cell>
          <cell r="F219">
            <v>50</v>
          </cell>
          <cell r="G219">
            <v>3.1745999999999999</v>
          </cell>
          <cell r="H219">
            <v>7.48</v>
          </cell>
          <cell r="I219">
            <v>52</v>
          </cell>
          <cell r="J219">
            <v>10</v>
          </cell>
          <cell r="K219">
            <v>5.3</v>
          </cell>
          <cell r="L219">
            <v>3</v>
          </cell>
          <cell r="M219">
            <v>128</v>
          </cell>
          <cell r="N219">
            <v>136.30000000000001</v>
          </cell>
          <cell r="O219">
            <v>110</v>
          </cell>
          <cell r="P219">
            <v>40</v>
          </cell>
          <cell r="Q219">
            <v>17</v>
          </cell>
          <cell r="R219">
            <v>161</v>
          </cell>
          <cell r="U219" t="str">
            <v>Problemas eléctricos en la bba de floculante desde 18/2</v>
          </cell>
        </row>
        <row r="220">
          <cell r="A220">
            <v>37764</v>
          </cell>
          <cell r="O220">
            <v>59</v>
          </cell>
          <cell r="U220" t="str">
            <v>No inyectó floculante</v>
          </cell>
        </row>
        <row r="221">
          <cell r="A221">
            <v>37767</v>
          </cell>
          <cell r="O221">
            <v>54</v>
          </cell>
        </row>
        <row r="222">
          <cell r="A222">
            <v>37769</v>
          </cell>
          <cell r="O222">
            <v>21</v>
          </cell>
        </row>
        <row r="223">
          <cell r="A223">
            <v>37771</v>
          </cell>
          <cell r="O223">
            <v>12.6</v>
          </cell>
        </row>
        <row r="224">
          <cell r="A224">
            <v>37774</v>
          </cell>
          <cell r="O224">
            <v>24</v>
          </cell>
        </row>
        <row r="225">
          <cell r="A225">
            <v>37776</v>
          </cell>
          <cell r="O225">
            <v>10.5</v>
          </cell>
        </row>
        <row r="226">
          <cell r="A226">
            <v>37781</v>
          </cell>
          <cell r="O226">
            <v>64.3</v>
          </cell>
          <cell r="U226" t="str">
            <v>No inyectó floculante</v>
          </cell>
        </row>
        <row r="227">
          <cell r="A227">
            <v>37788</v>
          </cell>
          <cell r="O227">
            <v>6.5</v>
          </cell>
        </row>
        <row r="228">
          <cell r="A228">
            <v>37799</v>
          </cell>
          <cell r="O228">
            <v>14.3</v>
          </cell>
        </row>
        <row r="229">
          <cell r="A229">
            <v>37803</v>
          </cell>
          <cell r="O229">
            <v>53.9</v>
          </cell>
        </row>
        <row r="230">
          <cell r="A230">
            <v>37805</v>
          </cell>
          <cell r="B230">
            <v>19</v>
          </cell>
          <cell r="C230">
            <v>0.17</v>
          </cell>
          <cell r="D230">
            <v>1</v>
          </cell>
          <cell r="E230">
            <v>8</v>
          </cell>
          <cell r="F230">
            <v>2</v>
          </cell>
          <cell r="G230">
            <v>3.3333333333333335</v>
          </cell>
          <cell r="H230">
            <v>7.35</v>
          </cell>
          <cell r="I230">
            <v>57</v>
          </cell>
          <cell r="J230">
            <v>10</v>
          </cell>
          <cell r="K230">
            <v>4</v>
          </cell>
          <cell r="L230">
            <v>1.7</v>
          </cell>
          <cell r="M230">
            <v>59</v>
          </cell>
          <cell r="N230">
            <v>64.8</v>
          </cell>
          <cell r="O230">
            <v>40</v>
          </cell>
          <cell r="P230">
            <v>168</v>
          </cell>
          <cell r="Q230">
            <v>58</v>
          </cell>
          <cell r="R230">
            <v>162</v>
          </cell>
          <cell r="S230">
            <v>0</v>
          </cell>
        </row>
        <row r="231">
          <cell r="A231">
            <v>37806</v>
          </cell>
          <cell r="O231">
            <v>61.46</v>
          </cell>
        </row>
        <row r="232">
          <cell r="A232">
            <v>37823</v>
          </cell>
          <cell r="O232">
            <v>17.440000000000001</v>
          </cell>
        </row>
        <row r="233">
          <cell r="A233">
            <v>37827</v>
          </cell>
          <cell r="O233">
            <v>10.62</v>
          </cell>
        </row>
        <row r="234">
          <cell r="A234">
            <v>37834</v>
          </cell>
          <cell r="O234">
            <v>113.71</v>
          </cell>
        </row>
        <row r="235">
          <cell r="A235">
            <v>37837</v>
          </cell>
          <cell r="O235">
            <v>13.76</v>
          </cell>
        </row>
        <row r="236">
          <cell r="A236">
            <v>37839</v>
          </cell>
          <cell r="O236">
            <v>10.83</v>
          </cell>
        </row>
        <row r="237">
          <cell r="A237">
            <v>37841</v>
          </cell>
          <cell r="O237">
            <v>9.43</v>
          </cell>
        </row>
        <row r="238">
          <cell r="A238">
            <v>37844</v>
          </cell>
          <cell r="O238">
            <v>11.25</v>
          </cell>
        </row>
        <row r="239">
          <cell r="A239">
            <v>37845</v>
          </cell>
          <cell r="B239">
            <v>13</v>
          </cell>
          <cell r="C239">
            <v>0.14000000000000001</v>
          </cell>
          <cell r="D239">
            <v>1</v>
          </cell>
          <cell r="E239">
            <v>10</v>
          </cell>
          <cell r="F239">
            <v>2</v>
          </cell>
          <cell r="G239">
            <v>3.1850000000000001</v>
          </cell>
          <cell r="H239">
            <v>7.08</v>
          </cell>
          <cell r="I239">
            <v>57</v>
          </cell>
          <cell r="J239">
            <v>10</v>
          </cell>
          <cell r="K239">
            <v>4.2</v>
          </cell>
          <cell r="L239">
            <v>1.6</v>
          </cell>
          <cell r="M239">
            <v>13</v>
          </cell>
          <cell r="N239">
            <v>18.8</v>
          </cell>
          <cell r="O239">
            <v>10</v>
          </cell>
          <cell r="P239">
            <v>72</v>
          </cell>
          <cell r="Q239">
            <v>6</v>
          </cell>
          <cell r="R239">
            <v>184</v>
          </cell>
          <cell r="S239">
            <v>0</v>
          </cell>
          <cell r="T239">
            <v>14</v>
          </cell>
        </row>
        <row r="240">
          <cell r="A240">
            <v>37846</v>
          </cell>
          <cell r="O240">
            <v>8.48</v>
          </cell>
        </row>
        <row r="241">
          <cell r="A241">
            <v>37848</v>
          </cell>
          <cell r="O241">
            <v>36.28</v>
          </cell>
        </row>
        <row r="242">
          <cell r="A242">
            <v>37853</v>
          </cell>
          <cell r="O242">
            <v>87.12</v>
          </cell>
        </row>
        <row r="243">
          <cell r="A243">
            <v>37858</v>
          </cell>
          <cell r="O243">
            <v>51.02</v>
          </cell>
        </row>
        <row r="244">
          <cell r="A244">
            <v>37859</v>
          </cell>
          <cell r="O244">
            <v>42.79</v>
          </cell>
        </row>
        <row r="245">
          <cell r="A245">
            <v>37860</v>
          </cell>
          <cell r="O245">
            <v>10.58</v>
          </cell>
        </row>
        <row r="246">
          <cell r="A246">
            <v>37861</v>
          </cell>
          <cell r="O246">
            <v>10.48</v>
          </cell>
        </row>
        <row r="247">
          <cell r="A247">
            <v>37865</v>
          </cell>
          <cell r="O247">
            <v>33.68</v>
          </cell>
        </row>
        <row r="248">
          <cell r="A248">
            <v>37869</v>
          </cell>
          <cell r="O248">
            <v>17.07</v>
          </cell>
        </row>
        <row r="249">
          <cell r="A249">
            <v>37872</v>
          </cell>
          <cell r="O249">
            <v>13.54</v>
          </cell>
        </row>
        <row r="250">
          <cell r="A250">
            <v>37874</v>
          </cell>
          <cell r="O250">
            <v>14.16</v>
          </cell>
        </row>
        <row r="251">
          <cell r="A251">
            <v>37881</v>
          </cell>
          <cell r="O251">
            <v>16.12</v>
          </cell>
        </row>
        <row r="252">
          <cell r="A252">
            <v>37883</v>
          </cell>
          <cell r="O252">
            <v>8.25</v>
          </cell>
        </row>
        <row r="253">
          <cell r="A253">
            <v>37886</v>
          </cell>
          <cell r="O253">
            <v>11.1</v>
          </cell>
        </row>
        <row r="254">
          <cell r="A254">
            <v>37888</v>
          </cell>
          <cell r="O254">
            <v>10.45</v>
          </cell>
        </row>
        <row r="255">
          <cell r="A255">
            <v>37895</v>
          </cell>
          <cell r="O255">
            <v>11.88</v>
          </cell>
        </row>
        <row r="256">
          <cell r="A256">
            <v>37896</v>
          </cell>
          <cell r="O256">
            <v>12</v>
          </cell>
          <cell r="U256" t="str">
            <v>Muestra registrada por Baker</v>
          </cell>
        </row>
        <row r="257">
          <cell r="A257">
            <v>37897</v>
          </cell>
          <cell r="O257">
            <v>10.4</v>
          </cell>
        </row>
        <row r="258">
          <cell r="A258">
            <v>37900</v>
          </cell>
          <cell r="O258">
            <v>56.56</v>
          </cell>
        </row>
        <row r="259">
          <cell r="A259">
            <v>37902</v>
          </cell>
          <cell r="O259">
            <v>111.5</v>
          </cell>
        </row>
        <row r="260">
          <cell r="A260">
            <v>37903</v>
          </cell>
          <cell r="O260">
            <v>4.88</v>
          </cell>
        </row>
        <row r="261">
          <cell r="A261">
            <v>37904</v>
          </cell>
          <cell r="O261">
            <v>8.5500000000000007</v>
          </cell>
        </row>
        <row r="262">
          <cell r="A262">
            <v>37907</v>
          </cell>
          <cell r="O262">
            <v>11.49</v>
          </cell>
        </row>
        <row r="263">
          <cell r="A263">
            <v>37909</v>
          </cell>
          <cell r="O263">
            <v>8.84</v>
          </cell>
        </row>
        <row r="264">
          <cell r="A264">
            <v>37911</v>
          </cell>
          <cell r="O264">
            <v>17.399999999999999</v>
          </cell>
        </row>
        <row r="265">
          <cell r="A265">
            <v>37914</v>
          </cell>
          <cell r="O265">
            <v>19.5</v>
          </cell>
        </row>
        <row r="266">
          <cell r="A266">
            <v>37916</v>
          </cell>
          <cell r="O266">
            <v>16</v>
          </cell>
        </row>
        <row r="267">
          <cell r="A267">
            <v>37917</v>
          </cell>
          <cell r="B267">
            <v>18</v>
          </cell>
          <cell r="C267">
            <v>0.2</v>
          </cell>
          <cell r="D267">
            <v>1.5</v>
          </cell>
          <cell r="E267">
            <v>8</v>
          </cell>
          <cell r="F267">
            <v>30</v>
          </cell>
          <cell r="G267">
            <v>2.347417840375587</v>
          </cell>
          <cell r="H267">
            <v>7.5</v>
          </cell>
          <cell r="I267">
            <v>54</v>
          </cell>
          <cell r="J267">
            <v>100</v>
          </cell>
          <cell r="K267">
            <v>8</v>
          </cell>
          <cell r="L267">
            <v>2.7</v>
          </cell>
          <cell r="M267">
            <v>51</v>
          </cell>
          <cell r="N267">
            <v>61.7</v>
          </cell>
          <cell r="O267">
            <v>68</v>
          </cell>
          <cell r="P267">
            <v>64</v>
          </cell>
          <cell r="Q267">
            <v>6</v>
          </cell>
          <cell r="R267">
            <v>158</v>
          </cell>
          <cell r="S267">
            <v>0</v>
          </cell>
          <cell r="T267">
            <v>10</v>
          </cell>
        </row>
        <row r="268">
          <cell r="A268">
            <v>37918</v>
          </cell>
          <cell r="O268">
            <v>8.5</v>
          </cell>
        </row>
        <row r="269">
          <cell r="A269">
            <v>37923</v>
          </cell>
          <cell r="O269">
            <v>5.4</v>
          </cell>
        </row>
        <row r="270">
          <cell r="A270">
            <v>37925</v>
          </cell>
          <cell r="O270">
            <v>6.2</v>
          </cell>
        </row>
        <row r="271">
          <cell r="A271">
            <v>37929</v>
          </cell>
          <cell r="O271">
            <v>6</v>
          </cell>
        </row>
        <row r="272">
          <cell r="A272">
            <v>37930</v>
          </cell>
          <cell r="O272">
            <v>27</v>
          </cell>
        </row>
        <row r="273">
          <cell r="A273">
            <v>37932</v>
          </cell>
          <cell r="O273">
            <v>11</v>
          </cell>
        </row>
        <row r="274">
          <cell r="A274">
            <v>37935</v>
          </cell>
          <cell r="O274">
            <v>25</v>
          </cell>
        </row>
        <row r="275">
          <cell r="A275">
            <v>37938</v>
          </cell>
          <cell r="O275">
            <v>16</v>
          </cell>
        </row>
        <row r="276">
          <cell r="A276">
            <v>37939</v>
          </cell>
          <cell r="O276">
            <v>31</v>
          </cell>
        </row>
        <row r="277">
          <cell r="A277">
            <v>37942</v>
          </cell>
          <cell r="O277">
            <v>4</v>
          </cell>
        </row>
        <row r="278">
          <cell r="A278">
            <v>37944</v>
          </cell>
          <cell r="O278">
            <v>11</v>
          </cell>
        </row>
        <row r="279">
          <cell r="A279">
            <v>37949</v>
          </cell>
          <cell r="O279">
            <v>3</v>
          </cell>
        </row>
        <row r="280">
          <cell r="A280">
            <v>37951</v>
          </cell>
          <cell r="O280">
            <v>19</v>
          </cell>
        </row>
        <row r="281">
          <cell r="A281">
            <v>37956</v>
          </cell>
          <cell r="O281">
            <v>9</v>
          </cell>
        </row>
        <row r="282">
          <cell r="A282">
            <v>37958</v>
          </cell>
          <cell r="O282">
            <v>13</v>
          </cell>
        </row>
        <row r="283">
          <cell r="A283">
            <v>37960</v>
          </cell>
          <cell r="O283">
            <v>17.5</v>
          </cell>
        </row>
        <row r="284">
          <cell r="A284">
            <v>37964</v>
          </cell>
          <cell r="O284">
            <v>75.7</v>
          </cell>
        </row>
        <row r="285">
          <cell r="A285">
            <v>37966</v>
          </cell>
          <cell r="O285">
            <v>32.4</v>
          </cell>
        </row>
        <row r="286">
          <cell r="A286">
            <v>37970</v>
          </cell>
          <cell r="O286">
            <v>11.3</v>
          </cell>
        </row>
        <row r="287">
          <cell r="A287">
            <v>37972</v>
          </cell>
          <cell r="O287">
            <v>9.5</v>
          </cell>
        </row>
        <row r="288">
          <cell r="A288">
            <v>37977</v>
          </cell>
          <cell r="O288">
            <v>6</v>
          </cell>
        </row>
        <row r="289">
          <cell r="A289">
            <v>37978</v>
          </cell>
          <cell r="O289">
            <v>11.5</v>
          </cell>
        </row>
        <row r="290">
          <cell r="A290">
            <v>37991</v>
          </cell>
          <cell r="O290">
            <v>74</v>
          </cell>
        </row>
        <row r="291">
          <cell r="A291">
            <v>37993</v>
          </cell>
          <cell r="O291">
            <v>5.6</v>
          </cell>
        </row>
        <row r="292">
          <cell r="A292">
            <v>37995</v>
          </cell>
          <cell r="O292">
            <v>33</v>
          </cell>
        </row>
        <row r="293">
          <cell r="A293">
            <v>37998</v>
          </cell>
          <cell r="O293">
            <v>5.7</v>
          </cell>
        </row>
        <row r="294">
          <cell r="A294">
            <v>38000</v>
          </cell>
          <cell r="O294">
            <v>17</v>
          </cell>
        </row>
        <row r="295">
          <cell r="A295">
            <v>38002</v>
          </cell>
          <cell r="O295">
            <v>8.5</v>
          </cell>
        </row>
        <row r="296">
          <cell r="A296">
            <v>38005</v>
          </cell>
          <cell r="O296">
            <v>4.4000000000000004</v>
          </cell>
        </row>
        <row r="297">
          <cell r="A297">
            <v>38009</v>
          </cell>
          <cell r="O297">
            <v>10.1</v>
          </cell>
        </row>
        <row r="298">
          <cell r="A298">
            <v>38012</v>
          </cell>
          <cell r="O298">
            <v>12</v>
          </cell>
        </row>
        <row r="299">
          <cell r="A299">
            <v>38044</v>
          </cell>
          <cell r="J299">
            <v>10</v>
          </cell>
        </row>
        <row r="300">
          <cell r="A300">
            <v>38019</v>
          </cell>
          <cell r="O300">
            <v>8.4</v>
          </cell>
        </row>
        <row r="301">
          <cell r="A301">
            <v>38021</v>
          </cell>
          <cell r="O301">
            <v>8.4</v>
          </cell>
        </row>
        <row r="302">
          <cell r="A302">
            <v>38023</v>
          </cell>
          <cell r="O302">
            <v>6.7</v>
          </cell>
        </row>
        <row r="303">
          <cell r="A303">
            <v>38026</v>
          </cell>
          <cell r="O303">
            <v>6.2</v>
          </cell>
        </row>
        <row r="304">
          <cell r="A304">
            <v>38028</v>
          </cell>
          <cell r="O304">
            <v>23</v>
          </cell>
        </row>
        <row r="305">
          <cell r="A305">
            <v>38030</v>
          </cell>
          <cell r="O305">
            <v>9.8000000000000007</v>
          </cell>
        </row>
        <row r="306">
          <cell r="A306">
            <v>38033</v>
          </cell>
          <cell r="O306">
            <v>13</v>
          </cell>
        </row>
        <row r="307">
          <cell r="A307">
            <v>38035</v>
          </cell>
          <cell r="O307">
            <v>9.3000000000000007</v>
          </cell>
        </row>
        <row r="308">
          <cell r="A308">
            <v>38037</v>
          </cell>
          <cell r="O308">
            <v>7.5</v>
          </cell>
        </row>
        <row r="309">
          <cell r="A309">
            <v>38040</v>
          </cell>
          <cell r="O309">
            <v>18.600000000000001</v>
          </cell>
        </row>
        <row r="310">
          <cell r="A310">
            <v>38044</v>
          </cell>
          <cell r="O310">
            <v>2.2999999999999998</v>
          </cell>
        </row>
        <row r="311">
          <cell r="A311">
            <v>38040</v>
          </cell>
          <cell r="B311">
            <v>11</v>
          </cell>
          <cell r="C311">
            <v>1.1599999999999999</v>
          </cell>
          <cell r="D311">
            <v>2</v>
          </cell>
          <cell r="E311">
            <v>11</v>
          </cell>
          <cell r="F311">
            <v>8</v>
          </cell>
          <cell r="G311">
            <v>3.0209999999999999</v>
          </cell>
          <cell r="H311">
            <v>7.2</v>
          </cell>
          <cell r="I311">
            <v>53</v>
          </cell>
          <cell r="J311">
            <v>10</v>
          </cell>
          <cell r="K311">
            <v>3.6</v>
          </cell>
          <cell r="L311">
            <v>1.2</v>
          </cell>
          <cell r="M311">
            <v>19.899999999999999</v>
          </cell>
          <cell r="N311">
            <v>24.7</v>
          </cell>
          <cell r="P311">
            <v>64</v>
          </cell>
          <cell r="Q311">
            <v>0</v>
          </cell>
          <cell r="R311">
            <v>162</v>
          </cell>
          <cell r="S311">
            <v>0</v>
          </cell>
          <cell r="T311">
            <v>14</v>
          </cell>
          <cell r="U311" t="str">
            <v>Análisis realizado por LAI</v>
          </cell>
        </row>
        <row r="312">
          <cell r="A312">
            <v>38051</v>
          </cell>
          <cell r="O312">
            <v>12.6</v>
          </cell>
        </row>
        <row r="313">
          <cell r="A313">
            <v>38054</v>
          </cell>
          <cell r="O313">
            <v>15</v>
          </cell>
        </row>
        <row r="314">
          <cell r="A314">
            <v>38056</v>
          </cell>
          <cell r="O314">
            <v>15</v>
          </cell>
        </row>
        <row r="315">
          <cell r="A315">
            <v>38058</v>
          </cell>
          <cell r="O315">
            <v>13</v>
          </cell>
        </row>
        <row r="316">
          <cell r="A316">
            <v>38063</v>
          </cell>
          <cell r="O316">
            <v>17</v>
          </cell>
        </row>
        <row r="317">
          <cell r="A317">
            <v>38065</v>
          </cell>
          <cell r="O317">
            <v>19</v>
          </cell>
        </row>
        <row r="318">
          <cell r="A318">
            <v>38068</v>
          </cell>
          <cell r="O318">
            <v>39</v>
          </cell>
        </row>
        <row r="319">
          <cell r="A319">
            <v>38072</v>
          </cell>
          <cell r="O319">
            <v>17</v>
          </cell>
        </row>
        <row r="320">
          <cell r="A320">
            <v>38076</v>
          </cell>
          <cell r="O320">
            <v>20</v>
          </cell>
        </row>
        <row r="321">
          <cell r="A321">
            <v>38083</v>
          </cell>
          <cell r="J321">
            <v>10</v>
          </cell>
        </row>
        <row r="322">
          <cell r="A322">
            <v>38085</v>
          </cell>
          <cell r="O322">
            <v>7</v>
          </cell>
        </row>
        <row r="323">
          <cell r="A323">
            <v>38087</v>
          </cell>
          <cell r="O323">
            <v>15.9</v>
          </cell>
        </row>
        <row r="324">
          <cell r="A324">
            <v>38089</v>
          </cell>
          <cell r="J324">
            <v>100</v>
          </cell>
          <cell r="O324">
            <v>13.8</v>
          </cell>
        </row>
        <row r="325">
          <cell r="A325">
            <v>38091</v>
          </cell>
          <cell r="O325">
            <v>36.6</v>
          </cell>
        </row>
        <row r="326">
          <cell r="A326">
            <v>38093</v>
          </cell>
          <cell r="O326">
            <v>16.3</v>
          </cell>
        </row>
        <row r="327">
          <cell r="A327">
            <v>38094</v>
          </cell>
          <cell r="B327">
            <v>15</v>
          </cell>
          <cell r="C327">
            <v>0.13</v>
          </cell>
          <cell r="D327">
            <v>8.1</v>
          </cell>
          <cell r="E327">
            <v>15</v>
          </cell>
          <cell r="F327">
            <v>18</v>
          </cell>
          <cell r="G327">
            <v>2.0790000000000002</v>
          </cell>
          <cell r="H327">
            <v>7.5</v>
          </cell>
          <cell r="I327">
            <v>61</v>
          </cell>
          <cell r="J327">
            <v>10</v>
          </cell>
          <cell r="K327">
            <v>4.2</v>
          </cell>
          <cell r="L327">
            <v>1</v>
          </cell>
          <cell r="M327">
            <v>49.8</v>
          </cell>
          <cell r="N327">
            <v>55</v>
          </cell>
          <cell r="P327">
            <v>65</v>
          </cell>
          <cell r="Q327">
            <v>0</v>
          </cell>
          <cell r="R327">
            <v>235</v>
          </cell>
          <cell r="S327">
            <v>0</v>
          </cell>
          <cell r="T327">
            <v>13</v>
          </cell>
          <cell r="U327" t="str">
            <v>Análisis realizado por LAI</v>
          </cell>
        </row>
        <row r="328">
          <cell r="A328">
            <v>38095</v>
          </cell>
          <cell r="O328">
            <v>6.7</v>
          </cell>
        </row>
        <row r="329">
          <cell r="A329">
            <v>38098</v>
          </cell>
          <cell r="O329">
            <v>26.8</v>
          </cell>
        </row>
        <row r="330">
          <cell r="A330">
            <v>38103</v>
          </cell>
          <cell r="O330">
            <v>12.7</v>
          </cell>
        </row>
        <row r="331">
          <cell r="A331">
            <v>38106</v>
          </cell>
          <cell r="O331">
            <v>15.2</v>
          </cell>
        </row>
        <row r="332">
          <cell r="A332">
            <v>38107</v>
          </cell>
          <cell r="O332">
            <v>19</v>
          </cell>
        </row>
        <row r="333">
          <cell r="A333">
            <v>38110</v>
          </cell>
          <cell r="O333">
            <v>27.9</v>
          </cell>
        </row>
        <row r="334">
          <cell r="A334">
            <v>38111</v>
          </cell>
          <cell r="J334">
            <v>100</v>
          </cell>
        </row>
        <row r="335">
          <cell r="A335">
            <v>38112</v>
          </cell>
          <cell r="O335">
            <v>19.5</v>
          </cell>
        </row>
        <row r="336">
          <cell r="A336">
            <v>38114</v>
          </cell>
          <cell r="F336">
            <v>14</v>
          </cell>
          <cell r="O336">
            <v>11.4</v>
          </cell>
          <cell r="T336">
            <v>14</v>
          </cell>
        </row>
        <row r="337">
          <cell r="A337">
            <v>38117</v>
          </cell>
          <cell r="O337">
            <v>12.4</v>
          </cell>
        </row>
        <row r="338">
          <cell r="A338">
            <v>38119</v>
          </cell>
          <cell r="O338">
            <v>10.6</v>
          </cell>
        </row>
        <row r="339">
          <cell r="A339">
            <v>38121</v>
          </cell>
          <cell r="O339">
            <v>12.2</v>
          </cell>
        </row>
        <row r="340">
          <cell r="A340">
            <v>38124</v>
          </cell>
          <cell r="O340">
            <v>13.7</v>
          </cell>
        </row>
        <row r="341">
          <cell r="A341">
            <v>38126</v>
          </cell>
          <cell r="O341">
            <v>39.200000000000003</v>
          </cell>
        </row>
        <row r="342">
          <cell r="A342">
            <v>38127</v>
          </cell>
          <cell r="B342">
            <v>15</v>
          </cell>
          <cell r="C342">
            <v>0.2</v>
          </cell>
          <cell r="D342">
            <v>3</v>
          </cell>
          <cell r="E342">
            <v>14</v>
          </cell>
          <cell r="F342">
            <v>4</v>
          </cell>
          <cell r="H342">
            <v>7.15</v>
          </cell>
          <cell r="I342">
            <v>61</v>
          </cell>
          <cell r="J342">
            <v>10</v>
          </cell>
          <cell r="O342">
            <v>82</v>
          </cell>
          <cell r="P342">
            <v>120</v>
          </cell>
          <cell r="Q342">
            <v>0</v>
          </cell>
          <cell r="R342">
            <v>147</v>
          </cell>
          <cell r="S342">
            <v>0</v>
          </cell>
          <cell r="T342">
            <v>10</v>
          </cell>
        </row>
        <row r="343">
          <cell r="A343">
            <v>38128</v>
          </cell>
          <cell r="O343">
            <v>43</v>
          </cell>
        </row>
        <row r="344">
          <cell r="A344">
            <v>38135</v>
          </cell>
          <cell r="O344">
            <v>45.3</v>
          </cell>
        </row>
        <row r="345">
          <cell r="A345">
            <v>38140</v>
          </cell>
          <cell r="O345">
            <v>31.5</v>
          </cell>
        </row>
        <row r="346">
          <cell r="A346">
            <v>38145</v>
          </cell>
          <cell r="O346">
            <v>24</v>
          </cell>
        </row>
        <row r="347">
          <cell r="A347">
            <v>38146</v>
          </cell>
          <cell r="O347">
            <v>17</v>
          </cell>
        </row>
        <row r="348">
          <cell r="A348">
            <v>38147</v>
          </cell>
          <cell r="O348">
            <v>14.19</v>
          </cell>
        </row>
        <row r="349">
          <cell r="A349">
            <v>38149</v>
          </cell>
          <cell r="O349">
            <v>33.700000000000003</v>
          </cell>
        </row>
        <row r="350">
          <cell r="A350">
            <v>38152</v>
          </cell>
          <cell r="O350">
            <v>25.91</v>
          </cell>
        </row>
        <row r="351">
          <cell r="A351">
            <v>38153</v>
          </cell>
          <cell r="F351">
            <v>10</v>
          </cell>
          <cell r="O351">
            <v>18</v>
          </cell>
          <cell r="U351" t="str">
            <v>BAKER</v>
          </cell>
        </row>
        <row r="352">
          <cell r="A352">
            <v>38155</v>
          </cell>
          <cell r="F352">
            <v>8</v>
          </cell>
          <cell r="O352">
            <v>15</v>
          </cell>
          <cell r="U352" t="str">
            <v>BAKER</v>
          </cell>
        </row>
        <row r="353">
          <cell r="A353">
            <v>38156</v>
          </cell>
          <cell r="O353">
            <v>21.19</v>
          </cell>
        </row>
        <row r="354">
          <cell r="A354">
            <v>38159</v>
          </cell>
          <cell r="O354">
            <v>31.92</v>
          </cell>
        </row>
        <row r="355">
          <cell r="A355">
            <v>38160</v>
          </cell>
          <cell r="O355">
            <v>16</v>
          </cell>
          <cell r="U355" t="str">
            <v>BAKER</v>
          </cell>
        </row>
        <row r="356">
          <cell r="A356">
            <v>38161</v>
          </cell>
          <cell r="F356">
            <v>10</v>
          </cell>
          <cell r="U356" t="str">
            <v>BAKER</v>
          </cell>
        </row>
        <row r="357">
          <cell r="A357">
            <v>38162</v>
          </cell>
          <cell r="O357">
            <v>17.5</v>
          </cell>
          <cell r="U357" t="str">
            <v>BAKER</v>
          </cell>
        </row>
        <row r="358">
          <cell r="A358">
            <v>38163</v>
          </cell>
          <cell r="F358">
            <v>10</v>
          </cell>
          <cell r="O358">
            <v>25.7</v>
          </cell>
          <cell r="U358" t="str">
            <v>BAKER</v>
          </cell>
        </row>
        <row r="359">
          <cell r="A359">
            <v>38168</v>
          </cell>
          <cell r="O359">
            <v>9.18</v>
          </cell>
        </row>
        <row r="360">
          <cell r="A360">
            <v>38170</v>
          </cell>
          <cell r="O360">
            <v>32.700000000000003</v>
          </cell>
        </row>
        <row r="361">
          <cell r="A361">
            <v>38172</v>
          </cell>
          <cell r="O361">
            <v>25</v>
          </cell>
        </row>
        <row r="362">
          <cell r="A362">
            <v>38173</v>
          </cell>
          <cell r="O362">
            <v>22</v>
          </cell>
        </row>
        <row r="363">
          <cell r="A363">
            <v>38175</v>
          </cell>
          <cell r="O363">
            <v>98.6</v>
          </cell>
        </row>
        <row r="364">
          <cell r="A364">
            <v>38176</v>
          </cell>
          <cell r="O364">
            <v>48</v>
          </cell>
        </row>
        <row r="365">
          <cell r="A365">
            <v>38182</v>
          </cell>
          <cell r="O365">
            <v>25.7</v>
          </cell>
        </row>
        <row r="366">
          <cell r="A366">
            <v>38184</v>
          </cell>
          <cell r="O366">
            <v>21.46</v>
          </cell>
        </row>
        <row r="367">
          <cell r="A367">
            <v>38187</v>
          </cell>
          <cell r="O367">
            <v>19.920000000000002</v>
          </cell>
        </row>
        <row r="368">
          <cell r="A368">
            <v>38189</v>
          </cell>
          <cell r="O368">
            <v>18.52</v>
          </cell>
        </row>
        <row r="369">
          <cell r="A369">
            <v>38194</v>
          </cell>
          <cell r="O369">
            <v>35.78</v>
          </cell>
        </row>
        <row r="370">
          <cell r="A370">
            <v>38196</v>
          </cell>
          <cell r="O370">
            <v>25.24</v>
          </cell>
          <cell r="U370" t="str">
            <v xml:space="preserve">Se extrae otra Muestra con 22 ppm </v>
          </cell>
        </row>
        <row r="371">
          <cell r="A371">
            <v>38198</v>
          </cell>
          <cell r="O371">
            <v>12.4</v>
          </cell>
        </row>
        <row r="372">
          <cell r="A372">
            <v>38201</v>
          </cell>
          <cell r="O372">
            <v>34.700000000000003</v>
          </cell>
        </row>
        <row r="373">
          <cell r="A373">
            <v>38203</v>
          </cell>
          <cell r="O373">
            <v>18.68</v>
          </cell>
        </row>
        <row r="374">
          <cell r="A374">
            <v>38205</v>
          </cell>
          <cell r="O374">
            <v>19.75</v>
          </cell>
        </row>
        <row r="375">
          <cell r="A375">
            <v>38208</v>
          </cell>
          <cell r="O375">
            <v>10.9</v>
          </cell>
        </row>
        <row r="376">
          <cell r="A376">
            <v>38210</v>
          </cell>
          <cell r="O376">
            <v>30.9</v>
          </cell>
        </row>
        <row r="377">
          <cell r="A377">
            <v>38212</v>
          </cell>
          <cell r="O377">
            <v>44.1</v>
          </cell>
          <cell r="U377" t="str">
            <v xml:space="preserve">Se extrae otra Muestra con 15 ppm </v>
          </cell>
        </row>
        <row r="378">
          <cell r="A378">
            <v>38216</v>
          </cell>
          <cell r="O378">
            <v>92</v>
          </cell>
        </row>
        <row r="379">
          <cell r="A379">
            <v>38217</v>
          </cell>
          <cell r="O379">
            <v>20</v>
          </cell>
        </row>
        <row r="380">
          <cell r="A380">
            <v>38218</v>
          </cell>
          <cell r="B380">
            <v>12</v>
          </cell>
          <cell r="C380">
            <v>0.8</v>
          </cell>
          <cell r="D380">
            <v>1</v>
          </cell>
          <cell r="E380">
            <v>7</v>
          </cell>
          <cell r="F380">
            <v>6</v>
          </cell>
          <cell r="G380">
            <v>2.1739000000000002</v>
          </cell>
          <cell r="H380">
            <v>7.3</v>
          </cell>
          <cell r="I380">
            <v>62</v>
          </cell>
          <cell r="J380">
            <v>10</v>
          </cell>
          <cell r="K380">
            <v>3.7</v>
          </cell>
          <cell r="L380">
            <v>1.3</v>
          </cell>
          <cell r="M380">
            <v>51</v>
          </cell>
          <cell r="N380">
            <v>56</v>
          </cell>
          <cell r="O380">
            <v>18</v>
          </cell>
          <cell r="P380">
            <v>64</v>
          </cell>
          <cell r="Q380">
            <v>0</v>
          </cell>
          <cell r="R380">
            <v>146</v>
          </cell>
          <cell r="S380">
            <v>0</v>
          </cell>
          <cell r="T380">
            <v>20</v>
          </cell>
        </row>
        <row r="381">
          <cell r="A381">
            <v>38219</v>
          </cell>
          <cell r="O381">
            <v>24.6</v>
          </cell>
        </row>
        <row r="382">
          <cell r="A382">
            <v>38222</v>
          </cell>
          <cell r="O382">
            <v>35</v>
          </cell>
        </row>
        <row r="383">
          <cell r="A383">
            <v>38224</v>
          </cell>
          <cell r="O383">
            <v>37</v>
          </cell>
        </row>
        <row r="384">
          <cell r="A384">
            <v>38226</v>
          </cell>
          <cell r="O384">
            <v>6.6</v>
          </cell>
        </row>
        <row r="385">
          <cell r="A385">
            <v>38229</v>
          </cell>
          <cell r="O385">
            <v>17</v>
          </cell>
        </row>
        <row r="386">
          <cell r="A386">
            <v>38231</v>
          </cell>
          <cell r="O386">
            <v>23</v>
          </cell>
          <cell r="U386" t="str">
            <v>Lab. C.D. 23 ppm H.C.</v>
          </cell>
        </row>
        <row r="387">
          <cell r="A387">
            <v>38233</v>
          </cell>
          <cell r="O387">
            <v>5</v>
          </cell>
        </row>
        <row r="388">
          <cell r="A388">
            <v>38236</v>
          </cell>
          <cell r="O388">
            <v>21</v>
          </cell>
        </row>
        <row r="389">
          <cell r="A389">
            <v>38238</v>
          </cell>
          <cell r="O389">
            <v>34</v>
          </cell>
        </row>
        <row r="390">
          <cell r="A390">
            <v>38240</v>
          </cell>
          <cell r="O390">
            <v>54</v>
          </cell>
        </row>
        <row r="391">
          <cell r="A391">
            <v>38243</v>
          </cell>
          <cell r="O391">
            <v>20</v>
          </cell>
        </row>
        <row r="392">
          <cell r="A392">
            <v>38245</v>
          </cell>
          <cell r="O392">
            <v>27</v>
          </cell>
          <cell r="U392" t="str">
            <v>Lab. C.D. 19 ppm H.C.</v>
          </cell>
        </row>
        <row r="393">
          <cell r="A393">
            <v>38247</v>
          </cell>
          <cell r="O393">
            <v>10</v>
          </cell>
          <cell r="U393" t="str">
            <v>Lab. C.D. 6 ppm H.C.</v>
          </cell>
        </row>
        <row r="394">
          <cell r="A394">
            <v>38252</v>
          </cell>
          <cell r="O394">
            <v>35</v>
          </cell>
        </row>
        <row r="395">
          <cell r="A395">
            <v>38257</v>
          </cell>
          <cell r="O395">
            <v>8</v>
          </cell>
        </row>
        <row r="396">
          <cell r="A396">
            <v>38253</v>
          </cell>
          <cell r="O396">
            <v>10</v>
          </cell>
        </row>
        <row r="397">
          <cell r="A397">
            <v>38259</v>
          </cell>
          <cell r="O397">
            <v>46</v>
          </cell>
        </row>
        <row r="398">
          <cell r="A398">
            <v>38261</v>
          </cell>
          <cell r="F398">
            <v>700</v>
          </cell>
          <cell r="I398">
            <v>54</v>
          </cell>
          <cell r="J398">
            <v>10</v>
          </cell>
        </row>
        <row r="399">
          <cell r="A399">
            <v>38264</v>
          </cell>
          <cell r="O399">
            <v>11</v>
          </cell>
        </row>
        <row r="400">
          <cell r="A400">
            <v>38266</v>
          </cell>
          <cell r="O400">
            <v>16</v>
          </cell>
        </row>
        <row r="401">
          <cell r="A401">
            <v>38267</v>
          </cell>
          <cell r="D401">
            <v>3</v>
          </cell>
          <cell r="E401">
            <v>4</v>
          </cell>
          <cell r="F401">
            <v>16</v>
          </cell>
          <cell r="H401">
            <v>7.3</v>
          </cell>
          <cell r="I401">
            <v>54</v>
          </cell>
          <cell r="J401">
            <v>10000</v>
          </cell>
          <cell r="K401">
            <v>6</v>
          </cell>
          <cell r="L401">
            <v>1.6</v>
          </cell>
          <cell r="M401">
            <v>60</v>
          </cell>
          <cell r="N401">
            <v>67.599999999999994</v>
          </cell>
          <cell r="O401">
            <v>64</v>
          </cell>
          <cell r="T401">
            <v>14</v>
          </cell>
        </row>
        <row r="402">
          <cell r="A402">
            <v>38268</v>
          </cell>
          <cell r="O402">
            <v>6</v>
          </cell>
        </row>
        <row r="403">
          <cell r="A403">
            <v>38272</v>
          </cell>
          <cell r="O403">
            <v>45</v>
          </cell>
        </row>
        <row r="404">
          <cell r="A404">
            <v>38273</v>
          </cell>
          <cell r="O404">
            <v>13</v>
          </cell>
        </row>
        <row r="405">
          <cell r="A405">
            <v>38275</v>
          </cell>
          <cell r="O405">
            <v>35</v>
          </cell>
        </row>
        <row r="406">
          <cell r="A406">
            <v>38278</v>
          </cell>
          <cell r="O406">
            <v>13</v>
          </cell>
          <cell r="U406" t="str">
            <v>25ppm en lab. C.D.</v>
          </cell>
        </row>
        <row r="407">
          <cell r="A407">
            <v>38280</v>
          </cell>
          <cell r="J407">
            <v>100</v>
          </cell>
          <cell r="O407">
            <v>3</v>
          </cell>
        </row>
        <row r="408">
          <cell r="A408">
            <v>38285</v>
          </cell>
          <cell r="O408">
            <v>16</v>
          </cell>
          <cell r="U408" t="str">
            <v xml:space="preserve">Otra muestra con 18ppm </v>
          </cell>
        </row>
        <row r="409">
          <cell r="A409">
            <v>38286</v>
          </cell>
          <cell r="O409">
            <v>51</v>
          </cell>
        </row>
        <row r="410">
          <cell r="A410">
            <v>38287</v>
          </cell>
          <cell r="O410">
            <v>12</v>
          </cell>
        </row>
        <row r="411">
          <cell r="A411">
            <v>38288</v>
          </cell>
          <cell r="O411">
            <v>248</v>
          </cell>
        </row>
        <row r="412">
          <cell r="A412">
            <v>38289</v>
          </cell>
          <cell r="O412">
            <v>13</v>
          </cell>
        </row>
        <row r="413">
          <cell r="A413">
            <v>38292</v>
          </cell>
          <cell r="O413">
            <v>20</v>
          </cell>
          <cell r="U413" t="str">
            <v>20ppm en lab. C.D.</v>
          </cell>
        </row>
        <row r="414">
          <cell r="A414">
            <v>38293</v>
          </cell>
          <cell r="O414">
            <v>18</v>
          </cell>
        </row>
        <row r="415">
          <cell r="A415">
            <v>38294</v>
          </cell>
          <cell r="O415">
            <v>20</v>
          </cell>
        </row>
        <row r="416">
          <cell r="A416">
            <v>38295</v>
          </cell>
          <cell r="O416">
            <v>67</v>
          </cell>
        </row>
        <row r="417">
          <cell r="A417">
            <v>38301</v>
          </cell>
          <cell r="D417">
            <v>3</v>
          </cell>
          <cell r="E417">
            <v>8</v>
          </cell>
          <cell r="F417">
            <v>12</v>
          </cell>
          <cell r="H417">
            <v>7.34</v>
          </cell>
          <cell r="I417">
            <v>58</v>
          </cell>
          <cell r="J417">
            <v>10</v>
          </cell>
          <cell r="K417">
            <v>17.7</v>
          </cell>
          <cell r="L417">
            <v>0.2</v>
          </cell>
          <cell r="M417">
            <v>39.6</v>
          </cell>
          <cell r="N417">
            <v>57.5</v>
          </cell>
          <cell r="O417">
            <v>57</v>
          </cell>
        </row>
        <row r="418">
          <cell r="A418">
            <v>38302</v>
          </cell>
          <cell r="O418">
            <v>16</v>
          </cell>
        </row>
        <row r="419">
          <cell r="A419">
            <v>38303</v>
          </cell>
          <cell r="O419">
            <v>68</v>
          </cell>
          <cell r="U419" t="str">
            <v>70ppm en lab. C.D.</v>
          </cell>
        </row>
        <row r="420">
          <cell r="A420">
            <v>38306</v>
          </cell>
          <cell r="O420">
            <v>73</v>
          </cell>
          <cell r="U420" t="str">
            <v>83ppm en lab. C.D.</v>
          </cell>
        </row>
        <row r="421">
          <cell r="A421">
            <v>38307</v>
          </cell>
          <cell r="O421">
            <v>28</v>
          </cell>
        </row>
        <row r="422">
          <cell r="A422">
            <v>38308</v>
          </cell>
          <cell r="O422">
            <v>10</v>
          </cell>
          <cell r="U422" t="str">
            <v>21ppm en lab. C.D.</v>
          </cell>
        </row>
        <row r="423">
          <cell r="A423">
            <v>38313</v>
          </cell>
          <cell r="O423">
            <v>28</v>
          </cell>
        </row>
        <row r="424">
          <cell r="A424">
            <v>38314</v>
          </cell>
          <cell r="O424">
            <v>15</v>
          </cell>
        </row>
        <row r="425">
          <cell r="A425">
            <v>38315</v>
          </cell>
          <cell r="O425">
            <v>12</v>
          </cell>
          <cell r="U425" t="str">
            <v>16.2ppm en lab. C.D.</v>
          </cell>
        </row>
        <row r="426">
          <cell r="A426">
            <v>38316</v>
          </cell>
          <cell r="O426">
            <v>25</v>
          </cell>
        </row>
        <row r="427">
          <cell r="A427">
            <v>38317</v>
          </cell>
          <cell r="O427">
            <v>82</v>
          </cell>
        </row>
        <row r="428">
          <cell r="A428">
            <v>38324</v>
          </cell>
          <cell r="O428">
            <v>13</v>
          </cell>
        </row>
        <row r="429">
          <cell r="A429">
            <v>38327</v>
          </cell>
          <cell r="O429">
            <v>15</v>
          </cell>
        </row>
        <row r="430">
          <cell r="A430">
            <v>38329</v>
          </cell>
          <cell r="O430">
            <v>12</v>
          </cell>
        </row>
        <row r="431">
          <cell r="A431">
            <v>38331</v>
          </cell>
          <cell r="D431">
            <v>1</v>
          </cell>
          <cell r="E431">
            <v>8</v>
          </cell>
          <cell r="F431">
            <v>18</v>
          </cell>
          <cell r="H431">
            <v>7.75</v>
          </cell>
          <cell r="I431">
            <v>58</v>
          </cell>
          <cell r="J431">
            <v>100</v>
          </cell>
          <cell r="K431">
            <v>6.8</v>
          </cell>
          <cell r="L431">
            <v>2.4</v>
          </cell>
          <cell r="M431">
            <v>24.8</v>
          </cell>
          <cell r="N431">
            <v>34</v>
          </cell>
          <cell r="O431">
            <v>18</v>
          </cell>
        </row>
        <row r="432">
          <cell r="A432">
            <v>38338</v>
          </cell>
          <cell r="O432">
            <v>66</v>
          </cell>
          <cell r="U432" t="str">
            <v>65.8ppm en lab. C.D.</v>
          </cell>
        </row>
        <row r="433">
          <cell r="A433">
            <v>38341</v>
          </cell>
          <cell r="O433">
            <v>21</v>
          </cell>
          <cell r="U433" t="str">
            <v>21.8ppm en lab. C.D.</v>
          </cell>
        </row>
        <row r="434">
          <cell r="A434">
            <v>38343</v>
          </cell>
          <cell r="O434">
            <v>25</v>
          </cell>
          <cell r="U434" t="str">
            <v>24.6ppm en lab. C.D.</v>
          </cell>
        </row>
        <row r="435">
          <cell r="A435">
            <v>38350</v>
          </cell>
          <cell r="O435">
            <v>31</v>
          </cell>
          <cell r="U435" t="str">
            <v>30.5ppm en lab. C.D.</v>
          </cell>
        </row>
        <row r="436">
          <cell r="A436">
            <v>38357</v>
          </cell>
          <cell r="O436">
            <v>34</v>
          </cell>
        </row>
        <row r="437">
          <cell r="A437">
            <v>38359</v>
          </cell>
          <cell r="O437">
            <v>32.229999999999997</v>
          </cell>
        </row>
        <row r="438">
          <cell r="A438">
            <v>38362</v>
          </cell>
          <cell r="O438">
            <v>9</v>
          </cell>
          <cell r="U438" t="str">
            <v>92.78ppm en lab. C.D.</v>
          </cell>
        </row>
        <row r="439">
          <cell r="A439">
            <v>38363</v>
          </cell>
          <cell r="O439">
            <v>18</v>
          </cell>
        </row>
        <row r="440">
          <cell r="A440">
            <v>38364</v>
          </cell>
          <cell r="O440">
            <v>25</v>
          </cell>
          <cell r="U440" t="str">
            <v>transferencia resero 29ppm oil</v>
          </cell>
        </row>
        <row r="441">
          <cell r="A441">
            <v>38365</v>
          </cell>
          <cell r="O441">
            <v>23</v>
          </cell>
        </row>
        <row r="442">
          <cell r="A442">
            <v>38366</v>
          </cell>
          <cell r="O442">
            <v>44.98</v>
          </cell>
        </row>
        <row r="443">
          <cell r="A443">
            <v>38369</v>
          </cell>
          <cell r="O443">
            <v>27</v>
          </cell>
        </row>
        <row r="444">
          <cell r="A444">
            <v>38370</v>
          </cell>
          <cell r="O444">
            <v>33</v>
          </cell>
        </row>
        <row r="445">
          <cell r="A445">
            <v>38371</v>
          </cell>
          <cell r="O445">
            <v>29</v>
          </cell>
          <cell r="U445" t="str">
            <v>18.7ppm en lab. C.D.</v>
          </cell>
        </row>
        <row r="446">
          <cell r="A446">
            <v>38372</v>
          </cell>
          <cell r="O446">
            <v>24</v>
          </cell>
        </row>
        <row r="447">
          <cell r="A447">
            <v>38373</v>
          </cell>
          <cell r="O447">
            <v>27</v>
          </cell>
          <cell r="U447" t="str">
            <v>23.6ppm en lab. C.D.</v>
          </cell>
        </row>
        <row r="448">
          <cell r="A448">
            <v>38376</v>
          </cell>
          <cell r="B448">
            <v>16</v>
          </cell>
          <cell r="C448">
            <v>0.1</v>
          </cell>
          <cell r="D448">
            <v>2</v>
          </cell>
          <cell r="E448">
            <v>6</v>
          </cell>
          <cell r="F448">
            <v>2</v>
          </cell>
          <cell r="G448">
            <v>2.8010999999999999</v>
          </cell>
          <cell r="H448">
            <v>8.36</v>
          </cell>
          <cell r="I448">
            <v>57</v>
          </cell>
          <cell r="J448">
            <v>10000</v>
          </cell>
          <cell r="K448">
            <v>3</v>
          </cell>
          <cell r="L448">
            <v>0.8</v>
          </cell>
          <cell r="M448">
            <v>24.8</v>
          </cell>
          <cell r="N448">
            <v>28.6</v>
          </cell>
          <cell r="O448">
            <v>18</v>
          </cell>
          <cell r="P448">
            <v>56</v>
          </cell>
          <cell r="Q448">
            <v>11.52</v>
          </cell>
          <cell r="R448">
            <v>109</v>
          </cell>
          <cell r="S448" t="str">
            <v>*</v>
          </cell>
          <cell r="T448" t="str">
            <v>*</v>
          </cell>
          <cell r="U448" t="str">
            <v>48.6ppm en lab. C.D.</v>
          </cell>
        </row>
        <row r="449">
          <cell r="A449">
            <v>38377</v>
          </cell>
          <cell r="O449">
            <v>17</v>
          </cell>
        </row>
        <row r="450">
          <cell r="A450">
            <v>38378</v>
          </cell>
          <cell r="O450">
            <v>29</v>
          </cell>
          <cell r="U450" t="str">
            <v>5.0ppm en lab. C.D.</v>
          </cell>
        </row>
        <row r="451">
          <cell r="A451">
            <v>38379</v>
          </cell>
          <cell r="O451">
            <v>19</v>
          </cell>
        </row>
        <row r="452">
          <cell r="A452">
            <v>38380</v>
          </cell>
          <cell r="O452">
            <v>15</v>
          </cell>
        </row>
        <row r="453">
          <cell r="A453">
            <v>38383</v>
          </cell>
          <cell r="O453">
            <v>2</v>
          </cell>
          <cell r="U453" t="str">
            <v>1.76ppm en lab. C.D.</v>
          </cell>
        </row>
        <row r="454">
          <cell r="A454">
            <v>38384</v>
          </cell>
          <cell r="O454">
            <v>9</v>
          </cell>
        </row>
        <row r="455">
          <cell r="A455">
            <v>38384</v>
          </cell>
          <cell r="O455">
            <v>5</v>
          </cell>
        </row>
        <row r="456">
          <cell r="A456">
            <v>38385</v>
          </cell>
          <cell r="O456">
            <v>2</v>
          </cell>
          <cell r="U456" t="str">
            <v>3.8ppm en lab. C.D.</v>
          </cell>
        </row>
        <row r="457">
          <cell r="A457">
            <v>38386</v>
          </cell>
          <cell r="O457">
            <v>6</v>
          </cell>
        </row>
        <row r="458">
          <cell r="A458">
            <v>38386</v>
          </cell>
          <cell r="O458">
            <v>2</v>
          </cell>
        </row>
        <row r="459">
          <cell r="A459">
            <v>38387</v>
          </cell>
          <cell r="O459">
            <v>6</v>
          </cell>
        </row>
        <row r="460">
          <cell r="A460">
            <v>38390</v>
          </cell>
          <cell r="O460">
            <v>12.3</v>
          </cell>
        </row>
        <row r="461">
          <cell r="A461">
            <v>38392</v>
          </cell>
          <cell r="O461">
            <v>12.6</v>
          </cell>
        </row>
        <row r="462">
          <cell r="A462">
            <v>38394</v>
          </cell>
          <cell r="O462">
            <v>3.5</v>
          </cell>
        </row>
        <row r="463">
          <cell r="A463">
            <v>38397</v>
          </cell>
          <cell r="O463">
            <v>4.3</v>
          </cell>
        </row>
        <row r="464">
          <cell r="A464">
            <v>38399</v>
          </cell>
          <cell r="O464">
            <v>25</v>
          </cell>
        </row>
        <row r="465">
          <cell r="A465">
            <v>38401</v>
          </cell>
          <cell r="B465">
            <v>9</v>
          </cell>
          <cell r="C465">
            <v>0.2</v>
          </cell>
          <cell r="D465">
            <v>0.4</v>
          </cell>
          <cell r="E465">
            <v>7</v>
          </cell>
          <cell r="F465">
            <v>40</v>
          </cell>
          <cell r="G465">
            <v>2.8248000000000002</v>
          </cell>
          <cell r="H465">
            <v>8.1</v>
          </cell>
          <cell r="I465">
            <v>62</v>
          </cell>
          <cell r="J465">
            <v>10</v>
          </cell>
          <cell r="K465">
            <v>6.4</v>
          </cell>
          <cell r="L465">
            <v>0.8</v>
          </cell>
          <cell r="M465">
            <v>25.4</v>
          </cell>
          <cell r="N465">
            <v>32.6</v>
          </cell>
          <cell r="O465">
            <v>24</v>
          </cell>
          <cell r="P465">
            <v>112</v>
          </cell>
          <cell r="Q465">
            <v>0</v>
          </cell>
          <cell r="R465">
            <v>139</v>
          </cell>
          <cell r="S465" t="str">
            <v>*</v>
          </cell>
          <cell r="T465" t="str">
            <v>*</v>
          </cell>
        </row>
        <row r="466">
          <cell r="A466">
            <v>38404</v>
          </cell>
          <cell r="O466">
            <v>5.67</v>
          </cell>
        </row>
        <row r="467">
          <cell r="A467">
            <v>38406</v>
          </cell>
          <cell r="O467">
            <v>10.41</v>
          </cell>
        </row>
        <row r="468">
          <cell r="A468">
            <v>38411</v>
          </cell>
          <cell r="O468">
            <v>25.46</v>
          </cell>
        </row>
        <row r="469">
          <cell r="A469">
            <v>38413</v>
          </cell>
          <cell r="O469">
            <v>22</v>
          </cell>
        </row>
        <row r="470">
          <cell r="A470">
            <v>38414</v>
          </cell>
          <cell r="B470">
            <v>18</v>
          </cell>
          <cell r="C470">
            <v>0.25</v>
          </cell>
          <cell r="D470">
            <v>2</v>
          </cell>
          <cell r="E470">
            <v>4</v>
          </cell>
          <cell r="F470">
            <v>60</v>
          </cell>
          <cell r="G470">
            <v>2.7770000000000001</v>
          </cell>
          <cell r="H470">
            <v>7.74</v>
          </cell>
          <cell r="I470">
            <v>60</v>
          </cell>
          <cell r="J470">
            <v>10</v>
          </cell>
          <cell r="K470">
            <v>4.5</v>
          </cell>
          <cell r="L470">
            <v>1.3</v>
          </cell>
          <cell r="M470">
            <v>44</v>
          </cell>
          <cell r="N470">
            <v>49.8</v>
          </cell>
          <cell r="O470">
            <v>43</v>
          </cell>
          <cell r="P470">
            <v>96</v>
          </cell>
          <cell r="Q470">
            <v>0</v>
          </cell>
          <cell r="R470">
            <v>144</v>
          </cell>
          <cell r="S470" t="str">
            <v>*</v>
          </cell>
          <cell r="T470" t="str">
            <v>*</v>
          </cell>
        </row>
        <row r="471">
          <cell r="A471">
            <v>38415</v>
          </cell>
          <cell r="O471">
            <v>33.700000000000003</v>
          </cell>
        </row>
        <row r="472">
          <cell r="A472">
            <v>38418</v>
          </cell>
          <cell r="O472">
            <v>24.5</v>
          </cell>
        </row>
        <row r="473">
          <cell r="A473">
            <v>38420</v>
          </cell>
          <cell r="O473">
            <v>6.1</v>
          </cell>
        </row>
        <row r="474">
          <cell r="A474">
            <v>38425</v>
          </cell>
          <cell r="O474">
            <v>21.81</v>
          </cell>
        </row>
        <row r="475">
          <cell r="A475">
            <v>38427</v>
          </cell>
          <cell r="O475">
            <v>75.739999999999995</v>
          </cell>
        </row>
        <row r="476">
          <cell r="A476">
            <v>38429</v>
          </cell>
          <cell r="O476">
            <v>5.07</v>
          </cell>
        </row>
        <row r="477">
          <cell r="A477">
            <v>38432</v>
          </cell>
          <cell r="O477">
            <v>9.25</v>
          </cell>
        </row>
        <row r="478">
          <cell r="A478">
            <v>38434</v>
          </cell>
          <cell r="O478">
            <v>21.54</v>
          </cell>
        </row>
        <row r="479">
          <cell r="A479">
            <v>38439</v>
          </cell>
          <cell r="F479">
            <v>20</v>
          </cell>
          <cell r="O479">
            <v>168</v>
          </cell>
        </row>
        <row r="480">
          <cell r="A480">
            <v>38447</v>
          </cell>
          <cell r="O480">
            <v>12.4</v>
          </cell>
        </row>
        <row r="481">
          <cell r="A481">
            <v>38450</v>
          </cell>
          <cell r="O481">
            <v>11.7</v>
          </cell>
        </row>
        <row r="482">
          <cell r="A482">
            <v>38453</v>
          </cell>
          <cell r="O482">
            <v>6.6</v>
          </cell>
        </row>
        <row r="483">
          <cell r="A483">
            <v>38455</v>
          </cell>
          <cell r="O483">
            <v>15.6</v>
          </cell>
        </row>
        <row r="484">
          <cell r="A484">
            <v>38456</v>
          </cell>
          <cell r="B484">
            <v>12</v>
          </cell>
          <cell r="C484">
            <v>0.36</v>
          </cell>
          <cell r="D484">
            <v>3</v>
          </cell>
          <cell r="E484">
            <v>6</v>
          </cell>
          <cell r="F484">
            <v>30</v>
          </cell>
          <cell r="G484">
            <v>2.6579999999999999</v>
          </cell>
          <cell r="H484">
            <v>7.68</v>
          </cell>
          <cell r="I484">
            <v>56</v>
          </cell>
          <cell r="J484">
            <v>100</v>
          </cell>
          <cell r="K484">
            <v>2.4</v>
          </cell>
          <cell r="L484">
            <v>0.3</v>
          </cell>
          <cell r="M484">
            <v>12.4</v>
          </cell>
          <cell r="N484">
            <v>15.1</v>
          </cell>
          <cell r="O484">
            <v>15</v>
          </cell>
          <cell r="P484">
            <v>102</v>
          </cell>
          <cell r="Q484">
            <v>0</v>
          </cell>
          <cell r="R484">
            <v>154</v>
          </cell>
          <cell r="S484" t="str">
            <v>*</v>
          </cell>
          <cell r="T484" t="str">
            <v>*</v>
          </cell>
        </row>
        <row r="485">
          <cell r="A485">
            <v>38460</v>
          </cell>
          <cell r="O485">
            <v>13.53</v>
          </cell>
        </row>
        <row r="486">
          <cell r="A486">
            <v>38461</v>
          </cell>
          <cell r="O486">
            <v>17.239999999999998</v>
          </cell>
        </row>
        <row r="487">
          <cell r="A487">
            <v>38462</v>
          </cell>
          <cell r="O487">
            <v>8.7200000000000006</v>
          </cell>
          <cell r="U487" t="str">
            <v>Lab. C.D. 40.92</v>
          </cell>
        </row>
        <row r="488">
          <cell r="A488">
            <v>38463</v>
          </cell>
          <cell r="O488">
            <v>11.71</v>
          </cell>
        </row>
        <row r="489">
          <cell r="A489">
            <v>38464</v>
          </cell>
          <cell r="O489">
            <v>4.29</v>
          </cell>
        </row>
        <row r="490">
          <cell r="A490">
            <v>38467</v>
          </cell>
          <cell r="O490">
            <v>24.1</v>
          </cell>
          <cell r="U490" t="str">
            <v>otra muestra con 6.8ppm de Hc</v>
          </cell>
        </row>
        <row r="491">
          <cell r="A491">
            <v>38468</v>
          </cell>
          <cell r="O491">
            <v>32.700000000000003</v>
          </cell>
        </row>
        <row r="492">
          <cell r="A492">
            <v>38470</v>
          </cell>
          <cell r="O492">
            <v>11</v>
          </cell>
        </row>
        <row r="493">
          <cell r="A493">
            <v>38471</v>
          </cell>
          <cell r="O493">
            <v>10</v>
          </cell>
        </row>
        <row r="494">
          <cell r="A494">
            <v>38476</v>
          </cell>
          <cell r="O494">
            <v>29</v>
          </cell>
        </row>
        <row r="495">
          <cell r="A495">
            <v>38478</v>
          </cell>
          <cell r="O495">
            <v>48.5</v>
          </cell>
          <cell r="U495" t="str">
            <v>otra muestra con 31.8ppm de Hc</v>
          </cell>
        </row>
        <row r="496">
          <cell r="A496">
            <v>38481</v>
          </cell>
          <cell r="O496">
            <v>20.399999999999999</v>
          </cell>
        </row>
        <row r="497">
          <cell r="A497">
            <v>38483</v>
          </cell>
          <cell r="O497">
            <v>26.2</v>
          </cell>
        </row>
        <row r="498">
          <cell r="A498">
            <v>38485</v>
          </cell>
          <cell r="B498">
            <v>25</v>
          </cell>
          <cell r="C498">
            <v>0.26</v>
          </cell>
          <cell r="D498">
            <v>3</v>
          </cell>
          <cell r="E498">
            <v>9</v>
          </cell>
          <cell r="F498">
            <v>18</v>
          </cell>
          <cell r="G498">
            <v>2.5630000000000002</v>
          </cell>
          <cell r="H498">
            <v>7.86</v>
          </cell>
          <cell r="I498">
            <v>65</v>
          </cell>
          <cell r="J498">
            <v>100</v>
          </cell>
          <cell r="K498">
            <v>2.8</v>
          </cell>
          <cell r="L498">
            <v>0.2</v>
          </cell>
          <cell r="M498">
            <v>14.7</v>
          </cell>
          <cell r="N498">
            <v>17.7</v>
          </cell>
          <cell r="O498">
            <v>19</v>
          </cell>
          <cell r="P498">
            <v>112</v>
          </cell>
          <cell r="Q498">
            <v>12</v>
          </cell>
          <cell r="R498">
            <v>149</v>
          </cell>
          <cell r="S498" t="str">
            <v>*</v>
          </cell>
          <cell r="T498" t="str">
            <v>*</v>
          </cell>
          <cell r="U498" t="str">
            <v>otra muestra con 19.1ppm de Hc</v>
          </cell>
        </row>
        <row r="499">
          <cell r="A499">
            <v>38495</v>
          </cell>
          <cell r="O499">
            <v>32.85</v>
          </cell>
        </row>
        <row r="500">
          <cell r="A500">
            <v>38498</v>
          </cell>
          <cell r="O500">
            <v>20.47</v>
          </cell>
        </row>
        <row r="501">
          <cell r="A501">
            <v>38502</v>
          </cell>
          <cell r="O501">
            <v>14.4</v>
          </cell>
        </row>
        <row r="502">
          <cell r="A502">
            <v>38506</v>
          </cell>
          <cell r="O502">
            <v>8.18</v>
          </cell>
        </row>
      </sheetData>
      <sheetData sheetId="10"/>
      <sheetData sheetId="11"/>
      <sheetData sheetId="12"/>
      <sheetData sheetId="13"/>
      <sheetData sheetId="14"/>
      <sheetData sheetId="15" refreshError="1"/>
      <sheetData sheetId="16" refreshError="1"/>
      <sheetData sheetId="17" refreshError="1"/>
      <sheetData sheetId="18"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Precios Oil"/>
      <sheetName val="Precios Gas"/>
      <sheetName val="Precios LPG"/>
      <sheetName val="Precios y Ventas Gas"/>
      <sheetName val="Unidades de Venta"/>
      <sheetName val="Transporte"/>
      <sheetName val="Valor Regalia Gas"/>
      <sheetName val="Deduc Regalias"/>
      <sheetName val="Datos Para Oil"/>
      <sheetName val="Alícuotas IIBB"/>
      <sheetName val="Unidades Venta BP"/>
      <sheetName val="Producciones"/>
      <sheetName val="Producciones BP"/>
      <sheetName val="Precios Gas (2)"/>
    </sheetNames>
    <sheetDataSet>
      <sheetData sheetId="0" refreshError="1">
        <row r="4">
          <cell r="E4">
            <v>25</v>
          </cell>
          <cell r="I4">
            <v>6.2893081761006284</v>
          </cell>
        </row>
        <row r="5">
          <cell r="E5">
            <v>25</v>
          </cell>
        </row>
        <row r="6">
          <cell r="E6">
            <v>25</v>
          </cell>
        </row>
        <row r="7">
          <cell r="E7">
            <v>25</v>
          </cell>
        </row>
        <row r="8">
          <cell r="E8">
            <v>25</v>
          </cell>
        </row>
        <row r="9">
          <cell r="E9">
            <v>25</v>
          </cell>
        </row>
        <row r="10">
          <cell r="E10">
            <v>25</v>
          </cell>
        </row>
        <row r="11">
          <cell r="E11">
            <v>25</v>
          </cell>
        </row>
        <row r="12">
          <cell r="E12">
            <v>25</v>
          </cell>
        </row>
        <row r="13">
          <cell r="E13">
            <v>25</v>
          </cell>
        </row>
        <row r="14">
          <cell r="E14">
            <v>25</v>
          </cell>
        </row>
        <row r="15">
          <cell r="E15">
            <v>25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Output"/>
      <sheetName val="Planilla"/>
      <sheetName val="Resumen Sensibilidad"/>
      <sheetName val="Calcwti"/>
      <sheetName val="Sens Inv"/>
      <sheetName val="Sens Costos"/>
      <sheetName val="Sens Precio"/>
      <sheetName val="Sens Prod"/>
      <sheetName val="Instructivo"/>
    </sheetNames>
    <sheetDataSet>
      <sheetData sheetId="0" refreshError="1">
        <row r="13">
          <cell r="F13">
            <v>3.4139994484293124</v>
          </cell>
        </row>
        <row r="62">
          <cell r="F62">
            <v>0.85</v>
          </cell>
        </row>
        <row r="66">
          <cell r="F66">
            <v>0</v>
          </cell>
        </row>
        <row r="72">
          <cell r="F72">
            <v>0</v>
          </cell>
        </row>
        <row r="74">
          <cell r="F74">
            <v>0</v>
          </cell>
        </row>
      </sheetData>
      <sheetData sheetId="1" refreshError="1">
        <row r="6">
          <cell r="J6">
            <v>273</v>
          </cell>
        </row>
        <row r="7">
          <cell r="G7">
            <v>3050</v>
          </cell>
          <cell r="I7">
            <v>1</v>
          </cell>
        </row>
        <row r="8">
          <cell r="G8">
            <v>3050</v>
          </cell>
          <cell r="I8">
            <v>1</v>
          </cell>
        </row>
        <row r="9">
          <cell r="G9">
            <v>3050</v>
          </cell>
          <cell r="I9">
            <v>1</v>
          </cell>
        </row>
        <row r="10">
          <cell r="G10">
            <v>3050</v>
          </cell>
          <cell r="I10">
            <v>1</v>
          </cell>
        </row>
        <row r="11">
          <cell r="G11">
            <v>3050</v>
          </cell>
          <cell r="I11">
            <v>1</v>
          </cell>
        </row>
        <row r="12">
          <cell r="G12">
            <v>3050</v>
          </cell>
          <cell r="I12">
            <v>1</v>
          </cell>
        </row>
        <row r="13">
          <cell r="G13">
            <v>3050</v>
          </cell>
          <cell r="I13">
            <v>1</v>
          </cell>
        </row>
        <row r="14">
          <cell r="G14">
            <v>3050</v>
          </cell>
          <cell r="I14">
            <v>1</v>
          </cell>
        </row>
        <row r="15">
          <cell r="G15">
            <v>3050</v>
          </cell>
          <cell r="I15">
            <v>1</v>
          </cell>
        </row>
        <row r="16">
          <cell r="G16">
            <v>3050</v>
          </cell>
          <cell r="I16">
            <v>1</v>
          </cell>
        </row>
        <row r="17">
          <cell r="G17">
            <v>3050</v>
          </cell>
          <cell r="I17">
            <v>1</v>
          </cell>
        </row>
        <row r="18">
          <cell r="C18">
            <v>24.333280000000002</v>
          </cell>
          <cell r="D18">
            <v>10</v>
          </cell>
          <cell r="E18">
            <v>7.2999840000000003</v>
          </cell>
          <cell r="F18">
            <v>7.4766424048628419</v>
          </cell>
          <cell r="G18">
            <v>3050</v>
          </cell>
          <cell r="H18">
            <v>34.333280000000002</v>
          </cell>
          <cell r="I18">
            <v>1</v>
          </cell>
        </row>
        <row r="19">
          <cell r="C19">
            <v>39.541580000000003</v>
          </cell>
          <cell r="D19">
            <v>16.25</v>
          </cell>
          <cell r="E19">
            <v>11.862474000000002</v>
          </cell>
          <cell r="F19">
            <v>12.149543907902119</v>
          </cell>
          <cell r="G19">
            <v>3050</v>
          </cell>
          <cell r="H19">
            <v>55.791580000000003</v>
          </cell>
          <cell r="I19">
            <v>1</v>
          </cell>
        </row>
        <row r="20">
          <cell r="C20">
            <v>69.958179999999999</v>
          </cell>
          <cell r="D20">
            <v>28.75</v>
          </cell>
          <cell r="E20">
            <v>20.987454</v>
          </cell>
          <cell r="F20">
            <v>21.495346913980669</v>
          </cell>
          <cell r="G20">
            <v>3050</v>
          </cell>
          <cell r="H20">
            <v>98.708179999999999</v>
          </cell>
          <cell r="I20">
            <v>1</v>
          </cell>
        </row>
        <row r="21">
          <cell r="C21">
            <v>121.6664</v>
          </cell>
          <cell r="D21">
            <v>50</v>
          </cell>
          <cell r="E21">
            <v>36.499919999999996</v>
          </cell>
          <cell r="F21">
            <v>37.383212024314204</v>
          </cell>
          <cell r="G21">
            <v>3050</v>
          </cell>
          <cell r="H21">
            <v>171.66639999999998</v>
          </cell>
          <cell r="I21">
            <v>1</v>
          </cell>
        </row>
        <row r="22">
          <cell r="C22">
            <v>228.12449999999998</v>
          </cell>
          <cell r="D22">
            <v>93.75</v>
          </cell>
          <cell r="E22">
            <v>68.437349999999995</v>
          </cell>
          <cell r="F22">
            <v>70.093522545589138</v>
          </cell>
          <cell r="G22">
            <v>3050</v>
          </cell>
          <cell r="H22">
            <v>321.87449999999995</v>
          </cell>
          <cell r="I22">
            <v>1</v>
          </cell>
        </row>
        <row r="23">
          <cell r="C23">
            <v>252.45778000000001</v>
          </cell>
          <cell r="D23">
            <v>103.75</v>
          </cell>
          <cell r="E23">
            <v>75.737334000000004</v>
          </cell>
          <cell r="F23">
            <v>77.570164950451982</v>
          </cell>
          <cell r="G23">
            <v>3050</v>
          </cell>
          <cell r="H23">
            <v>356.20778000000001</v>
          </cell>
          <cell r="I23">
            <v>1</v>
          </cell>
        </row>
        <row r="24">
          <cell r="C24">
            <v>243.33279999999999</v>
          </cell>
          <cell r="D24">
            <v>172.29262812981457</v>
          </cell>
          <cell r="E24">
            <v>72.999839999999992</v>
          </cell>
          <cell r="F24">
            <v>74.766424048628409</v>
          </cell>
          <cell r="G24">
            <v>3050</v>
          </cell>
          <cell r="H24">
            <v>415.62542812981457</v>
          </cell>
          <cell r="I24">
            <v>1</v>
          </cell>
        </row>
        <row r="25">
          <cell r="C25">
            <v>212.9162</v>
          </cell>
          <cell r="D25">
            <v>598.52064437402714</v>
          </cell>
          <cell r="E25">
            <v>63.874859999999998</v>
          </cell>
          <cell r="F25">
            <v>65.420621042549868</v>
          </cell>
          <cell r="G25">
            <v>3050</v>
          </cell>
          <cell r="H25">
            <v>811.43684437402715</v>
          </cell>
          <cell r="I25">
            <v>1</v>
          </cell>
        </row>
        <row r="26">
          <cell r="C26">
            <v>177.33407664183861</v>
          </cell>
          <cell r="D26">
            <v>761.51864888974603</v>
          </cell>
          <cell r="E26">
            <v>53.200222992551588</v>
          </cell>
          <cell r="F26">
            <v>54.487659585866261</v>
          </cell>
          <cell r="G26">
            <v>3050</v>
          </cell>
          <cell r="H26">
            <v>938.85272553158461</v>
          </cell>
          <cell r="I26">
            <v>1</v>
          </cell>
        </row>
        <row r="27">
          <cell r="C27">
            <v>153.58713213515577</v>
          </cell>
          <cell r="D27">
            <v>1230</v>
          </cell>
          <cell r="E27">
            <v>46.076139640546728</v>
          </cell>
          <cell r="F27">
            <v>47.19117459557355</v>
          </cell>
          <cell r="G27">
            <v>3050</v>
          </cell>
          <cell r="H27">
            <v>1383.5871321351558</v>
          </cell>
          <cell r="I27">
            <v>1</v>
          </cell>
        </row>
        <row r="28">
          <cell r="C28">
            <v>136.42686620844847</v>
          </cell>
          <cell r="D28">
            <v>1764</v>
          </cell>
          <cell r="E28">
            <v>40.928059862534539</v>
          </cell>
          <cell r="F28">
            <v>41.918512138792437</v>
          </cell>
          <cell r="G28">
            <v>3050</v>
          </cell>
          <cell r="H28">
            <v>1900.4268662084485</v>
          </cell>
          <cell r="I28">
            <v>1</v>
          </cell>
        </row>
        <row r="29">
          <cell r="C29">
            <v>123.34902928239745</v>
          </cell>
          <cell r="D29">
            <v>2495</v>
          </cell>
          <cell r="E29">
            <v>37.004708784719234</v>
          </cell>
          <cell r="F29">
            <v>37.90021661409564</v>
          </cell>
          <cell r="G29">
            <v>3050</v>
          </cell>
          <cell r="H29">
            <v>2618.3490292823976</v>
          </cell>
          <cell r="I29">
            <v>1</v>
          </cell>
        </row>
        <row r="30">
          <cell r="C30">
            <v>112.99505934135966</v>
          </cell>
          <cell r="D30">
            <v>2737.00494065864</v>
          </cell>
          <cell r="E30">
            <v>33.898517802407895</v>
          </cell>
          <cell r="F30">
            <v>34.718856323997535</v>
          </cell>
          <cell r="G30">
            <v>3050</v>
          </cell>
          <cell r="H30">
            <v>2850</v>
          </cell>
          <cell r="I30">
            <v>1</v>
          </cell>
        </row>
        <row r="31">
          <cell r="C31">
            <v>104.55894706411743</v>
          </cell>
          <cell r="D31">
            <v>2905.4410529358802</v>
          </cell>
          <cell r="E31">
            <v>31.367684119235228</v>
          </cell>
          <cell r="F31">
            <v>32.126776884472193</v>
          </cell>
          <cell r="G31">
            <v>3050</v>
          </cell>
          <cell r="H31">
            <v>3010</v>
          </cell>
          <cell r="I31">
            <v>1</v>
          </cell>
        </row>
        <row r="32">
          <cell r="C32">
            <v>97.529775516084101</v>
          </cell>
          <cell r="D32">
            <v>2952.4702244839159</v>
          </cell>
          <cell r="E32">
            <v>29.25893265482523</v>
          </cell>
          <cell r="F32">
            <v>29.966993983561121</v>
          </cell>
          <cell r="G32">
            <v>3050</v>
          </cell>
          <cell r="H32">
            <v>3050</v>
          </cell>
          <cell r="I32">
            <v>1</v>
          </cell>
        </row>
        <row r="33">
          <cell r="C33">
            <v>91.566711374059622</v>
          </cell>
          <cell r="D33">
            <v>2958.4332886259403</v>
          </cell>
          <cell r="E33">
            <v>27.470013412217888</v>
          </cell>
          <cell r="F33">
            <v>28.134783191297306</v>
          </cell>
          <cell r="G33">
            <v>3050</v>
          </cell>
          <cell r="H33">
            <v>3050</v>
          </cell>
          <cell r="I33">
            <v>1</v>
          </cell>
        </row>
        <row r="34">
          <cell r="C34">
            <v>86.432949501027224</v>
          </cell>
          <cell r="D34">
            <v>2963.567050498973</v>
          </cell>
          <cell r="E34">
            <v>25.92988485030817</v>
          </cell>
          <cell r="F34">
            <v>26.557383773036303</v>
          </cell>
          <cell r="G34">
            <v>3050</v>
          </cell>
          <cell r="H34">
            <v>3050</v>
          </cell>
          <cell r="I34">
            <v>1</v>
          </cell>
        </row>
        <row r="35">
          <cell r="C35">
            <v>81.958414406300903</v>
          </cell>
          <cell r="D35">
            <v>2968.041585593699</v>
          </cell>
          <cell r="E35">
            <v>24.587524321890271</v>
          </cell>
          <cell r="F35">
            <v>25.182538341952707</v>
          </cell>
          <cell r="G35">
            <v>3050</v>
          </cell>
          <cell r="H35">
            <v>3050</v>
          </cell>
          <cell r="I35">
            <v>1</v>
          </cell>
        </row>
        <row r="36">
          <cell r="C36">
            <v>78.017540844474595</v>
          </cell>
          <cell r="D36">
            <v>2971.9824591555252</v>
          </cell>
          <cell r="E36">
            <v>23.405262253342379</v>
          </cell>
          <cell r="F36">
            <v>23.971665726976287</v>
          </cell>
          <cell r="G36">
            <v>3050</v>
          </cell>
          <cell r="H36">
            <v>3050</v>
          </cell>
          <cell r="I36">
            <v>1</v>
          </cell>
        </row>
        <row r="37">
          <cell r="C37">
            <v>74.515439231660253</v>
          </cell>
          <cell r="D37">
            <v>2975.4845607683396</v>
          </cell>
          <cell r="E37">
            <v>22.354631769498074</v>
          </cell>
          <cell r="F37">
            <v>22.895610159272042</v>
          </cell>
          <cell r="G37">
            <v>3050</v>
          </cell>
          <cell r="H37">
            <v>3050</v>
          </cell>
          <cell r="I37">
            <v>1</v>
          </cell>
        </row>
        <row r="38">
          <cell r="C38">
            <v>71.378955912763814</v>
          </cell>
          <cell r="D38">
            <v>2978.621044087236</v>
          </cell>
          <cell r="E38">
            <v>21.413686773829145</v>
          </cell>
          <cell r="F38">
            <v>21.931894450407228</v>
          </cell>
          <cell r="G38">
            <v>3050</v>
          </cell>
          <cell r="H38">
            <v>3050</v>
          </cell>
          <cell r="I38">
            <v>1</v>
          </cell>
        </row>
        <row r="39">
          <cell r="C39">
            <v>68.550710638567338</v>
          </cell>
          <cell r="D39">
            <v>2981.4492893614329</v>
          </cell>
          <cell r="E39">
            <v>20.565213191570201</v>
          </cell>
          <cell r="F39">
            <v>21.062887947855565</v>
          </cell>
          <cell r="G39">
            <v>3050</v>
          </cell>
          <cell r="H39">
            <v>3050</v>
          </cell>
          <cell r="I39">
            <v>1</v>
          </cell>
        </row>
        <row r="40">
          <cell r="C40">
            <v>65.985009601487775</v>
          </cell>
          <cell r="D40">
            <v>2984.0149903985121</v>
          </cell>
          <cell r="E40">
            <v>19.795502880446332</v>
          </cell>
          <cell r="F40">
            <v>20.274550774567391</v>
          </cell>
          <cell r="G40">
            <v>3050</v>
          </cell>
          <cell r="H40">
            <v>3050</v>
          </cell>
          <cell r="I40">
            <v>1</v>
          </cell>
        </row>
        <row r="41">
          <cell r="C41">
            <v>63.644976501376227</v>
          </cell>
          <cell r="D41">
            <v>2986.3550234986237</v>
          </cell>
          <cell r="E41">
            <v>19.093492950412866</v>
          </cell>
          <cell r="F41">
            <v>19.555552320389548</v>
          </cell>
          <cell r="G41">
            <v>3050</v>
          </cell>
          <cell r="H41">
            <v>3050</v>
          </cell>
          <cell r="I41">
            <v>1</v>
          </cell>
        </row>
        <row r="42">
          <cell r="C42">
            <v>61.500495950151482</v>
          </cell>
          <cell r="D42">
            <v>2988.4995040498484</v>
          </cell>
          <cell r="E42">
            <v>18.450148785045442</v>
          </cell>
          <cell r="F42">
            <v>18.896639332675168</v>
          </cell>
          <cell r="G42">
            <v>3050</v>
          </cell>
          <cell r="H42">
            <v>3050</v>
          </cell>
          <cell r="I42">
            <v>1</v>
          </cell>
        </row>
        <row r="43">
          <cell r="C43">
            <v>59.526711515145593</v>
          </cell>
          <cell r="D43">
            <v>2990.4732884848545</v>
          </cell>
          <cell r="E43">
            <v>17.858013454543677</v>
          </cell>
          <cell r="F43">
            <v>18.290174425156607</v>
          </cell>
          <cell r="G43">
            <v>3050</v>
          </cell>
          <cell r="H43">
            <v>3050</v>
          </cell>
          <cell r="I43">
            <v>1</v>
          </cell>
        </row>
        <row r="44">
          <cell r="C44">
            <v>57.702910438689777</v>
          </cell>
          <cell r="D44">
            <v>2992.2970895613103</v>
          </cell>
          <cell r="E44">
            <v>17.310873131606932</v>
          </cell>
          <cell r="F44">
            <v>17.72979339694076</v>
          </cell>
          <cell r="G44">
            <v>3050</v>
          </cell>
          <cell r="H44">
            <v>3050</v>
          </cell>
          <cell r="I44">
            <v>1</v>
          </cell>
        </row>
        <row r="45">
          <cell r="C45">
            <v>56.011683020200763</v>
          </cell>
          <cell r="D45">
            <v>2993.988316979799</v>
          </cell>
          <cell r="E45">
            <v>16.80350490606023</v>
          </cell>
          <cell r="F45">
            <v>17.21014694429066</v>
          </cell>
          <cell r="G45">
            <v>3050</v>
          </cell>
          <cell r="H45">
            <v>3050</v>
          </cell>
          <cell r="I45">
            <v>1</v>
          </cell>
        </row>
        <row r="46">
          <cell r="C46">
            <v>54.438280406268909</v>
          </cell>
          <cell r="D46">
            <v>2995.5617195937311</v>
          </cell>
          <cell r="E46">
            <v>16.331484121880671</v>
          </cell>
          <cell r="F46">
            <v>16.726703335239804</v>
          </cell>
          <cell r="G46">
            <v>3050</v>
          </cell>
          <cell r="H46">
            <v>3050</v>
          </cell>
          <cell r="I46">
            <v>1</v>
          </cell>
        </row>
        <row r="47">
          <cell r="C47">
            <v>52.970117905149422</v>
          </cell>
          <cell r="D47">
            <v>2997.0298820948506</v>
          </cell>
          <cell r="E47">
            <v>15.891035371544827</v>
          </cell>
          <cell r="F47">
            <v>16.275595798027421</v>
          </cell>
          <cell r="G47">
            <v>3050</v>
          </cell>
          <cell r="H47">
            <v>3050</v>
          </cell>
          <cell r="I47">
            <v>1</v>
          </cell>
        </row>
        <row r="48">
          <cell r="C48">
            <v>51.596386527478096</v>
          </cell>
          <cell r="D48">
            <v>2998.403613472522</v>
          </cell>
          <cell r="E48">
            <v>15.478915958243428</v>
          </cell>
          <cell r="F48">
            <v>15.853503163118024</v>
          </cell>
          <cell r="G48">
            <v>3050</v>
          </cell>
          <cell r="H48">
            <v>3050</v>
          </cell>
          <cell r="I48">
            <v>1</v>
          </cell>
        </row>
        <row r="49">
          <cell r="C49">
            <v>50.307746040616323</v>
          </cell>
          <cell r="D49">
            <v>2999.6922539593838</v>
          </cell>
          <cell r="E49">
            <v>15.092323812184897</v>
          </cell>
          <cell r="F49">
            <v>15.457555551094744</v>
          </cell>
          <cell r="G49">
            <v>3050</v>
          </cell>
          <cell r="H49">
            <v>3050</v>
          </cell>
          <cell r="I49">
            <v>1</v>
          </cell>
        </row>
        <row r="50">
          <cell r="C50">
            <v>49.096080134887984</v>
          </cell>
          <cell r="D50">
            <v>3000.9039198651121</v>
          </cell>
          <cell r="E50">
            <v>14.728824040466394</v>
          </cell>
          <cell r="F50">
            <v>15.085259145049399</v>
          </cell>
          <cell r="G50">
            <v>3050</v>
          </cell>
          <cell r="H50">
            <v>3050</v>
          </cell>
          <cell r="I50">
            <v>1</v>
          </cell>
        </row>
        <row r="51">
          <cell r="C51">
            <v>47.954299427064207</v>
          </cell>
          <cell r="D51">
            <v>3002.0457005729359</v>
          </cell>
          <cell r="E51">
            <v>14.386289828119263</v>
          </cell>
          <cell r="F51">
            <v>14.734435661443017</v>
          </cell>
          <cell r="G51">
            <v>3050</v>
          </cell>
          <cell r="H51">
            <v>3050</v>
          </cell>
          <cell r="I51">
            <v>1</v>
          </cell>
        </row>
        <row r="52">
          <cell r="C52">
            <v>46.876181673071628</v>
          </cell>
          <cell r="D52">
            <v>3003.1238183269284</v>
          </cell>
          <cell r="E52">
            <v>14.062854501921489</v>
          </cell>
          <cell r="F52">
            <v>14.403173253870492</v>
          </cell>
          <cell r="G52">
            <v>3050</v>
          </cell>
          <cell r="H52">
            <v>3050</v>
          </cell>
          <cell r="I52">
            <v>1</v>
          </cell>
        </row>
        <row r="53">
          <cell r="C53">
            <v>45.856241189468676</v>
          </cell>
          <cell r="D53">
            <v>3004.1437588105314</v>
          </cell>
          <cell r="E53">
            <v>13.756872356840603</v>
          </cell>
          <cell r="F53">
            <v>14.089786391509882</v>
          </cell>
          <cell r="G53">
            <v>3050</v>
          </cell>
          <cell r="H53">
            <v>3050</v>
          </cell>
          <cell r="I53">
            <v>1</v>
          </cell>
        </row>
        <row r="54">
          <cell r="G54">
            <v>3050</v>
          </cell>
          <cell r="H54">
            <v>0</v>
          </cell>
          <cell r="I54">
            <v>1</v>
          </cell>
        </row>
        <row r="55">
          <cell r="G55">
            <v>3050</v>
          </cell>
          <cell r="H55">
            <v>0</v>
          </cell>
          <cell r="I55">
            <v>1</v>
          </cell>
        </row>
        <row r="56">
          <cell r="G56">
            <v>3050</v>
          </cell>
          <cell r="H56">
            <v>0</v>
          </cell>
          <cell r="I56">
            <v>1</v>
          </cell>
        </row>
        <row r="57">
          <cell r="G57">
            <v>3050</v>
          </cell>
          <cell r="H57">
            <v>0</v>
          </cell>
          <cell r="I57">
            <v>1</v>
          </cell>
        </row>
        <row r="58">
          <cell r="G58">
            <v>3050</v>
          </cell>
          <cell r="H58">
            <v>0</v>
          </cell>
          <cell r="I58">
            <v>1</v>
          </cell>
        </row>
        <row r="59">
          <cell r="G59">
            <v>3050</v>
          </cell>
          <cell r="H59">
            <v>0</v>
          </cell>
          <cell r="I59">
            <v>1</v>
          </cell>
        </row>
        <row r="60">
          <cell r="G60">
            <v>3050</v>
          </cell>
          <cell r="H60">
            <v>0</v>
          </cell>
          <cell r="I60">
            <v>1</v>
          </cell>
        </row>
        <row r="61">
          <cell r="G61">
            <v>3050</v>
          </cell>
          <cell r="H61">
            <v>0</v>
          </cell>
          <cell r="I61">
            <v>1</v>
          </cell>
        </row>
        <row r="62">
          <cell r="G62">
            <v>3050</v>
          </cell>
          <cell r="H62">
            <v>0</v>
          </cell>
          <cell r="I62">
            <v>1</v>
          </cell>
        </row>
        <row r="63">
          <cell r="G63">
            <v>3050</v>
          </cell>
          <cell r="H63">
            <v>0</v>
          </cell>
          <cell r="I63">
            <v>1</v>
          </cell>
        </row>
        <row r="64">
          <cell r="G64">
            <v>3050</v>
          </cell>
          <cell r="H64">
            <v>0</v>
          </cell>
          <cell r="I64">
            <v>1</v>
          </cell>
        </row>
        <row r="65">
          <cell r="G65">
            <v>3050</v>
          </cell>
          <cell r="H65">
            <v>0</v>
          </cell>
          <cell r="I65">
            <v>1</v>
          </cell>
        </row>
        <row r="66">
          <cell r="G66">
            <v>3050</v>
          </cell>
          <cell r="H66">
            <v>0</v>
          </cell>
          <cell r="I66">
            <v>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
      <sheetName val="REP2"/>
      <sheetName val="REP 2003"/>
      <sheetName val="AFE Costos"/>
      <sheetName val="Sheet1"/>
      <sheetName val="AFE00 "/>
      <sheetName val="AFE05 Carátula"/>
      <sheetName val="AFE05 Costos"/>
      <sheetName val="Rep 05"/>
      <sheetName val="Inf.Rep01_0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mización"/>
      <sheetName val="Diseño"/>
      <sheetName val="Pozos"/>
      <sheetName val="Configuración"/>
      <sheetName val="Medición"/>
      <sheetName val="Físicos"/>
      <sheetName val="Eléctricos"/>
      <sheetName val="Proceso"/>
      <sheetName val="RIFTS"/>
      <sheetName val="Coef."/>
    </sheetNames>
    <sheetDataSet>
      <sheetData sheetId="0"/>
      <sheetData sheetId="1"/>
      <sheetData sheetId="2"/>
      <sheetData sheetId="3"/>
      <sheetData sheetId="4"/>
      <sheetData sheetId="5"/>
      <sheetData sheetId="6"/>
      <sheetData sheetId="7"/>
      <sheetData sheetId="8"/>
      <sheetData sheetId="9">
        <row r="112">
          <cell r="J112" t="str">
            <v>Yes</v>
          </cell>
        </row>
        <row r="113">
          <cell r="J113" t="str">
            <v>No</v>
          </cell>
        </row>
        <row r="114">
          <cell r="J114" t="str">
            <v>ERFV</v>
          </cell>
        </row>
        <row r="115">
          <cell r="J115" t="str">
            <v>Invertida</v>
          </cell>
        </row>
        <row r="117">
          <cell r="J117" t="str">
            <v>Yes</v>
          </cell>
        </row>
        <row r="118">
          <cell r="J118" t="str">
            <v>No</v>
          </cell>
        </row>
        <row r="119">
          <cell r="J119" t="str">
            <v>Yes/Parissi</v>
          </cell>
        </row>
        <row r="120">
          <cell r="J120" t="str">
            <v>Parissi</v>
          </cell>
        </row>
        <row r="121">
          <cell r="J121" t="str">
            <v>Yes/ERFV</v>
          </cell>
        </row>
        <row r="122">
          <cell r="J122" t="str">
            <v>ERFV</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cion de recursos"/>
      <sheetName val="Conseptos personal"/>
      <sheetName val="Hoja3"/>
    </sheetNames>
    <sheetDataSet>
      <sheetData sheetId="0"/>
      <sheetData sheetId="1"/>
      <sheetData sheetId="2">
        <row r="2">
          <cell r="A2" t="str">
            <v>Jefe contrato</v>
          </cell>
        </row>
        <row r="3">
          <cell r="A3" t="str">
            <v>Ingeniero de aplicación</v>
          </cell>
        </row>
        <row r="4">
          <cell r="A4" t="str">
            <v>Supervisor de operaciones</v>
          </cell>
        </row>
        <row r="5">
          <cell r="A5" t="str">
            <v>Técnico en SySO</v>
          </cell>
        </row>
        <row r="6">
          <cell r="A6" t="str">
            <v>Técnico laboratorista</v>
          </cell>
        </row>
        <row r="7">
          <cell r="A7" t="str">
            <v>Operador de campo</v>
          </cell>
        </row>
        <row r="8">
          <cell r="A8" t="str">
            <v>Operador de unidad de rellenado</v>
          </cell>
        </row>
        <row r="9">
          <cell r="A9" t="str">
            <v>Operador de logística</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cion de recursos"/>
      <sheetName val="Conseptos personal"/>
      <sheetName val="Hoja3"/>
    </sheetNames>
    <sheetDataSet>
      <sheetData sheetId="0"/>
      <sheetData sheetId="1"/>
      <sheetData sheetId="2">
        <row r="2">
          <cell r="A2" t="str">
            <v>Jefe contrato</v>
          </cell>
        </row>
        <row r="3">
          <cell r="A3" t="str">
            <v>Ingeniero de aplicación</v>
          </cell>
        </row>
        <row r="4">
          <cell r="A4" t="str">
            <v>Supervisor de operaciones</v>
          </cell>
        </row>
        <row r="5">
          <cell r="A5" t="str">
            <v>Técnico en SySO</v>
          </cell>
        </row>
        <row r="6">
          <cell r="A6" t="str">
            <v>Técnico laboratorista</v>
          </cell>
        </row>
        <row r="7">
          <cell r="A7" t="str">
            <v>Operador de campo</v>
          </cell>
        </row>
        <row r="8">
          <cell r="A8" t="str">
            <v>Operador de unidad de rellenado</v>
          </cell>
        </row>
        <row r="9">
          <cell r="A9" t="str">
            <v>Operador de logística</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aración"/>
      <sheetName val="Pulling"/>
      <sheetName val="Programa"/>
      <sheetName val="AFE01 Caratula"/>
      <sheetName val="AFE Costos"/>
    </sheetNames>
    <sheetDataSet>
      <sheetData sheetId="0" refreshError="1"/>
      <sheetData sheetId="1" refreshError="1">
        <row r="24">
          <cell r="C24">
            <v>37231</v>
          </cell>
        </row>
      </sheetData>
      <sheetData sheetId="2" refreshError="1"/>
      <sheetData sheetId="3" refreshError="1"/>
      <sheetData sheetId="4"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P Mant Plantas"/>
      <sheetName val="Template Elementos PEPs"/>
      <sheetName val="Template Definicion de Py"/>
      <sheetName val="Hoja1"/>
      <sheetName val=" Campos"/>
      <sheetName val="Lista de valores"/>
      <sheetName val="Datos JVA"/>
      <sheetName val="CeCos"/>
      <sheetName val="Lista Plantas"/>
      <sheetName val="Lista Plantas (2)"/>
    </sheetNames>
    <sheetDataSet>
      <sheetData sheetId="0"/>
      <sheetData sheetId="1"/>
      <sheetData sheetId="2"/>
      <sheetData sheetId="3"/>
      <sheetData sheetId="4"/>
      <sheetData sheetId="5"/>
      <sheetData sheetId="6"/>
      <sheetData sheetId="7">
        <row r="2">
          <cell r="D2" t="str">
            <v>AR10BAZ715 - A.P.B.</v>
          </cell>
        </row>
        <row r="3">
          <cell r="D3" t="str">
            <v>AR10APZ500 - Alocaciones</v>
          </cell>
        </row>
        <row r="4">
          <cell r="D4" t="str">
            <v>AR10SRZ500 - Alocaciones</v>
          </cell>
        </row>
        <row r="5">
          <cell r="D5" t="str">
            <v>AR1040Z500 - Alocaciones</v>
          </cell>
        </row>
        <row r="6">
          <cell r="D6" t="str">
            <v>AR1046Z500 - Alocaciones</v>
          </cell>
        </row>
        <row r="7">
          <cell r="D7" t="str">
            <v>AR10BCZ500 - Alocaciones</v>
          </cell>
        </row>
        <row r="8">
          <cell r="D8" t="str">
            <v>AR10CDZ500 - Alocaciones</v>
          </cell>
        </row>
        <row r="9">
          <cell r="D9" t="str">
            <v>AR10CK4500 - Alocaciones</v>
          </cell>
        </row>
        <row r="10">
          <cell r="D10" t="str">
            <v>AR10PIZ500 - Alocaciones</v>
          </cell>
        </row>
        <row r="11">
          <cell r="D11" t="str">
            <v>AR10PMZ500 - Alocaciones</v>
          </cell>
        </row>
        <row r="12">
          <cell r="D12" t="str">
            <v>AR40LE2500 - Alocaciones</v>
          </cell>
        </row>
        <row r="13">
          <cell r="D13" t="str">
            <v>AR10AEZ500 - Alocaciones</v>
          </cell>
        </row>
        <row r="14">
          <cell r="D14" t="str">
            <v>AR10FEZ500 - Alocaciones</v>
          </cell>
        </row>
        <row r="15">
          <cell r="D15" t="str">
            <v>AR10CEZ500 - Alocaciones</v>
          </cell>
        </row>
        <row r="16">
          <cell r="D16" t="str">
            <v>AR10SEZ500 - Alocaciones</v>
          </cell>
        </row>
        <row r="17">
          <cell r="D17" t="str">
            <v>AR11CAZ500 - Alocaciones</v>
          </cell>
        </row>
        <row r="18">
          <cell r="D18" t="str">
            <v>AR11SAZ500 - Alocaciones</v>
          </cell>
        </row>
        <row r="19">
          <cell r="D19" t="str">
            <v>AR11SCZ500 - Alocaciones</v>
          </cell>
        </row>
        <row r="20">
          <cell r="D20" t="str">
            <v>AR12FUZ500 - Alocaciones</v>
          </cell>
        </row>
        <row r="21">
          <cell r="D21" t="str">
            <v>AR12FMZ500 - Alocaciones</v>
          </cell>
        </row>
        <row r="22">
          <cell r="D22" t="str">
            <v>AR13BSZ500 - Alocaciones</v>
          </cell>
        </row>
        <row r="23">
          <cell r="D23" t="str">
            <v>AR40LA2500 - Alocaciones</v>
          </cell>
        </row>
        <row r="24">
          <cell r="D24" t="str">
            <v>AR41ACZ500 - Alocaciones</v>
          </cell>
        </row>
        <row r="25">
          <cell r="D25" t="str">
            <v>AR42AFZ500 - Alocaciones</v>
          </cell>
        </row>
        <row r="26">
          <cell r="D26" t="str">
            <v>AR43GCZ500 - Alocaciones</v>
          </cell>
        </row>
        <row r="27">
          <cell r="D27" t="str">
            <v>AR44GSZ500 - Alocaciones</v>
          </cell>
        </row>
        <row r="28">
          <cell r="D28" t="str">
            <v>BO10OGZ500 - Alocaciones</v>
          </cell>
        </row>
        <row r="29">
          <cell r="D29" t="str">
            <v>BO11CIZ500 - Alocaciones</v>
          </cell>
        </row>
        <row r="30">
          <cell r="D30" t="str">
            <v>BO11CNZ500 - Alocaciones</v>
          </cell>
        </row>
        <row r="31">
          <cell r="D31" t="str">
            <v>CL10CH1500 - Alocaciones</v>
          </cell>
        </row>
        <row r="32">
          <cell r="D32" t="str">
            <v>CL10CC1500 - Alocaciones</v>
          </cell>
        </row>
        <row r="33">
          <cell r="D33" t="str">
            <v>CL10CB1500 - Alocaciones</v>
          </cell>
        </row>
        <row r="34">
          <cell r="D34" t="str">
            <v>AR10CDZ515 - Auditoria</v>
          </cell>
        </row>
        <row r="35">
          <cell r="D35" t="str">
            <v>AR10CK4515 - Auditoria</v>
          </cell>
        </row>
        <row r="36">
          <cell r="D36" t="str">
            <v>AR10ANZ515 - Auditoria</v>
          </cell>
        </row>
        <row r="37">
          <cell r="D37" t="str">
            <v>AR10SNZ515 - Auditoria</v>
          </cell>
        </row>
        <row r="38">
          <cell r="D38" t="str">
            <v>AR104NZ515 - Auditoria</v>
          </cell>
        </row>
        <row r="39">
          <cell r="D39" t="str">
            <v>AR106NZ515 - Auditoria</v>
          </cell>
        </row>
        <row r="40">
          <cell r="D40" t="str">
            <v>AR10BNZ515 - Auditoria</v>
          </cell>
        </row>
        <row r="41">
          <cell r="D41" t="str">
            <v>AR40LE2515 - Auditoria</v>
          </cell>
        </row>
        <row r="42">
          <cell r="D42" t="str">
            <v>AR10AEZ515 - Auditoria</v>
          </cell>
        </row>
        <row r="43">
          <cell r="D43" t="str">
            <v>AR10FEZ515 - Auditoria</v>
          </cell>
        </row>
        <row r="44">
          <cell r="D44" t="str">
            <v>AR10BAZ515 - Auditoria</v>
          </cell>
        </row>
        <row r="45">
          <cell r="D45" t="str">
            <v>AR11CNZ515 - Auditoria</v>
          </cell>
        </row>
        <row r="46">
          <cell r="D46" t="str">
            <v>AR11SAZ515 - Auditoria</v>
          </cell>
        </row>
        <row r="47">
          <cell r="D47" t="str">
            <v>AR40LA2515 - Auditoria</v>
          </cell>
        </row>
        <row r="48">
          <cell r="D48" t="str">
            <v>AR41ACZ515 - Auditoria</v>
          </cell>
        </row>
        <row r="49">
          <cell r="D49" t="str">
            <v>AR42AFZ515 - Auditoria</v>
          </cell>
        </row>
        <row r="50">
          <cell r="D50" t="str">
            <v>CL10CH1515 - Auditoria</v>
          </cell>
        </row>
        <row r="51">
          <cell r="D51" t="str">
            <v>CL10CC1515 - Auditoria</v>
          </cell>
        </row>
        <row r="52">
          <cell r="D52" t="str">
            <v>CL10CB1515 - Auditoria</v>
          </cell>
        </row>
        <row r="53">
          <cell r="D53" t="str">
            <v>AR10CD1010 - Boca de Pozo</v>
          </cell>
        </row>
        <row r="54">
          <cell r="D54" t="str">
            <v>AR10CD2010 - Boca de Pozo</v>
          </cell>
        </row>
        <row r="55">
          <cell r="D55" t="str">
            <v>AR10CD3010 - Boca de Pozo</v>
          </cell>
        </row>
        <row r="56">
          <cell r="D56" t="str">
            <v>AR10CD5010 - Boca de Pozo</v>
          </cell>
        </row>
        <row r="57">
          <cell r="D57" t="str">
            <v>AR10CD7010 - Boca de Pozo</v>
          </cell>
        </row>
        <row r="58">
          <cell r="D58" t="str">
            <v>AR10CD8010 - Boca de Pozo</v>
          </cell>
        </row>
        <row r="59">
          <cell r="D59" t="str">
            <v>AR10CD9010 - Boca de Pozo</v>
          </cell>
        </row>
        <row r="60">
          <cell r="D60" t="str">
            <v>AR10CK4010 - Boca de Pozo</v>
          </cell>
        </row>
        <row r="61">
          <cell r="D61" t="str">
            <v>AR10ANZ010 - Boca de Pozo</v>
          </cell>
        </row>
        <row r="62">
          <cell r="D62" t="str">
            <v>AR10SNZ010 - Boca de Pozo</v>
          </cell>
        </row>
        <row r="63">
          <cell r="D63" t="str">
            <v>AR104NZ010 - Boca de Pozo</v>
          </cell>
        </row>
        <row r="64">
          <cell r="D64" t="str">
            <v>AR106NZ010 - Boca de Pozo</v>
          </cell>
        </row>
        <row r="65">
          <cell r="D65" t="str">
            <v>AR10BNZ010 - Boca de Pozo</v>
          </cell>
        </row>
        <row r="66">
          <cell r="D66" t="str">
            <v>AR40LE1010 - Boca de Pozo</v>
          </cell>
        </row>
        <row r="67">
          <cell r="D67" t="str">
            <v>AR40LE2010 - Boca de Pozo</v>
          </cell>
        </row>
        <row r="68">
          <cell r="D68" t="str">
            <v>AR10AE1010 - Boca de Pozo</v>
          </cell>
        </row>
        <row r="69">
          <cell r="D69" t="str">
            <v>AR10AE2010 - Boca de Pozo</v>
          </cell>
        </row>
        <row r="70">
          <cell r="D70" t="str">
            <v>AR10AE3010 - Boca de Pozo</v>
          </cell>
        </row>
        <row r="71">
          <cell r="D71" t="str">
            <v>AR10AE4010 - Boca de Pozo</v>
          </cell>
        </row>
        <row r="72">
          <cell r="D72" t="str">
            <v>AR10AE5010 - Boca de Pozo</v>
          </cell>
        </row>
        <row r="73">
          <cell r="D73" t="str">
            <v>AR10FEZ010 - Boca de Pozo</v>
          </cell>
        </row>
        <row r="74">
          <cell r="D74" t="str">
            <v>AR11CNZ010 - Boca de Pozo</v>
          </cell>
        </row>
        <row r="75">
          <cell r="D75" t="str">
            <v>AR40LA1010 - Boca de Pozo</v>
          </cell>
        </row>
        <row r="76">
          <cell r="D76" t="str">
            <v>AR40LA2010 - Boca de Pozo</v>
          </cell>
        </row>
        <row r="77">
          <cell r="D77" t="str">
            <v>AR41AC1010 - Boca de Pozo</v>
          </cell>
        </row>
        <row r="78">
          <cell r="D78" t="str">
            <v>AR41AC2010 - Boca de Pozo</v>
          </cell>
        </row>
        <row r="79">
          <cell r="D79" t="str">
            <v>AR41AC3010 - Boca de Pozo</v>
          </cell>
        </row>
        <row r="80">
          <cell r="D80" t="str">
            <v>AR41AC4010 - Boca de Pozo</v>
          </cell>
        </row>
        <row r="81">
          <cell r="D81" t="str">
            <v>AR41AC5010 - Boca de Pozo</v>
          </cell>
        </row>
        <row r="82">
          <cell r="D82" t="str">
            <v>AR42AFZ010 - Boca de Pozo</v>
          </cell>
        </row>
        <row r="83">
          <cell r="D83" t="str">
            <v>BO11CIZ010 - Boca de Pozo</v>
          </cell>
        </row>
        <row r="84">
          <cell r="D84" t="str">
            <v>BO11CNZ010 - Boca de Pozo</v>
          </cell>
        </row>
        <row r="85">
          <cell r="D85" t="str">
            <v>CL10CH1010 - Boca de Pozo</v>
          </cell>
        </row>
        <row r="86">
          <cell r="D86" t="str">
            <v>CL10CC1010 - Boca de Pozo</v>
          </cell>
        </row>
        <row r="87">
          <cell r="D87" t="str">
            <v>CL10CB1010 - Boca de Pozo</v>
          </cell>
        </row>
        <row r="88">
          <cell r="D88" t="str">
            <v>AR10CD1140 - Bombas de profundidad</v>
          </cell>
        </row>
        <row r="89">
          <cell r="D89" t="str">
            <v>AR10CD2140 - Bombas de profundidad</v>
          </cell>
        </row>
        <row r="90">
          <cell r="D90" t="str">
            <v>AR10CD3140 - Bombas de profundidad</v>
          </cell>
        </row>
        <row r="91">
          <cell r="D91" t="str">
            <v>AR10CD5140 - Bombas de profundidad</v>
          </cell>
        </row>
        <row r="92">
          <cell r="D92" t="str">
            <v>AR10CD7140 - Bombas de profundidad</v>
          </cell>
        </row>
        <row r="93">
          <cell r="D93" t="str">
            <v>AR10CD8140 - Bombas de profundidad</v>
          </cell>
        </row>
        <row r="94">
          <cell r="D94" t="str">
            <v>AR10CD9140 - Bombas de profundidad</v>
          </cell>
        </row>
        <row r="95">
          <cell r="D95" t="str">
            <v>AR10CK4140 - Bombas de profundidad</v>
          </cell>
        </row>
        <row r="96">
          <cell r="D96" t="str">
            <v>AR10ANZ140 - Bombas de profundidad</v>
          </cell>
        </row>
        <row r="97">
          <cell r="D97" t="str">
            <v>AR10SNZ140 - Bombas de profundidad</v>
          </cell>
        </row>
        <row r="98">
          <cell r="D98" t="str">
            <v>AR104NZ140 - Bombas de profundidad</v>
          </cell>
        </row>
        <row r="99">
          <cell r="D99" t="str">
            <v>AR106NZ140 - Bombas de profundidad</v>
          </cell>
        </row>
        <row r="100">
          <cell r="D100" t="str">
            <v>AR10BNZ140 - Bombas de profundidad</v>
          </cell>
        </row>
        <row r="101">
          <cell r="D101" t="str">
            <v>AR40LE1140 - Bombas de profundidad</v>
          </cell>
        </row>
        <row r="102">
          <cell r="D102" t="str">
            <v>AR40LE2140 - Bombas de profundidad</v>
          </cell>
        </row>
        <row r="103">
          <cell r="D103" t="str">
            <v>AR10AE1140 - Bombas de profundidad</v>
          </cell>
        </row>
        <row r="104">
          <cell r="D104" t="str">
            <v>AR10AE2140 - Bombas de profundidad</v>
          </cell>
        </row>
        <row r="105">
          <cell r="D105" t="str">
            <v>AR10AE3140 - Bombas de profundidad</v>
          </cell>
        </row>
        <row r="106">
          <cell r="D106" t="str">
            <v>AR10AE4140 - Bombas de profundidad</v>
          </cell>
        </row>
        <row r="107">
          <cell r="D107" t="str">
            <v>AR10AE5140 - Bombas de profundidad</v>
          </cell>
        </row>
        <row r="108">
          <cell r="D108" t="str">
            <v>AR10FEZ140 - Bombas de profundidad</v>
          </cell>
        </row>
        <row r="109">
          <cell r="D109" t="str">
            <v>AR11CNZ140 - Bombas de profundidad</v>
          </cell>
        </row>
        <row r="110">
          <cell r="D110" t="str">
            <v>AR40LA1140 - Bombas de profundidad</v>
          </cell>
        </row>
        <row r="111">
          <cell r="D111" t="str">
            <v>AR40LA2140 - Bombas de profundidad</v>
          </cell>
        </row>
        <row r="112">
          <cell r="D112" t="str">
            <v>AR41AC1140 - Bombas de profundidad</v>
          </cell>
        </row>
        <row r="113">
          <cell r="D113" t="str">
            <v>AR41AC2140 - Bombas de profundidad</v>
          </cell>
        </row>
        <row r="114">
          <cell r="D114" t="str">
            <v>AR41AC3140 - Bombas de profundidad</v>
          </cell>
        </row>
        <row r="115">
          <cell r="D115" t="str">
            <v>AR41AC4140 - Bombas de profundidad</v>
          </cell>
        </row>
        <row r="116">
          <cell r="D116" t="str">
            <v>AR41AC5140 - Bombas de profundidad</v>
          </cell>
        </row>
        <row r="117">
          <cell r="D117" t="str">
            <v>AR42AFZ140 - Bombas de profundidad</v>
          </cell>
        </row>
        <row r="118">
          <cell r="D118" t="str">
            <v>BO11CIZ140 - Bombas de profundidad</v>
          </cell>
        </row>
        <row r="119">
          <cell r="D119" t="str">
            <v>BO11CNZ140 - Bombas de profundidad</v>
          </cell>
        </row>
        <row r="120">
          <cell r="D120" t="str">
            <v>CL10CH1140 - Bombas de profundidad</v>
          </cell>
        </row>
        <row r="121">
          <cell r="D121" t="str">
            <v>CL10CC1140 - Bombas de profundidad</v>
          </cell>
        </row>
        <row r="122">
          <cell r="D122" t="str">
            <v>CL10CB1140 - Bombas de profundidad</v>
          </cell>
        </row>
        <row r="123">
          <cell r="D123" t="str">
            <v>AR10BAZ690 - C.A.B.</v>
          </cell>
        </row>
        <row r="124">
          <cell r="D124" t="str">
            <v>AR10ANZ657 - C.O.O. &amp; Operating VP</v>
          </cell>
        </row>
        <row r="125">
          <cell r="D125" t="str">
            <v>AR10SNZ657 - C.O.O. &amp; Operating VP</v>
          </cell>
        </row>
        <row r="126">
          <cell r="D126" t="str">
            <v>AR104NZ657 - C.O.O. &amp; Operating VP</v>
          </cell>
        </row>
        <row r="127">
          <cell r="D127" t="str">
            <v>AR106NZ657 - C.O.O. &amp; Operating VP</v>
          </cell>
        </row>
        <row r="128">
          <cell r="D128" t="str">
            <v>AR10BNZ657 - C.O.O. &amp; Operating VP</v>
          </cell>
        </row>
        <row r="129">
          <cell r="D129" t="str">
            <v>AR10BAZ665 - C.O.O. &amp; Operating VP</v>
          </cell>
        </row>
        <row r="130">
          <cell r="D130" t="str">
            <v>AR11CNZ657 - C.O.O. &amp; Operating VP</v>
          </cell>
        </row>
        <row r="131">
          <cell r="D131" t="str">
            <v>AR11SAZ657 - C.O.O. &amp; Operating VP</v>
          </cell>
        </row>
        <row r="132">
          <cell r="D132" t="str">
            <v>AR10CD1040 - Caminos, Locac. y mov. de Tierra</v>
          </cell>
        </row>
        <row r="133">
          <cell r="D133" t="str">
            <v>AR10CD2040 - Caminos, Locac. y mov. de Tierra</v>
          </cell>
        </row>
        <row r="134">
          <cell r="D134" t="str">
            <v>AR10CD3040 - Caminos, Locac. y mov. de Tierra</v>
          </cell>
        </row>
        <row r="135">
          <cell r="D135" t="str">
            <v>AR10CD5040 - Caminos, Locac. y mov. de Tierra</v>
          </cell>
        </row>
        <row r="136">
          <cell r="D136" t="str">
            <v>AR10CD7040 - Caminos, Locac. y mov. de Tierra</v>
          </cell>
        </row>
        <row r="137">
          <cell r="D137" t="str">
            <v>AR10CD8040 - Caminos, Locac. y mov. de Tierra</v>
          </cell>
        </row>
        <row r="138">
          <cell r="D138" t="str">
            <v>AR10CD9040 - Caminos, Locac. y mov. de Tierra</v>
          </cell>
        </row>
        <row r="139">
          <cell r="D139" t="str">
            <v>AR10CDE040 - Caminos, Locac. y mov. de Tierra</v>
          </cell>
        </row>
        <row r="140">
          <cell r="D140" t="str">
            <v>AR10CDP040 - Caminos, Locac. y mov. de Tierra</v>
          </cell>
        </row>
        <row r="141">
          <cell r="D141" t="str">
            <v>AR10CK4040 - Caminos, Locac. y mov. de Tierra</v>
          </cell>
        </row>
        <row r="142">
          <cell r="D142" t="str">
            <v>AR10ANZ040 - Caminos, Locac. y mov. de Tierra</v>
          </cell>
        </row>
        <row r="143">
          <cell r="D143" t="str">
            <v>AR10SNZ040 - Caminos, Locac. y mov. de Tierra</v>
          </cell>
        </row>
        <row r="144">
          <cell r="D144" t="str">
            <v>AR104NZ040 - Caminos, Locac. y mov. de Tierra</v>
          </cell>
        </row>
        <row r="145">
          <cell r="D145" t="str">
            <v>AR106NZ040 - Caminos, Locac. y mov. de Tierra</v>
          </cell>
        </row>
        <row r="146">
          <cell r="D146" t="str">
            <v>AR10BNZ040 - Caminos, Locac. y mov. de Tierra</v>
          </cell>
        </row>
        <row r="147">
          <cell r="D147" t="str">
            <v>AR40LE1040 - Caminos, Locac. y mov. de Tierra</v>
          </cell>
        </row>
        <row r="148">
          <cell r="D148" t="str">
            <v>AR40LE2040 - Caminos, Locac. y mov. de Tierra</v>
          </cell>
        </row>
        <row r="149">
          <cell r="D149" t="str">
            <v>AR10AE1040 - Caminos, Locac. y mov. de Tierra</v>
          </cell>
        </row>
        <row r="150">
          <cell r="D150" t="str">
            <v>AR10AE2040 - Caminos, Locac. y mov. de Tierra</v>
          </cell>
        </row>
        <row r="151">
          <cell r="D151" t="str">
            <v>AR10AE3040 - Caminos, Locac. y mov. de Tierra</v>
          </cell>
        </row>
        <row r="152">
          <cell r="D152" t="str">
            <v>AR10AE4040 - Caminos, Locac. y mov. de Tierra</v>
          </cell>
        </row>
        <row r="153">
          <cell r="D153" t="str">
            <v>AR10AE6040 - Caminos, Locac. y mov. de Tierra</v>
          </cell>
        </row>
        <row r="154">
          <cell r="D154" t="str">
            <v>AR10AE7040 - Caminos, Locac. y mov. de Tierra</v>
          </cell>
        </row>
        <row r="155">
          <cell r="D155" t="str">
            <v>AR10AE5040 - Caminos, Locac. y mov. de Tierra</v>
          </cell>
        </row>
        <row r="156">
          <cell r="D156" t="str">
            <v>AR10FEZ040 - Caminos, Locac. y mov. de Tierra</v>
          </cell>
        </row>
        <row r="157">
          <cell r="D157" t="str">
            <v>AR11CNZ040 - Caminos, Locac. y mov. de Tierra</v>
          </cell>
        </row>
        <row r="158">
          <cell r="D158" t="str">
            <v>AR40LA1040 - Caminos, Locac. y mov. de Tierra</v>
          </cell>
        </row>
        <row r="159">
          <cell r="D159" t="str">
            <v>AR40LA2040 - Caminos, Locac. y mov. de Tierra</v>
          </cell>
        </row>
        <row r="160">
          <cell r="D160" t="str">
            <v>AR41AC1040 - Caminos, Locac. y mov. de Tierra</v>
          </cell>
        </row>
        <row r="161">
          <cell r="D161" t="str">
            <v>AR41AC2040 - Caminos, Locac. y mov. de Tierra</v>
          </cell>
        </row>
        <row r="162">
          <cell r="D162" t="str">
            <v>AR41AC3040 - Caminos, Locac. y mov. de Tierra</v>
          </cell>
        </row>
        <row r="163">
          <cell r="D163" t="str">
            <v>AR41AC4040 - Caminos, Locac. y mov. de Tierra</v>
          </cell>
        </row>
        <row r="164">
          <cell r="D164" t="str">
            <v>AR41AC6040 - Caminos, Locac. y mov. de Tierra</v>
          </cell>
        </row>
        <row r="165">
          <cell r="D165" t="str">
            <v>AR41AC7040 - Caminos, Locac. y mov. de Tierra</v>
          </cell>
        </row>
        <row r="166">
          <cell r="D166" t="str">
            <v>AR41AC5040 - Caminos, Locac. y mov. de Tierra</v>
          </cell>
        </row>
        <row r="167">
          <cell r="D167" t="str">
            <v>AR42AFZ040 - Caminos, Locac. y mov. de Tierra</v>
          </cell>
        </row>
        <row r="168">
          <cell r="D168" t="str">
            <v>BO11CIZ040 - Caminos, Locac. y mov. de Tierra</v>
          </cell>
        </row>
        <row r="169">
          <cell r="D169" t="str">
            <v>BO11CNZ040 - Caminos, Locac. y mov. de Tierra</v>
          </cell>
        </row>
        <row r="170">
          <cell r="D170" t="str">
            <v>CL10CH1040 - Caminos, Locac. y mov. de Tierra</v>
          </cell>
        </row>
        <row r="171">
          <cell r="D171" t="str">
            <v>CL10CC1040 - Caminos, Locac. y mov. de Tierra</v>
          </cell>
        </row>
        <row r="172">
          <cell r="D172" t="str">
            <v>CL10CB1040 - Caminos, Locac. y mov. de Tierra</v>
          </cell>
        </row>
        <row r="173">
          <cell r="D173" t="str">
            <v>AR10BAZ740 - Chief Executive Officer(C.E.O)</v>
          </cell>
        </row>
        <row r="174">
          <cell r="D174" t="str">
            <v>AR10BAZ735 - Chief Financial Officer (C.F.O)</v>
          </cell>
        </row>
        <row r="175">
          <cell r="D175" t="str">
            <v>AR10CDZ520 - Comercial</v>
          </cell>
        </row>
        <row r="176">
          <cell r="D176" t="str">
            <v>AR10CK4520 - Comercial</v>
          </cell>
        </row>
        <row r="177">
          <cell r="D177" t="str">
            <v>AR10APZ525 - Controller</v>
          </cell>
        </row>
        <row r="178">
          <cell r="D178" t="str">
            <v>AR10SRZ525 - Controller</v>
          </cell>
        </row>
        <row r="179">
          <cell r="D179" t="str">
            <v>AR1040Z525 - Controller</v>
          </cell>
        </row>
        <row r="180">
          <cell r="D180" t="str">
            <v>AR1046Z525 - Controller</v>
          </cell>
        </row>
        <row r="181">
          <cell r="D181" t="str">
            <v>AR10BCZ525 - Controller</v>
          </cell>
        </row>
        <row r="182">
          <cell r="D182" t="str">
            <v>AR10CDZ525 - Controller</v>
          </cell>
        </row>
        <row r="183">
          <cell r="D183" t="str">
            <v>AR10CK4525 - Controller</v>
          </cell>
        </row>
        <row r="184">
          <cell r="D184" t="str">
            <v>AR10ANZ525 - Controller</v>
          </cell>
        </row>
        <row r="185">
          <cell r="D185" t="str">
            <v>AR10SNZ525 - Controller</v>
          </cell>
        </row>
        <row r="186">
          <cell r="D186" t="str">
            <v>AR104NZ525 - Controller</v>
          </cell>
        </row>
        <row r="187">
          <cell r="D187" t="str">
            <v>AR106NZ525 - Controller</v>
          </cell>
        </row>
        <row r="188">
          <cell r="D188" t="str">
            <v>AR10BNZ525 - Controller</v>
          </cell>
        </row>
        <row r="189">
          <cell r="D189" t="str">
            <v>AR40LE2525 - Controller</v>
          </cell>
        </row>
        <row r="190">
          <cell r="D190" t="str">
            <v>AR10AEZ525 - Controller</v>
          </cell>
        </row>
        <row r="191">
          <cell r="D191" t="str">
            <v>AR10FEZ525 - Controller</v>
          </cell>
        </row>
        <row r="192">
          <cell r="D192" t="str">
            <v>AR10CEZ525 - Controller</v>
          </cell>
        </row>
        <row r="193">
          <cell r="D193" t="str">
            <v>AR10SEZ525 - Controller</v>
          </cell>
        </row>
        <row r="194">
          <cell r="D194" t="str">
            <v>AR10BAZ525 - Controller</v>
          </cell>
        </row>
        <row r="195">
          <cell r="D195" t="str">
            <v>AR11CAZ525 - Controller</v>
          </cell>
        </row>
        <row r="196">
          <cell r="D196" t="str">
            <v>AR11CNZ525 - Controller</v>
          </cell>
        </row>
        <row r="197">
          <cell r="D197" t="str">
            <v>AR11SAZ525 - Controller</v>
          </cell>
        </row>
        <row r="198">
          <cell r="D198" t="str">
            <v>AR12FUZ525 - Controller</v>
          </cell>
        </row>
        <row r="199">
          <cell r="D199" t="str">
            <v>AR12FMZ525 - Controller</v>
          </cell>
        </row>
        <row r="200">
          <cell r="D200" t="str">
            <v>AR13BSZ525 - Controller</v>
          </cell>
        </row>
        <row r="201">
          <cell r="D201" t="str">
            <v>AR40LA2525 - Controller</v>
          </cell>
        </row>
        <row r="202">
          <cell r="D202" t="str">
            <v>AR41ACZ525 - Controller</v>
          </cell>
        </row>
        <row r="203">
          <cell r="D203" t="str">
            <v>AR42AFZ525 - Controller</v>
          </cell>
        </row>
        <row r="204">
          <cell r="D204" t="str">
            <v>AR43GCZ525 - Controller</v>
          </cell>
        </row>
        <row r="205">
          <cell r="D205" t="str">
            <v>AR44GSZ525 - Controller</v>
          </cell>
        </row>
        <row r="206">
          <cell r="D206" t="str">
            <v>BO10OGZ525 - Controller</v>
          </cell>
        </row>
        <row r="207">
          <cell r="D207" t="str">
            <v>BO11CIZ525 - Controller</v>
          </cell>
        </row>
        <row r="208">
          <cell r="D208" t="str">
            <v>BO11CNZ525 - Controller</v>
          </cell>
        </row>
        <row r="209">
          <cell r="D209" t="str">
            <v>CL10CH1525 - Controller</v>
          </cell>
        </row>
        <row r="210">
          <cell r="D210" t="str">
            <v>CL10CC1525 - Controller</v>
          </cell>
        </row>
        <row r="211">
          <cell r="D211" t="str">
            <v>CL10CB1525 - Controller</v>
          </cell>
        </row>
        <row r="212">
          <cell r="D212" t="str">
            <v>AR10CDZ880 - Costos improductivos</v>
          </cell>
        </row>
        <row r="213">
          <cell r="D213" t="str">
            <v>AR10CK4880 - Costos improductivos</v>
          </cell>
        </row>
        <row r="214">
          <cell r="D214" t="str">
            <v>AR10ANZ695 - Desarrollo de mercado</v>
          </cell>
        </row>
        <row r="215">
          <cell r="D215" t="str">
            <v>AR10SNZ695 - Desarrollo de mercado</v>
          </cell>
        </row>
        <row r="216">
          <cell r="D216" t="str">
            <v>AR104NZ695 - Desarrollo de mercado</v>
          </cell>
        </row>
        <row r="217">
          <cell r="D217" t="str">
            <v>AR106NZ695 - Desarrollo de mercado</v>
          </cell>
        </row>
        <row r="218">
          <cell r="D218" t="str">
            <v>AR10BNZ695 - Desarrollo de mercado</v>
          </cell>
        </row>
        <row r="219">
          <cell r="D219" t="str">
            <v>AR10BAZ700 - Desarrollo de mercado</v>
          </cell>
        </row>
        <row r="220">
          <cell r="D220" t="str">
            <v>AR11CNZ695 - Desarrollo de mercado</v>
          </cell>
        </row>
        <row r="221">
          <cell r="D221" t="str">
            <v>AR11SAZ695 - Desarrollo de mercado</v>
          </cell>
        </row>
        <row r="222">
          <cell r="D222" t="str">
            <v>AR10APZ530 - Desarrollo De Reservas</v>
          </cell>
        </row>
        <row r="223">
          <cell r="D223" t="str">
            <v>AR10SRZ530 - Desarrollo De Reservas</v>
          </cell>
        </row>
        <row r="224">
          <cell r="D224" t="str">
            <v>AR1040Z530 - Desarrollo De Reservas</v>
          </cell>
        </row>
        <row r="225">
          <cell r="D225" t="str">
            <v>AR1046Z530 - Desarrollo De Reservas</v>
          </cell>
        </row>
        <row r="226">
          <cell r="D226" t="str">
            <v>AR10BCZ530 - Desarrollo De Reservas</v>
          </cell>
        </row>
        <row r="227">
          <cell r="D227" t="str">
            <v>AR10CDZ530 - Desarrollo De Reservas</v>
          </cell>
        </row>
        <row r="228">
          <cell r="D228" t="str">
            <v>AR10CK4530 - Desarrollo De Reservas</v>
          </cell>
        </row>
        <row r="229">
          <cell r="D229" t="str">
            <v>AR10ANZ530 - Desarrollo De Reservas</v>
          </cell>
        </row>
        <row r="230">
          <cell r="D230" t="str">
            <v>AR10SNZ530 - Desarrollo De Reservas</v>
          </cell>
        </row>
        <row r="231">
          <cell r="D231" t="str">
            <v>AR104NZ530 - Desarrollo De Reservas</v>
          </cell>
        </row>
        <row r="232">
          <cell r="D232" t="str">
            <v>AR106NZ530 - Desarrollo De Reservas</v>
          </cell>
        </row>
        <row r="233">
          <cell r="D233" t="str">
            <v>AR10BNZ530 - Desarrollo De Reservas</v>
          </cell>
        </row>
        <row r="234">
          <cell r="D234" t="str">
            <v>AR40LE2530 - Desarrollo De Reservas</v>
          </cell>
        </row>
        <row r="235">
          <cell r="D235" t="str">
            <v>AR10AEZ530 - Desarrollo De Reservas</v>
          </cell>
        </row>
        <row r="236">
          <cell r="D236" t="str">
            <v>AR10FEZ530 - Desarrollo De Reservas</v>
          </cell>
        </row>
        <row r="237">
          <cell r="D237" t="str">
            <v>AR10CEZ530 - Desarrollo De Reservas</v>
          </cell>
        </row>
        <row r="238">
          <cell r="D238" t="str">
            <v>AR10SEZ530 - Desarrollo De Reservas</v>
          </cell>
        </row>
        <row r="239">
          <cell r="D239" t="str">
            <v>AR10BAZ530 - Desarrollo De Reservas</v>
          </cell>
        </row>
        <row r="240">
          <cell r="D240" t="str">
            <v>AR11CAZ530 - Desarrollo De Reservas</v>
          </cell>
        </row>
        <row r="241">
          <cell r="D241" t="str">
            <v>AR11CNZ530 - Desarrollo De Reservas</v>
          </cell>
        </row>
        <row r="242">
          <cell r="D242" t="str">
            <v>AR11SAZ530 - Desarrollo De Reservas</v>
          </cell>
        </row>
        <row r="243">
          <cell r="D243" t="str">
            <v>AR12FUZ530 - Desarrollo De Reservas</v>
          </cell>
        </row>
        <row r="244">
          <cell r="D244" t="str">
            <v>AR12FMZ530 - Desarrollo De Reservas</v>
          </cell>
        </row>
        <row r="245">
          <cell r="D245" t="str">
            <v>AR13BSZ530 - Desarrollo De Reservas</v>
          </cell>
        </row>
        <row r="246">
          <cell r="D246" t="str">
            <v>AR40LA2530 - Desarrollo De Reservas</v>
          </cell>
        </row>
        <row r="247">
          <cell r="D247" t="str">
            <v>AR41ACZ530 - Desarrollo De Reservas</v>
          </cell>
        </row>
        <row r="248">
          <cell r="D248" t="str">
            <v>AR42AFZ530 - Desarrollo De Reservas</v>
          </cell>
        </row>
        <row r="249">
          <cell r="D249" t="str">
            <v>AR43GCZ530 - Desarrollo De Reservas</v>
          </cell>
        </row>
        <row r="250">
          <cell r="D250" t="str">
            <v>AR44GSZ530 - Desarrollo De Reservas</v>
          </cell>
        </row>
        <row r="251">
          <cell r="D251" t="str">
            <v>BO10OGZ530 - Desarrollo De Reservas</v>
          </cell>
        </row>
        <row r="252">
          <cell r="D252" t="str">
            <v>BO11CIZ530 - Desarrollo De Reservas</v>
          </cell>
        </row>
        <row r="253">
          <cell r="D253" t="str">
            <v>BO11CNZ530 - Desarrollo De Reservas</v>
          </cell>
        </row>
        <row r="254">
          <cell r="D254" t="str">
            <v>CL10CH1530 - Desarrollo De Reservas</v>
          </cell>
        </row>
        <row r="255">
          <cell r="D255" t="str">
            <v>CL10CC1530 - Desarrollo De Reservas</v>
          </cell>
        </row>
        <row r="256">
          <cell r="D256" t="str">
            <v>CL10CB1530 - Desarrollo De Reservas</v>
          </cell>
        </row>
        <row r="257">
          <cell r="D257" t="str">
            <v>AR10CDZ535 - Energía</v>
          </cell>
        </row>
        <row r="258">
          <cell r="D258" t="str">
            <v>AR10CK4535 - Energía</v>
          </cell>
        </row>
        <row r="259">
          <cell r="D259" t="str">
            <v>AR10CD1001 - Eq. Mult. 1</v>
          </cell>
        </row>
        <row r="260">
          <cell r="D260" t="str">
            <v>AR10CD2001 - Eq. Mult. 1</v>
          </cell>
        </row>
        <row r="261">
          <cell r="D261" t="str">
            <v>AR10CD3001 - Eq. Mult. 1</v>
          </cell>
        </row>
        <row r="262">
          <cell r="D262" t="str">
            <v>AR10CD5001 - Eq. Mult. 1</v>
          </cell>
        </row>
        <row r="263">
          <cell r="D263" t="str">
            <v>AR10CD7001 - Eq. Mult. 1</v>
          </cell>
        </row>
        <row r="264">
          <cell r="D264" t="str">
            <v>AR10CD8001 - Eq. Mult. 1</v>
          </cell>
        </row>
        <row r="265">
          <cell r="D265" t="str">
            <v>AR10CD9001 - Eq. Mult. 1</v>
          </cell>
        </row>
        <row r="266">
          <cell r="D266" t="str">
            <v>AR10CDE001 - Eq. Mult. 1</v>
          </cell>
        </row>
        <row r="267">
          <cell r="D267" t="str">
            <v>AR10CDP001 - Eq. Mult. 1</v>
          </cell>
        </row>
        <row r="268">
          <cell r="D268" t="str">
            <v>AR10CK4001 - Eq. Mult. 1</v>
          </cell>
        </row>
        <row r="269">
          <cell r="D269" t="str">
            <v>AR10CD1002 - Eq. Mult. 2</v>
          </cell>
        </row>
        <row r="270">
          <cell r="D270" t="str">
            <v>AR10CD2002 - Eq. Mult. 2</v>
          </cell>
        </row>
        <row r="271">
          <cell r="D271" t="str">
            <v>AR10CD3002 - Eq. Mult. 2</v>
          </cell>
        </row>
        <row r="272">
          <cell r="D272" t="str">
            <v>AR10CD5002 - Eq. Mult. 2</v>
          </cell>
        </row>
        <row r="273">
          <cell r="D273" t="str">
            <v>AR10CD7002 - Eq. Mult. 2</v>
          </cell>
        </row>
        <row r="274">
          <cell r="D274" t="str">
            <v>AR10CD8002 - Eq. Mult. 2</v>
          </cell>
        </row>
        <row r="275">
          <cell r="D275" t="str">
            <v>AR10CD9002 - Eq. Mult. 2</v>
          </cell>
        </row>
        <row r="276">
          <cell r="D276" t="str">
            <v>AR10CDE002 - Eq. Mult. 2</v>
          </cell>
        </row>
        <row r="277">
          <cell r="D277" t="str">
            <v>AR10CDP002 - Eq. Mult. 2</v>
          </cell>
        </row>
        <row r="278">
          <cell r="D278" t="str">
            <v>AR10CK4002 - Eq. Mult. 2</v>
          </cell>
        </row>
        <row r="279">
          <cell r="D279" t="str">
            <v>AR10CD1003 - Eq. Mult. 3</v>
          </cell>
        </row>
        <row r="280">
          <cell r="D280" t="str">
            <v>AR10CD2003 - Eq. Mult. 3</v>
          </cell>
        </row>
        <row r="281">
          <cell r="D281" t="str">
            <v>AR10CD3003 - Eq. Mult. 3</v>
          </cell>
        </row>
        <row r="282">
          <cell r="D282" t="str">
            <v>AR10CD5003 - Eq. Mult. 3</v>
          </cell>
        </row>
        <row r="283">
          <cell r="D283" t="str">
            <v>AR10CD7003 - Eq. Mult. 3</v>
          </cell>
        </row>
        <row r="284">
          <cell r="D284" t="str">
            <v>AR10CD8003 - Eq. Mult. 3</v>
          </cell>
        </row>
        <row r="285">
          <cell r="D285" t="str">
            <v>AR10CD9003 - Eq. Mult. 3</v>
          </cell>
        </row>
        <row r="286">
          <cell r="D286" t="str">
            <v>AR10CK4003 - Eq. Mult. 3</v>
          </cell>
        </row>
        <row r="287">
          <cell r="D287" t="str">
            <v>AR10CD1008 - Eq. Mult. 8</v>
          </cell>
        </row>
        <row r="288">
          <cell r="D288" t="str">
            <v>AR10CD2008 - Eq. Mult. 8</v>
          </cell>
        </row>
        <row r="289">
          <cell r="D289" t="str">
            <v>AR10CD3008 - Eq. Mult. 8</v>
          </cell>
        </row>
        <row r="290">
          <cell r="D290" t="str">
            <v>AR10CD5008 - Eq. Mult. 8</v>
          </cell>
        </row>
        <row r="291">
          <cell r="D291" t="str">
            <v>AR10CD7008 - Eq. Mult. 8</v>
          </cell>
        </row>
        <row r="292">
          <cell r="D292" t="str">
            <v>AR10CD8008 - Eq. Mult. 8</v>
          </cell>
        </row>
        <row r="293">
          <cell r="D293" t="str">
            <v>AR10CD9008 - Eq. Mult. 8</v>
          </cell>
        </row>
        <row r="294">
          <cell r="D294" t="str">
            <v>AR10CK4008 - Eq. Mult. 8</v>
          </cell>
        </row>
        <row r="295">
          <cell r="D295" t="str">
            <v>AR10CD1130 - ESP</v>
          </cell>
        </row>
        <row r="296">
          <cell r="D296" t="str">
            <v>AR10CD2130 - ESP</v>
          </cell>
        </row>
        <row r="297">
          <cell r="D297" t="str">
            <v>AR10CD3130 - ESP</v>
          </cell>
        </row>
        <row r="298">
          <cell r="D298" t="str">
            <v>AR10CD5130 - ESP</v>
          </cell>
        </row>
        <row r="299">
          <cell r="D299" t="str">
            <v>AR10CD7130 - ESP</v>
          </cell>
        </row>
        <row r="300">
          <cell r="D300" t="str">
            <v>AR10CD8130 - ESP</v>
          </cell>
        </row>
        <row r="301">
          <cell r="D301" t="str">
            <v>AR10CD9130 - ESP</v>
          </cell>
        </row>
        <row r="302">
          <cell r="D302" t="str">
            <v>AR10CK4130 - ESP</v>
          </cell>
        </row>
        <row r="303">
          <cell r="D303" t="str">
            <v>AR10ANZ130 - ESP</v>
          </cell>
        </row>
        <row r="304">
          <cell r="D304" t="str">
            <v>AR10SNZ130 - ESP</v>
          </cell>
        </row>
        <row r="305">
          <cell r="D305" t="str">
            <v>AR104NZ130 - ESP</v>
          </cell>
        </row>
        <row r="306">
          <cell r="D306" t="str">
            <v>AR106NZ130 - ESP</v>
          </cell>
        </row>
        <row r="307">
          <cell r="D307" t="str">
            <v>AR10BNZ130 - ESP</v>
          </cell>
        </row>
        <row r="308">
          <cell r="D308" t="str">
            <v>AR40LE1130 - ESP</v>
          </cell>
        </row>
        <row r="309">
          <cell r="D309" t="str">
            <v>AR40LE2130 - ESP</v>
          </cell>
        </row>
        <row r="310">
          <cell r="D310" t="str">
            <v>AR10AE1130 - ESP</v>
          </cell>
        </row>
        <row r="311">
          <cell r="D311" t="str">
            <v>AR10AE2130 - ESP</v>
          </cell>
        </row>
        <row r="312">
          <cell r="D312" t="str">
            <v>AR10AE3130 - ESP</v>
          </cell>
        </row>
        <row r="313">
          <cell r="D313" t="str">
            <v>AR10AE4130 - ESP</v>
          </cell>
        </row>
        <row r="314">
          <cell r="D314" t="str">
            <v>AR10AE5130 - ESP</v>
          </cell>
        </row>
        <row r="315">
          <cell r="D315" t="str">
            <v>AR10FEZ130 - ESP</v>
          </cell>
        </row>
        <row r="316">
          <cell r="D316" t="str">
            <v>AR11CNZ130 - ESP</v>
          </cell>
        </row>
        <row r="317">
          <cell r="D317" t="str">
            <v>AR40LA1130 - ESP</v>
          </cell>
        </row>
        <row r="318">
          <cell r="D318" t="str">
            <v>AR40LA2130 - ESP</v>
          </cell>
        </row>
        <row r="319">
          <cell r="D319" t="str">
            <v>AR41AC1130 - ESP</v>
          </cell>
        </row>
        <row r="320">
          <cell r="D320" t="str">
            <v>AR41AC2130 - ESP</v>
          </cell>
        </row>
        <row r="321">
          <cell r="D321" t="str">
            <v>AR41AC3130 - ESP</v>
          </cell>
        </row>
        <row r="322">
          <cell r="D322" t="str">
            <v>AR41AC4130 - ESP</v>
          </cell>
        </row>
        <row r="323">
          <cell r="D323" t="str">
            <v>AR41AC5130 - ESP</v>
          </cell>
        </row>
        <row r="324">
          <cell r="D324" t="str">
            <v>AR42AFZ130 - ESP</v>
          </cell>
        </row>
        <row r="325">
          <cell r="D325" t="str">
            <v>BO11CIZ130 - ESP</v>
          </cell>
        </row>
        <row r="326">
          <cell r="D326" t="str">
            <v>BO11CNZ130 - ESP</v>
          </cell>
        </row>
        <row r="327">
          <cell r="D327" t="str">
            <v>CL10CH1130 - ESP</v>
          </cell>
        </row>
        <row r="328">
          <cell r="D328" t="str">
            <v>CL10CC1130 - ESP</v>
          </cell>
        </row>
        <row r="329">
          <cell r="D329" t="str">
            <v>CL10CB1130 - ESP</v>
          </cell>
        </row>
        <row r="330">
          <cell r="D330" t="str">
            <v>AR10CDZ540 - Excelencia Operativa</v>
          </cell>
        </row>
        <row r="331">
          <cell r="D331" t="str">
            <v>AR10CK4540 - Excelencia Operativa</v>
          </cell>
        </row>
        <row r="332">
          <cell r="D332" t="str">
            <v>AR10APZ675 - Exploración</v>
          </cell>
        </row>
        <row r="333">
          <cell r="D333" t="str">
            <v>AR10SRZ675 - Exploración</v>
          </cell>
        </row>
        <row r="334">
          <cell r="D334" t="str">
            <v>AR1040Z675 - Exploración</v>
          </cell>
        </row>
        <row r="335">
          <cell r="D335" t="str">
            <v>AR1046Z675 - Exploración</v>
          </cell>
        </row>
        <row r="336">
          <cell r="D336" t="str">
            <v>AR10BCZ675 - Exploración</v>
          </cell>
        </row>
        <row r="337">
          <cell r="D337" t="str">
            <v>AR10ANZ670 - Exploración</v>
          </cell>
        </row>
        <row r="338">
          <cell r="D338" t="str">
            <v>AR10SNZ670 - Exploración</v>
          </cell>
        </row>
        <row r="339">
          <cell r="D339" t="str">
            <v>AR104NZ670 - Exploración</v>
          </cell>
        </row>
        <row r="340">
          <cell r="D340" t="str">
            <v>AR106NZ670 - Exploración</v>
          </cell>
        </row>
        <row r="341">
          <cell r="D341" t="str">
            <v>AR10BNZ670 - Exploración</v>
          </cell>
        </row>
        <row r="342">
          <cell r="D342" t="str">
            <v>AR40LE2675 - Exploración</v>
          </cell>
        </row>
        <row r="343">
          <cell r="D343" t="str">
            <v>AR10AEZ675 - Exploración</v>
          </cell>
        </row>
        <row r="344">
          <cell r="D344" t="str">
            <v>AR10FEZ675 - Exploración</v>
          </cell>
        </row>
        <row r="345">
          <cell r="D345" t="str">
            <v>AR10CEZ675 - Exploración</v>
          </cell>
        </row>
        <row r="346">
          <cell r="D346" t="str">
            <v>AR10SEZ675 - Exploración</v>
          </cell>
        </row>
        <row r="347">
          <cell r="D347" t="str">
            <v>AR10BAZ675 - Exploración</v>
          </cell>
        </row>
        <row r="348">
          <cell r="D348" t="str">
            <v>AR11CAZ675 - Exploración</v>
          </cell>
        </row>
        <row r="349">
          <cell r="D349" t="str">
            <v>AR11CNZ670 - Exploración</v>
          </cell>
        </row>
        <row r="350">
          <cell r="D350" t="str">
            <v>AR11SAZ670 - Exploración</v>
          </cell>
        </row>
        <row r="351">
          <cell r="D351" t="str">
            <v>AR12FUZ675 - Exploración</v>
          </cell>
        </row>
        <row r="352">
          <cell r="D352" t="str">
            <v>AR12FMZ675 - Exploración</v>
          </cell>
        </row>
        <row r="353">
          <cell r="D353" t="str">
            <v>AR13BSZ675 - Exploración</v>
          </cell>
        </row>
        <row r="354">
          <cell r="D354" t="str">
            <v>AR40LA2675 - Exploración</v>
          </cell>
        </row>
        <row r="355">
          <cell r="D355" t="str">
            <v>AR41ACZ675 - Exploración</v>
          </cell>
        </row>
        <row r="356">
          <cell r="D356" t="str">
            <v>AR42AFZ675 - Exploración</v>
          </cell>
        </row>
        <row r="357">
          <cell r="D357" t="str">
            <v>AR43GCZ675 - Exploración</v>
          </cell>
        </row>
        <row r="358">
          <cell r="D358" t="str">
            <v>AR44GSZ675 - Exploración</v>
          </cell>
        </row>
        <row r="359">
          <cell r="D359" t="str">
            <v>BO10OGZ675 - Exploración</v>
          </cell>
        </row>
        <row r="360">
          <cell r="D360" t="str">
            <v>BO11CIZ675 - Exploración</v>
          </cell>
        </row>
        <row r="361">
          <cell r="D361" t="str">
            <v>BO11CNZ675 - Exploración</v>
          </cell>
        </row>
        <row r="362">
          <cell r="D362" t="str">
            <v>CL10CH1675 - Exploración</v>
          </cell>
        </row>
        <row r="363">
          <cell r="D363" t="str">
            <v>CL10CC1675 - Exploración</v>
          </cell>
        </row>
        <row r="364">
          <cell r="D364" t="str">
            <v>CL10CB1675 - Exploración</v>
          </cell>
        </row>
        <row r="365">
          <cell r="D365" t="str">
            <v>AR10ANZ715 - Finanzas Corporativas de Capital</v>
          </cell>
        </row>
        <row r="366">
          <cell r="D366" t="str">
            <v>AR10SNZ715 - Finanzas Corporativas de Capital</v>
          </cell>
        </row>
        <row r="367">
          <cell r="D367" t="str">
            <v>AR104NZ715 - Finanzas Corporativas de Capital</v>
          </cell>
        </row>
        <row r="368">
          <cell r="D368" t="str">
            <v>AR106NZ715 - Finanzas Corporativas de Capital</v>
          </cell>
        </row>
        <row r="369">
          <cell r="D369" t="str">
            <v>AR10BNZ715 - Finanzas Corporativas de Capital</v>
          </cell>
        </row>
        <row r="370">
          <cell r="D370" t="str">
            <v>AR10BAZ720 - Finanzas Corporativas de Capital</v>
          </cell>
        </row>
        <row r="371">
          <cell r="D371" t="str">
            <v>AR11CNZ715 - Finanzas Corporativas de Capital</v>
          </cell>
        </row>
        <row r="372">
          <cell r="D372" t="str">
            <v>AR11SAZ715 - Finanzas Corporativas de Capital</v>
          </cell>
        </row>
        <row r="373">
          <cell r="D373" t="str">
            <v>AR10APZ545 - Finanzas Y Planeamiento</v>
          </cell>
        </row>
        <row r="374">
          <cell r="D374" t="str">
            <v>AR10SRZ545 - Finanzas Y Planeamiento</v>
          </cell>
        </row>
        <row r="375">
          <cell r="D375" t="str">
            <v>AR1040Z545 - Finanzas Y Planeamiento</v>
          </cell>
        </row>
        <row r="376">
          <cell r="D376" t="str">
            <v>AR1046Z545 - Finanzas Y Planeamiento</v>
          </cell>
        </row>
        <row r="377">
          <cell r="D377" t="str">
            <v>AR10BCZ545 - Finanzas Y Planeamiento</v>
          </cell>
        </row>
        <row r="378">
          <cell r="D378" t="str">
            <v>AR10CDZ545 - Finanzas Y Planeamiento</v>
          </cell>
        </row>
        <row r="379">
          <cell r="D379" t="str">
            <v>AR10CK4545 - Finanzas Y Planeamiento</v>
          </cell>
        </row>
        <row r="380">
          <cell r="D380" t="str">
            <v>AR10ANZ545 - Finanzas Y Planeamiento</v>
          </cell>
        </row>
        <row r="381">
          <cell r="D381" t="str">
            <v>AR10SNZ545 - Finanzas Y Planeamiento</v>
          </cell>
        </row>
        <row r="382">
          <cell r="D382" t="str">
            <v>AR104NZ545 - Finanzas Y Planeamiento</v>
          </cell>
        </row>
        <row r="383">
          <cell r="D383" t="str">
            <v>AR106NZ545 - Finanzas Y Planeamiento</v>
          </cell>
        </row>
        <row r="384">
          <cell r="D384" t="str">
            <v>AR10BNZ545 - Finanzas Y Planeamiento</v>
          </cell>
        </row>
        <row r="385">
          <cell r="D385" t="str">
            <v>AR40LE2545 - Finanzas Y Planeamiento</v>
          </cell>
        </row>
        <row r="386">
          <cell r="D386" t="str">
            <v>AR10FEZ545 - Finanzas Y Planeamiento</v>
          </cell>
        </row>
        <row r="387">
          <cell r="D387" t="str">
            <v>AR10CEZ545 - Finanzas Y Planeamiento</v>
          </cell>
        </row>
        <row r="388">
          <cell r="D388" t="str">
            <v>AR10SEZ545 - Finanzas Y Planeamiento</v>
          </cell>
        </row>
        <row r="389">
          <cell r="D389" t="str">
            <v>AR10BAZ545 - Finanzas Y Planeamiento</v>
          </cell>
        </row>
        <row r="390">
          <cell r="D390" t="str">
            <v>AR11CAZ545 - Finanzas Y Planeamiento</v>
          </cell>
        </row>
        <row r="391">
          <cell r="D391" t="str">
            <v>AR11CNZ545 - Finanzas Y Planeamiento</v>
          </cell>
        </row>
        <row r="392">
          <cell r="D392" t="str">
            <v>AR11SAZ545 - Finanzas Y Planeamiento</v>
          </cell>
        </row>
        <row r="393">
          <cell r="D393" t="str">
            <v>AR12FUZ545 - Finanzas Y Planeamiento</v>
          </cell>
        </row>
        <row r="394">
          <cell r="D394" t="str">
            <v>AR12FMZ545 - Finanzas Y Planeamiento</v>
          </cell>
        </row>
        <row r="395">
          <cell r="D395" t="str">
            <v>AR13BSZ545 - Finanzas Y Planeamiento</v>
          </cell>
        </row>
        <row r="396">
          <cell r="D396" t="str">
            <v>AR40LA2545 - Finanzas Y Planeamiento</v>
          </cell>
        </row>
        <row r="397">
          <cell r="D397" t="str">
            <v>AR42AFZ545 - Finanzas Y Planeamiento</v>
          </cell>
        </row>
        <row r="398">
          <cell r="D398" t="str">
            <v>AR43GCZ545 - Finanzas Y Planeamiento</v>
          </cell>
        </row>
        <row r="399">
          <cell r="D399" t="str">
            <v>AR44GSZ545 - Finanzas Y Planeamiento</v>
          </cell>
        </row>
        <row r="400">
          <cell r="D400" t="str">
            <v>BO10OGZ545 - Finanzas Y Planeamiento</v>
          </cell>
        </row>
        <row r="401">
          <cell r="D401" t="str">
            <v>BO11CIZ545 - Finanzas Y Planeamiento</v>
          </cell>
        </row>
        <row r="402">
          <cell r="D402" t="str">
            <v>BO11CNZ545 - Finanzas Y Planeamiento</v>
          </cell>
        </row>
        <row r="403">
          <cell r="D403" t="str">
            <v>CL10CH1545 - Finanzas Y Planeamiento</v>
          </cell>
        </row>
        <row r="404">
          <cell r="D404" t="str">
            <v>CL10CC1545 - Finanzas Y Planeamiento</v>
          </cell>
        </row>
        <row r="405">
          <cell r="D405" t="str">
            <v>CL10CB1545 - Finanzas Y Planeamiento</v>
          </cell>
        </row>
        <row r="406">
          <cell r="D406" t="str">
            <v>AR10APZ860 - Gas</v>
          </cell>
        </row>
        <row r="407">
          <cell r="D407" t="str">
            <v>AR10SRZ860 - Gas</v>
          </cell>
        </row>
        <row r="408">
          <cell r="D408" t="str">
            <v>AR11CAZ860 - Gas</v>
          </cell>
        </row>
        <row r="409">
          <cell r="D409" t="str">
            <v>AR10CD1160 - Gas lift</v>
          </cell>
        </row>
        <row r="410">
          <cell r="D410" t="str">
            <v>AR10CD2160 - Gas lift</v>
          </cell>
        </row>
        <row r="411">
          <cell r="D411" t="str">
            <v>AR10CD3160 - Gas lift</v>
          </cell>
        </row>
        <row r="412">
          <cell r="D412" t="str">
            <v>AR10CD5160 - Gas lift</v>
          </cell>
        </row>
        <row r="413">
          <cell r="D413" t="str">
            <v>AR10CD7160 - Gas lift</v>
          </cell>
        </row>
        <row r="414">
          <cell r="D414" t="str">
            <v>AR10CD8160 - Gas lift</v>
          </cell>
        </row>
        <row r="415">
          <cell r="D415" t="str">
            <v>AR10CD9160 - Gas lift</v>
          </cell>
        </row>
        <row r="416">
          <cell r="D416" t="str">
            <v>AR10CK4160 - Gas lift</v>
          </cell>
        </row>
        <row r="417">
          <cell r="D417" t="str">
            <v>AR10ANZ160 - Gas lift</v>
          </cell>
        </row>
        <row r="418">
          <cell r="D418" t="str">
            <v>AR10SNZ160 - Gas lift</v>
          </cell>
        </row>
        <row r="419">
          <cell r="D419" t="str">
            <v>AR104NZ160 - Gas lift</v>
          </cell>
        </row>
        <row r="420">
          <cell r="D420" t="str">
            <v>AR106NZ160 - Gas lift</v>
          </cell>
        </row>
        <row r="421">
          <cell r="D421" t="str">
            <v>AR10BNZ160 - Gas lift</v>
          </cell>
        </row>
        <row r="422">
          <cell r="D422" t="str">
            <v>AR40LE1160 - Gas lift</v>
          </cell>
        </row>
        <row r="423">
          <cell r="D423" t="str">
            <v>AR40LE2160 - Gas lift</v>
          </cell>
        </row>
        <row r="424">
          <cell r="D424" t="str">
            <v>AR10AE1160 - Gas lift</v>
          </cell>
        </row>
        <row r="425">
          <cell r="D425" t="str">
            <v>AR10AE2160 - Gas lift</v>
          </cell>
        </row>
        <row r="426">
          <cell r="D426" t="str">
            <v>AR10AE3160 - Gas lift</v>
          </cell>
        </row>
        <row r="427">
          <cell r="D427" t="str">
            <v>AR10AE4160 - Gas lift</v>
          </cell>
        </row>
        <row r="428">
          <cell r="D428" t="str">
            <v>AR10AE5160 - Gas lift</v>
          </cell>
        </row>
        <row r="429">
          <cell r="D429" t="str">
            <v>AR10FEZ160 - Gas lift</v>
          </cell>
        </row>
        <row r="430">
          <cell r="D430" t="str">
            <v>AR11CNZ160 - Gas lift</v>
          </cell>
        </row>
        <row r="431">
          <cell r="D431" t="str">
            <v>AR40LA1160 - Gas lift</v>
          </cell>
        </row>
        <row r="432">
          <cell r="D432" t="str">
            <v>AR40LA2160 - Gas lift</v>
          </cell>
        </row>
        <row r="433">
          <cell r="D433" t="str">
            <v>AR41AC1160 - Gas lift</v>
          </cell>
        </row>
        <row r="434">
          <cell r="D434" t="str">
            <v>AR41AC2160 - Gas lift</v>
          </cell>
        </row>
        <row r="435">
          <cell r="D435" t="str">
            <v>AR41AC3160 - Gas lift</v>
          </cell>
        </row>
        <row r="436">
          <cell r="D436" t="str">
            <v>AR41AC4160 - Gas lift</v>
          </cell>
        </row>
        <row r="437">
          <cell r="D437" t="str">
            <v>AR41AC5160 - Gas lift</v>
          </cell>
        </row>
        <row r="438">
          <cell r="D438" t="str">
            <v>AR42AFZ160 - Gas lift</v>
          </cell>
        </row>
        <row r="439">
          <cell r="D439" t="str">
            <v>BO11CIZ160 - Gas lift</v>
          </cell>
        </row>
        <row r="440">
          <cell r="D440" t="str">
            <v>BO11CNZ160 - Gas lift</v>
          </cell>
        </row>
        <row r="441">
          <cell r="D441" t="str">
            <v>CL10CH1160 - Gas lift</v>
          </cell>
        </row>
        <row r="442">
          <cell r="D442" t="str">
            <v>CL10CC1160 - Gas lift</v>
          </cell>
        </row>
        <row r="443">
          <cell r="D443" t="str">
            <v>CL10CB1160 - Gas lift</v>
          </cell>
        </row>
        <row r="444">
          <cell r="D444" t="str">
            <v>AR10LAZ860 - Gas Transportation</v>
          </cell>
        </row>
        <row r="445">
          <cell r="D445" t="str">
            <v>AR10ACZ860 - Gas Transportation</v>
          </cell>
        </row>
        <row r="446">
          <cell r="D446" t="str">
            <v>AR10GCZ860 - Gas Transportation</v>
          </cell>
        </row>
        <row r="447">
          <cell r="D447" t="str">
            <v>AR10GSZ860 - Gas Transportation</v>
          </cell>
        </row>
        <row r="448">
          <cell r="D448" t="str">
            <v>AR10CD1860 - Gas Transportation</v>
          </cell>
        </row>
        <row r="449">
          <cell r="D449" t="str">
            <v>AR10CD2860 - Gas Transportation</v>
          </cell>
        </row>
        <row r="450">
          <cell r="D450" t="str">
            <v>AR10CD3860 - Gas Transportation</v>
          </cell>
        </row>
        <row r="451">
          <cell r="D451" t="str">
            <v>AR10CD5860 - Gas Transportation</v>
          </cell>
        </row>
        <row r="452">
          <cell r="D452" t="str">
            <v>AR10CD7860 - Gas Transportation</v>
          </cell>
        </row>
        <row r="453">
          <cell r="D453" t="str">
            <v>AR10CD8860 - Gas Transportation</v>
          </cell>
        </row>
        <row r="454">
          <cell r="D454" t="str">
            <v>AR10CD9860 - Gas Transportation</v>
          </cell>
        </row>
        <row r="455">
          <cell r="D455" t="str">
            <v>AR10CDZ860 - Gas Transportation</v>
          </cell>
        </row>
        <row r="456">
          <cell r="D456" t="str">
            <v>AR10CK4860 - Gas Transportation</v>
          </cell>
        </row>
        <row r="457">
          <cell r="D457" t="str">
            <v>AR10ANZ860 - Gas Transportation</v>
          </cell>
        </row>
        <row r="458">
          <cell r="D458" t="str">
            <v>AR10SNZ860 - Gas Transportation</v>
          </cell>
        </row>
        <row r="459">
          <cell r="D459" t="str">
            <v>AR40LE2860 - Gas Transportation</v>
          </cell>
        </row>
        <row r="460">
          <cell r="D460" t="str">
            <v>AR10AEZ860 - Gas Transportation</v>
          </cell>
        </row>
        <row r="461">
          <cell r="D461" t="str">
            <v>AR11CNZ860 - Gas Transportation</v>
          </cell>
        </row>
        <row r="462">
          <cell r="D462" t="str">
            <v>AR11SAZ860 - Gas Transportation</v>
          </cell>
        </row>
        <row r="463">
          <cell r="D463" t="str">
            <v>AR12FUZ860 - Gas Transportation</v>
          </cell>
        </row>
        <row r="464">
          <cell r="D464" t="str">
            <v>AR12FMZ860 - Gas Transportation</v>
          </cell>
        </row>
        <row r="465">
          <cell r="D465" t="str">
            <v>AR40LA2860 - Gas Transportation</v>
          </cell>
        </row>
        <row r="466">
          <cell r="D466" t="str">
            <v>AR41ACZ860 - Gas Transportation</v>
          </cell>
        </row>
        <row r="467">
          <cell r="D467" t="str">
            <v>CL10CH1860 - Gas Transportation</v>
          </cell>
        </row>
        <row r="468">
          <cell r="D468" t="str">
            <v>CL10CC1860 - Gas Transportation</v>
          </cell>
        </row>
        <row r="469">
          <cell r="D469" t="str">
            <v>CL10CB1860 - Gas Transportation</v>
          </cell>
        </row>
        <row r="470">
          <cell r="D470" t="str">
            <v>AR10BAZ725 - Gcia de aseg. del desarrollo</v>
          </cell>
        </row>
        <row r="471">
          <cell r="D471" t="str">
            <v>AR10CD1910 - Geofísica</v>
          </cell>
        </row>
        <row r="472">
          <cell r="D472" t="str">
            <v>AR10CD2910 - Geofísica</v>
          </cell>
        </row>
        <row r="473">
          <cell r="D473" t="str">
            <v>AR10CD3910 - Geofísica</v>
          </cell>
        </row>
        <row r="474">
          <cell r="D474" t="str">
            <v>AR10CD5910 - Geofísica</v>
          </cell>
        </row>
        <row r="475">
          <cell r="D475" t="str">
            <v>AR10CD7910 - Geofísica</v>
          </cell>
        </row>
        <row r="476">
          <cell r="D476" t="str">
            <v>AR10CD8910 - Geofísica</v>
          </cell>
        </row>
        <row r="477">
          <cell r="D477" t="str">
            <v>AR10CD9910 - Geofísica</v>
          </cell>
        </row>
        <row r="478">
          <cell r="D478" t="str">
            <v>AR10CDZ910 - Geofísica</v>
          </cell>
        </row>
        <row r="479">
          <cell r="D479" t="str">
            <v>AR10CK4910 - Geofísica</v>
          </cell>
        </row>
        <row r="480">
          <cell r="D480" t="str">
            <v>AR10PIZ910 - Geofísica</v>
          </cell>
        </row>
        <row r="481">
          <cell r="D481" t="str">
            <v>AR10PMZ910 - Geofísica</v>
          </cell>
        </row>
        <row r="482">
          <cell r="D482" t="str">
            <v>AR10ANZ910 - Geofísica</v>
          </cell>
        </row>
        <row r="483">
          <cell r="D483" t="str">
            <v>AR10SNZ910 - Geofísica</v>
          </cell>
        </row>
        <row r="484">
          <cell r="D484" t="str">
            <v>AR104NZ910 - Geofísica</v>
          </cell>
        </row>
        <row r="485">
          <cell r="D485" t="str">
            <v>AR106NZ910 - Geofísica</v>
          </cell>
        </row>
        <row r="486">
          <cell r="D486" t="str">
            <v>AR10BNZ910 - Geofísica</v>
          </cell>
        </row>
        <row r="487">
          <cell r="D487" t="str">
            <v>AR40LE1910 - Geofísica</v>
          </cell>
        </row>
        <row r="488">
          <cell r="D488" t="str">
            <v>AR40LE2910 - Geofísica</v>
          </cell>
        </row>
        <row r="489">
          <cell r="D489" t="str">
            <v>AR40LE2910 - Geofísica</v>
          </cell>
        </row>
        <row r="490">
          <cell r="D490" t="str">
            <v>AR10AE1910 - Geofísica</v>
          </cell>
        </row>
        <row r="491">
          <cell r="D491" t="str">
            <v>AR10AE2910 - Geofísica</v>
          </cell>
        </row>
        <row r="492">
          <cell r="D492" t="str">
            <v>AR10AE3910 - Geofísica</v>
          </cell>
        </row>
        <row r="493">
          <cell r="D493" t="str">
            <v>AR10AE4910 - Geofísica</v>
          </cell>
        </row>
        <row r="494">
          <cell r="D494" t="str">
            <v>AR10AE5910 - Geofísica</v>
          </cell>
        </row>
        <row r="495">
          <cell r="D495" t="str">
            <v>AR10AEZ910 - Geofísica</v>
          </cell>
        </row>
        <row r="496">
          <cell r="D496" t="str">
            <v>AR10CEZ910 - Geofísica</v>
          </cell>
        </row>
        <row r="497">
          <cell r="D497" t="str">
            <v>AR10SEZ910 - Geofísica</v>
          </cell>
        </row>
        <row r="498">
          <cell r="D498" t="str">
            <v>AR11CNZ910 - Geofísica</v>
          </cell>
        </row>
        <row r="499">
          <cell r="D499" t="str">
            <v>AR13BSZ910 - Geofísica</v>
          </cell>
        </row>
        <row r="500">
          <cell r="D500" t="str">
            <v>AR40LA1910 - Geofísica</v>
          </cell>
        </row>
        <row r="501">
          <cell r="D501" t="str">
            <v>AR40LA2910 - Geofísica</v>
          </cell>
        </row>
        <row r="502">
          <cell r="D502" t="str">
            <v>AR40LA2910 - Geofísica</v>
          </cell>
        </row>
        <row r="503">
          <cell r="D503" t="str">
            <v>AR41AC1910 - Geofísica</v>
          </cell>
        </row>
        <row r="504">
          <cell r="D504" t="str">
            <v>AR41AC2910 - Geofísica</v>
          </cell>
        </row>
        <row r="505">
          <cell r="D505" t="str">
            <v>AR41AC3910 - Geofísica</v>
          </cell>
        </row>
        <row r="506">
          <cell r="D506" t="str">
            <v>AR41AC4910 - Geofísica</v>
          </cell>
        </row>
        <row r="507">
          <cell r="D507" t="str">
            <v>AR41AC5910 - Geofísica</v>
          </cell>
        </row>
        <row r="508">
          <cell r="D508" t="str">
            <v>AR41ACZ910 - Geofísica</v>
          </cell>
        </row>
        <row r="509">
          <cell r="D509" t="str">
            <v>AR43GCZ910 - Geofísica</v>
          </cell>
        </row>
        <row r="510">
          <cell r="D510" t="str">
            <v>AR44GSZ910 - Geofísica</v>
          </cell>
        </row>
        <row r="511">
          <cell r="D511" t="str">
            <v>BO11CIZ910 - Geofísica</v>
          </cell>
        </row>
        <row r="512">
          <cell r="D512" t="str">
            <v>BO11CNZ910 - Geofísica</v>
          </cell>
        </row>
        <row r="513">
          <cell r="D513" t="str">
            <v>CL10CH1910 - Geofísica</v>
          </cell>
        </row>
        <row r="514">
          <cell r="D514" t="str">
            <v>CL10CC1910 - Geofísica</v>
          </cell>
        </row>
        <row r="515">
          <cell r="D515" t="str">
            <v>CL10CB1910 - Geofísica</v>
          </cell>
        </row>
        <row r="516">
          <cell r="D516" t="str">
            <v>AR10CD1905 - Geología</v>
          </cell>
        </row>
        <row r="517">
          <cell r="D517" t="str">
            <v>AR10CD2905 - Geología</v>
          </cell>
        </row>
        <row r="518">
          <cell r="D518" t="str">
            <v>AR10CD3905 - Geología</v>
          </cell>
        </row>
        <row r="519">
          <cell r="D519" t="str">
            <v>AR10CD5905 - Geología</v>
          </cell>
        </row>
        <row r="520">
          <cell r="D520" t="str">
            <v>AR10CD7905 - Geología</v>
          </cell>
        </row>
        <row r="521">
          <cell r="D521" t="str">
            <v>AR10CD8905 - Geología</v>
          </cell>
        </row>
        <row r="522">
          <cell r="D522" t="str">
            <v>AR10CD9905 - Geología</v>
          </cell>
        </row>
        <row r="523">
          <cell r="D523" t="str">
            <v>AR10CDZ905 - Geología</v>
          </cell>
        </row>
        <row r="524">
          <cell r="D524" t="str">
            <v>AR10CK4905 - Geología</v>
          </cell>
        </row>
        <row r="525">
          <cell r="D525" t="str">
            <v>AR10PIZ905 - Geología</v>
          </cell>
        </row>
        <row r="526">
          <cell r="D526" t="str">
            <v>AR10PMZ905 - Geología</v>
          </cell>
        </row>
        <row r="527">
          <cell r="D527" t="str">
            <v>AR10ANZ905 - Geología</v>
          </cell>
        </row>
        <row r="528">
          <cell r="D528" t="str">
            <v>AR10SNZ905 - Geología</v>
          </cell>
        </row>
        <row r="529">
          <cell r="D529" t="str">
            <v>AR104NZ905 - Geología</v>
          </cell>
        </row>
        <row r="530">
          <cell r="D530" t="str">
            <v>AR106NZ905 - Geología</v>
          </cell>
        </row>
        <row r="531">
          <cell r="D531" t="str">
            <v>AR10BNZ905 - Geología</v>
          </cell>
        </row>
        <row r="532">
          <cell r="D532" t="str">
            <v>AR40LE1905 - Geología</v>
          </cell>
        </row>
        <row r="533">
          <cell r="D533" t="str">
            <v>AR40LE2905 - Geología</v>
          </cell>
        </row>
        <row r="534">
          <cell r="D534" t="str">
            <v>AR40LE2905 - Geología</v>
          </cell>
        </row>
        <row r="535">
          <cell r="D535" t="str">
            <v>AR10AE1905 - Geología</v>
          </cell>
        </row>
        <row r="536">
          <cell r="D536" t="str">
            <v>AR10AE2905 - Geología</v>
          </cell>
        </row>
        <row r="537">
          <cell r="D537" t="str">
            <v>AR10AE3905 - Geología</v>
          </cell>
        </row>
        <row r="538">
          <cell r="D538" t="str">
            <v>AR10AE4905 - Geología</v>
          </cell>
        </row>
        <row r="539">
          <cell r="D539" t="str">
            <v>AR10AE5905 - Geología</v>
          </cell>
        </row>
        <row r="540">
          <cell r="D540" t="str">
            <v>AR10AEZ905 - Geología</v>
          </cell>
        </row>
        <row r="541">
          <cell r="D541" t="str">
            <v>AR10CEZ905 - Geología</v>
          </cell>
        </row>
        <row r="542">
          <cell r="D542" t="str">
            <v>AR10SEZ905 - Geología</v>
          </cell>
        </row>
        <row r="543">
          <cell r="D543" t="str">
            <v>AR11CNZ905 - Geología</v>
          </cell>
        </row>
        <row r="544">
          <cell r="D544" t="str">
            <v>AR13BSZ905 - Geología</v>
          </cell>
        </row>
        <row r="545">
          <cell r="D545" t="str">
            <v>AR40LA1905 - Geología</v>
          </cell>
        </row>
        <row r="546">
          <cell r="D546" t="str">
            <v>AR40LA2905 - Geología</v>
          </cell>
        </row>
        <row r="547">
          <cell r="D547" t="str">
            <v>AR40LA2905 - Geología</v>
          </cell>
        </row>
        <row r="548">
          <cell r="D548" t="str">
            <v>AR41AC1905 - Geología</v>
          </cell>
        </row>
        <row r="549">
          <cell r="D549" t="str">
            <v>AR41AC2905 - Geología</v>
          </cell>
        </row>
        <row r="550">
          <cell r="D550" t="str">
            <v>AR41AC3905 - Geología</v>
          </cell>
        </row>
        <row r="551">
          <cell r="D551" t="str">
            <v>AR41AC4905 - Geología</v>
          </cell>
        </row>
        <row r="552">
          <cell r="D552" t="str">
            <v>AR41AC5905 - Geología</v>
          </cell>
        </row>
        <row r="553">
          <cell r="D553" t="str">
            <v>AR41ACZ905 - Geología</v>
          </cell>
        </row>
        <row r="554">
          <cell r="D554" t="str">
            <v>AR43GCZ905 - Geología</v>
          </cell>
        </row>
        <row r="555">
          <cell r="D555" t="str">
            <v>AR44GSZ905 - Geología</v>
          </cell>
        </row>
        <row r="556">
          <cell r="D556" t="str">
            <v>BO11CIZ905 - Geología</v>
          </cell>
        </row>
        <row r="557">
          <cell r="D557" t="str">
            <v>BO11CNZ905 - Geología</v>
          </cell>
        </row>
        <row r="558">
          <cell r="D558" t="str">
            <v>CL10CH1905 - Geología</v>
          </cell>
        </row>
        <row r="559">
          <cell r="D559" t="str">
            <v>CL10CC1905 - Geología</v>
          </cell>
        </row>
        <row r="560">
          <cell r="D560" t="str">
            <v>CL10CB1905 - Geología</v>
          </cell>
        </row>
        <row r="561">
          <cell r="D561" t="str">
            <v>AR10CDZ550 - Gerencia De Servicios</v>
          </cell>
        </row>
        <row r="562">
          <cell r="D562" t="str">
            <v>AR10CK4550 - Gerencia De Servicios</v>
          </cell>
        </row>
        <row r="563">
          <cell r="D563" t="str">
            <v>AR10CDZ555 - Gerencia U.G.</v>
          </cell>
        </row>
        <row r="564">
          <cell r="D564" t="str">
            <v>AR10CK4555 - Gerencia U.G.</v>
          </cell>
        </row>
        <row r="565">
          <cell r="D565" t="str">
            <v>AR10CD1810 - Gestión de residuos</v>
          </cell>
        </row>
        <row r="566">
          <cell r="D566" t="str">
            <v>AR10CD2810 - Gestión de residuos</v>
          </cell>
        </row>
        <row r="567">
          <cell r="D567" t="str">
            <v>AR10CD3810 - Gestión de residuos</v>
          </cell>
        </row>
        <row r="568">
          <cell r="D568" t="str">
            <v>AR10CD5810 - Gestión de residuos</v>
          </cell>
        </row>
        <row r="569">
          <cell r="D569" t="str">
            <v>AR10CD7810 - Gestión de residuos</v>
          </cell>
        </row>
        <row r="570">
          <cell r="D570" t="str">
            <v>AR10CD8810 - Gestión de residuos</v>
          </cell>
        </row>
        <row r="571">
          <cell r="D571" t="str">
            <v>AR10CD9810 - Gestión de residuos</v>
          </cell>
        </row>
        <row r="572">
          <cell r="D572" t="str">
            <v>AR10CDE810 - Gestión de residuos</v>
          </cell>
        </row>
        <row r="573">
          <cell r="D573" t="str">
            <v>AR10CDP810 - Gestión de residuos</v>
          </cell>
        </row>
        <row r="574">
          <cell r="D574" t="str">
            <v>AR10CDZ810 - Gestión de residuos</v>
          </cell>
        </row>
        <row r="575">
          <cell r="D575" t="str">
            <v>AR10CK4810 - Gestión de residuos</v>
          </cell>
        </row>
        <row r="576">
          <cell r="D576" t="str">
            <v>AR10ANZ810 - Gestión de residuos</v>
          </cell>
        </row>
        <row r="577">
          <cell r="D577" t="str">
            <v>AR10SNZ810 - Gestión de residuos</v>
          </cell>
        </row>
        <row r="578">
          <cell r="D578" t="str">
            <v>AR10SNZ810 - Gestión de residuos</v>
          </cell>
        </row>
        <row r="579">
          <cell r="D579" t="str">
            <v>AR106NZ810 - Gestión de residuos</v>
          </cell>
        </row>
        <row r="580">
          <cell r="D580" t="str">
            <v>AR10BNZ810 - Gestión de residuos</v>
          </cell>
        </row>
        <row r="581">
          <cell r="D581" t="str">
            <v>AR40LE1810 - Gestión de residuos</v>
          </cell>
        </row>
        <row r="582">
          <cell r="D582" t="str">
            <v>AR40LE2810 - Gestión de residuos</v>
          </cell>
        </row>
        <row r="583">
          <cell r="D583" t="str">
            <v>AR40LE2810 - Gestión de residuos</v>
          </cell>
        </row>
        <row r="584">
          <cell r="D584" t="str">
            <v>AR10AE1810 - Gestión de residuos</v>
          </cell>
        </row>
        <row r="585">
          <cell r="D585" t="str">
            <v>AR10AE2810 - Gestión de residuos</v>
          </cell>
        </row>
        <row r="586">
          <cell r="D586" t="str">
            <v>AR10AE3810 - Gestión de residuos</v>
          </cell>
        </row>
        <row r="587">
          <cell r="D587" t="str">
            <v>AR10AE4810 - Gestión de residuos</v>
          </cell>
        </row>
        <row r="588">
          <cell r="D588" t="str">
            <v>AR10AE6810 - Gestión de residuos</v>
          </cell>
        </row>
        <row r="589">
          <cell r="D589" t="str">
            <v>AR10AE7810 - Gestión de residuos</v>
          </cell>
        </row>
        <row r="590">
          <cell r="D590" t="str">
            <v>AR10AE5810 - Gestión de residuos</v>
          </cell>
        </row>
        <row r="591">
          <cell r="D591" t="str">
            <v>AR10AEZ810 - Gestión de residuos</v>
          </cell>
        </row>
        <row r="592">
          <cell r="D592" t="str">
            <v>AR10CEZ810 - Gestión de residuos</v>
          </cell>
        </row>
        <row r="593">
          <cell r="D593" t="str">
            <v>AR10SEZ810 - Gestión de residuos</v>
          </cell>
        </row>
        <row r="594">
          <cell r="D594" t="str">
            <v>AR11CNZ810 - Gestión de residuos</v>
          </cell>
        </row>
        <row r="595">
          <cell r="D595" t="str">
            <v>AR11SAZ810 - Gestión de residuos</v>
          </cell>
        </row>
        <row r="596">
          <cell r="D596" t="str">
            <v>AR13BSZ810 - Gestión de residuos</v>
          </cell>
        </row>
        <row r="597">
          <cell r="D597" t="str">
            <v>AR40LA1810 - Gestión de residuos</v>
          </cell>
        </row>
        <row r="598">
          <cell r="D598" t="str">
            <v>AR40LA2810 - Gestión de residuos</v>
          </cell>
        </row>
        <row r="599">
          <cell r="D599" t="str">
            <v>AR40LA2810 - Gestión de residuos</v>
          </cell>
        </row>
        <row r="600">
          <cell r="D600" t="str">
            <v>AR41AC1810 - Gestión de residuos</v>
          </cell>
        </row>
        <row r="601">
          <cell r="D601" t="str">
            <v>AR41AC2810 - Gestión de residuos</v>
          </cell>
        </row>
        <row r="602">
          <cell r="D602" t="str">
            <v>AR41AC3810 - Gestión de residuos</v>
          </cell>
        </row>
        <row r="603">
          <cell r="D603" t="str">
            <v>AR41AC4810 - Gestión de residuos</v>
          </cell>
        </row>
        <row r="604">
          <cell r="D604" t="str">
            <v>AR41AC6810 - Gestión de residuos</v>
          </cell>
        </row>
        <row r="605">
          <cell r="D605" t="str">
            <v>AR41AC7810 - Gestión de residuos</v>
          </cell>
        </row>
        <row r="606">
          <cell r="D606" t="str">
            <v>AR41AC5810 - Gestión de residuos</v>
          </cell>
        </row>
        <row r="607">
          <cell r="D607" t="str">
            <v>AR41ACZ810 - Gestión de residuos</v>
          </cell>
        </row>
        <row r="608">
          <cell r="D608" t="str">
            <v>AR43GCZ810 - Gestión de residuos</v>
          </cell>
        </row>
        <row r="609">
          <cell r="D609" t="str">
            <v>AR44GSZ810 - Gestión de residuos</v>
          </cell>
        </row>
        <row r="610">
          <cell r="D610" t="str">
            <v>BO11CIZ810 - Gestión de residuos</v>
          </cell>
        </row>
        <row r="611">
          <cell r="D611" t="str">
            <v>BO11CNZ810 - Gestión de residuos</v>
          </cell>
        </row>
        <row r="612">
          <cell r="D612" t="str">
            <v>CL10CH1810 - Gestión de residuos</v>
          </cell>
        </row>
        <row r="613">
          <cell r="D613" t="str">
            <v>CL10CC1810 - Gestión de residuos</v>
          </cell>
        </row>
        <row r="614">
          <cell r="D614" t="str">
            <v>CL10CB1810 - Gestión de residuos</v>
          </cell>
        </row>
        <row r="615">
          <cell r="D615" t="str">
            <v>AR10APZ565 - Inf. Technology</v>
          </cell>
        </row>
        <row r="616">
          <cell r="D616" t="str">
            <v>AR10SRZ565 - Inf. Technology</v>
          </cell>
        </row>
        <row r="617">
          <cell r="D617" t="str">
            <v>AR1040Z565 - Inf. Technology</v>
          </cell>
        </row>
        <row r="618">
          <cell r="D618" t="str">
            <v>AR1046Z565 - Inf. Technology</v>
          </cell>
        </row>
        <row r="619">
          <cell r="D619" t="str">
            <v>AR10BCZ565 - Inf. Technology</v>
          </cell>
        </row>
        <row r="620">
          <cell r="D620" t="str">
            <v>AR10CDZ565 - Inf. Technology</v>
          </cell>
        </row>
        <row r="621">
          <cell r="D621" t="str">
            <v>AR10CK4565 - Inf. Technology</v>
          </cell>
        </row>
        <row r="622">
          <cell r="D622" t="str">
            <v>AR40LE2565 - Inf. Technology</v>
          </cell>
        </row>
        <row r="623">
          <cell r="D623" t="str">
            <v>AR10AEZ565 - Inf. Technology</v>
          </cell>
        </row>
        <row r="624">
          <cell r="D624" t="str">
            <v>AR10FEZ565 - Inf. Technology</v>
          </cell>
        </row>
        <row r="625">
          <cell r="D625" t="str">
            <v>AR10CEZ565 - Inf. Technology</v>
          </cell>
        </row>
        <row r="626">
          <cell r="D626" t="str">
            <v>AR10SEZ565 - Inf. Technology</v>
          </cell>
        </row>
        <row r="627">
          <cell r="D627" t="str">
            <v>AR11CAZ565 - Inf. Technology</v>
          </cell>
        </row>
        <row r="628">
          <cell r="D628" t="str">
            <v>AR40LA2565 - Inf. Technology</v>
          </cell>
        </row>
        <row r="629">
          <cell r="D629" t="str">
            <v>AR41ACZ565 - Inf. Technology</v>
          </cell>
        </row>
        <row r="630">
          <cell r="D630" t="str">
            <v>AR42AFZ565 - Inf. Technology</v>
          </cell>
        </row>
        <row r="631">
          <cell r="D631" t="str">
            <v>AR43GCZ565 - Inf. Technology</v>
          </cell>
        </row>
        <row r="632">
          <cell r="D632" t="str">
            <v>AR44GSZ565 - Inf. Technology</v>
          </cell>
        </row>
        <row r="633">
          <cell r="D633" t="str">
            <v>BO10OGZ565 - Inf. Technology</v>
          </cell>
        </row>
        <row r="634">
          <cell r="D634" t="str">
            <v>BO11CIZ565 - Inf. Technology</v>
          </cell>
        </row>
        <row r="635">
          <cell r="D635" t="str">
            <v>BO11CNZ565 - Inf. Technology</v>
          </cell>
        </row>
        <row r="636">
          <cell r="D636" t="str">
            <v>CL10CH1565 - Inf. Technology</v>
          </cell>
        </row>
        <row r="637">
          <cell r="D637" t="str">
            <v>CL10CC1565 - Inf. Technology</v>
          </cell>
        </row>
        <row r="638">
          <cell r="D638" t="str">
            <v>CL10CB1565 - Inf. Technology</v>
          </cell>
        </row>
        <row r="639">
          <cell r="D639" t="str">
            <v>AR10APZ656 - Information Tech.</v>
          </cell>
        </row>
        <row r="640">
          <cell r="D640" t="str">
            <v>AR10SRZ656 - Information Tech.</v>
          </cell>
        </row>
        <row r="641">
          <cell r="D641" t="str">
            <v>AR1040Z656 - Information Tech.</v>
          </cell>
        </row>
        <row r="642">
          <cell r="D642" t="str">
            <v>AR1046Z656 - Information Tech.</v>
          </cell>
        </row>
        <row r="643">
          <cell r="D643" t="str">
            <v>AR10BCZ656 - Information Tech.</v>
          </cell>
        </row>
        <row r="644">
          <cell r="D644" t="str">
            <v>AR10ANZ660 - Information Tech.</v>
          </cell>
        </row>
        <row r="645">
          <cell r="D645" t="str">
            <v>AR10SNZ660 - Information Tech.</v>
          </cell>
        </row>
        <row r="646">
          <cell r="D646" t="str">
            <v>AR104NZ660 - Information Tech.</v>
          </cell>
        </row>
        <row r="647">
          <cell r="D647" t="str">
            <v>AR106NZ660 - Information Tech.</v>
          </cell>
        </row>
        <row r="648">
          <cell r="D648" t="str">
            <v>AR10BNZ660 - Information Tech.</v>
          </cell>
        </row>
        <row r="649">
          <cell r="D649" t="str">
            <v>AR40LE2656 - Information Tech.</v>
          </cell>
        </row>
        <row r="650">
          <cell r="D650" t="str">
            <v>AR10AEZ656 - Information Tech.</v>
          </cell>
        </row>
        <row r="651">
          <cell r="D651" t="str">
            <v>AR10FEZ656 - Information Tech.</v>
          </cell>
        </row>
        <row r="652">
          <cell r="D652" t="str">
            <v>AR10CEZ656 - Information Tech.</v>
          </cell>
        </row>
        <row r="653">
          <cell r="D653" t="str">
            <v>AR10SEZ656 - Information Tech.</v>
          </cell>
        </row>
        <row r="654">
          <cell r="D654" t="str">
            <v>AR10BAZ656 - Information Tech.</v>
          </cell>
        </row>
        <row r="655">
          <cell r="D655" t="str">
            <v>AR11CAZ656 - Information Tech.</v>
          </cell>
        </row>
        <row r="656">
          <cell r="D656" t="str">
            <v>AR11CNZ660 - Information Tech.</v>
          </cell>
        </row>
        <row r="657">
          <cell r="D657" t="str">
            <v>AR11SAZ660 - Information Tech.</v>
          </cell>
        </row>
        <row r="658">
          <cell r="D658" t="str">
            <v>AR40LA2656 - Information Tech.</v>
          </cell>
        </row>
        <row r="659">
          <cell r="D659" t="str">
            <v>AR41ACZ656 - Information Tech.</v>
          </cell>
        </row>
        <row r="660">
          <cell r="D660" t="str">
            <v>AR42AFZ656 - Information Tech.</v>
          </cell>
        </row>
        <row r="661">
          <cell r="D661" t="str">
            <v>AR43GCZ656 - Information Tech.</v>
          </cell>
        </row>
        <row r="662">
          <cell r="D662" t="str">
            <v>AR44GSZ656 - Information Tech.</v>
          </cell>
        </row>
        <row r="663">
          <cell r="D663" t="str">
            <v>BO10OGZ656 - Information Tech.</v>
          </cell>
        </row>
        <row r="664">
          <cell r="D664" t="str">
            <v>BO11CIZ656 - Information Tech.</v>
          </cell>
        </row>
        <row r="665">
          <cell r="D665" t="str">
            <v>BO11CNZ656 - Information Tech.</v>
          </cell>
        </row>
        <row r="666">
          <cell r="D666" t="str">
            <v>CL10CH1656 - Information Tech.</v>
          </cell>
        </row>
        <row r="667">
          <cell r="D667" t="str">
            <v>CL10CC1656 - Information Tech.</v>
          </cell>
        </row>
        <row r="668">
          <cell r="D668" t="str">
            <v>CL10CB1656 - Information Tech.</v>
          </cell>
        </row>
        <row r="669">
          <cell r="D669" t="str">
            <v xml:space="preserve">AR10CDZ570 - Ing De Prod Y Recup Sec </v>
          </cell>
        </row>
        <row r="670">
          <cell r="D670" t="str">
            <v xml:space="preserve">AR10CK4570 - Ing De Prod Y Recup Sec </v>
          </cell>
        </row>
        <row r="671">
          <cell r="D671" t="str">
            <v>AR10ANZ705 - Ingeniería de Procesos y Pro P</v>
          </cell>
        </row>
        <row r="672">
          <cell r="D672" t="str">
            <v>AR10SNZ705 - Ingeniería de Procesos y Pro P</v>
          </cell>
        </row>
        <row r="673">
          <cell r="D673" t="str">
            <v>AR104NZ705 - Ingeniería de Procesos y Pro P</v>
          </cell>
        </row>
        <row r="674">
          <cell r="D674" t="str">
            <v>AR106NZ705 - Ingeniería de Procesos y Pro P</v>
          </cell>
        </row>
        <row r="675">
          <cell r="D675" t="str">
            <v>AR10BNZ705 - Ingeniería de Procesos y Pro P</v>
          </cell>
        </row>
        <row r="676">
          <cell r="D676" t="str">
            <v>AR10BAZ710 - Ingeniería de Procesos y Pro P</v>
          </cell>
        </row>
        <row r="677">
          <cell r="D677" t="str">
            <v>AR11CNZ705 - Ingeniería de Procesos y Pro P</v>
          </cell>
        </row>
        <row r="678">
          <cell r="D678" t="str">
            <v>AR11SAZ705 - Ingeniería de Procesos y Pro P</v>
          </cell>
        </row>
        <row r="679">
          <cell r="D679" t="str">
            <v>AR10CDZ575 - Ingenieria De Procesos y Proy (GIPP)</v>
          </cell>
        </row>
        <row r="680">
          <cell r="D680" t="str">
            <v>AR10CK4575 - Ingenieria De Procesos y Proy (GIPP)</v>
          </cell>
        </row>
        <row r="681">
          <cell r="D681" t="str">
            <v>AR10CD1100 - Ingeniería de producción &amp; Recuperación Secundaria</v>
          </cell>
        </row>
        <row r="682">
          <cell r="D682" t="str">
            <v>AR10CD2100 - Ingeniería de producción &amp; Recuperación Secundaria</v>
          </cell>
        </row>
        <row r="683">
          <cell r="D683" t="str">
            <v>AR10CD3100 - Ingeniería de producción &amp; Recuperación Secundaria</v>
          </cell>
        </row>
        <row r="684">
          <cell r="D684" t="str">
            <v>AR10CD5100 - Ingeniería de producción &amp; Recuperación Secundaria</v>
          </cell>
        </row>
        <row r="685">
          <cell r="D685" t="str">
            <v>AR10CD7100 - Ingeniería de producción &amp; Recuperación Secundaria</v>
          </cell>
        </row>
        <row r="686">
          <cell r="D686" t="str">
            <v>AR10CD8100 - Ingeniería de producción &amp; Recuperación Secundaria</v>
          </cell>
        </row>
        <row r="687">
          <cell r="D687" t="str">
            <v>AR10CD9100 - Ingeniería de producción &amp; Recuperación Secundaria</v>
          </cell>
        </row>
        <row r="688">
          <cell r="D688" t="str">
            <v>AR10CK4100 - Ingeniería de producción &amp; Recuperación Secundaria</v>
          </cell>
        </row>
        <row r="689">
          <cell r="D689" t="str">
            <v>AR10ANZ100 - Ingeniería de producción &amp; Recuperación Secundaria</v>
          </cell>
        </row>
        <row r="690">
          <cell r="D690" t="str">
            <v>AR10SNZ100 - Ingeniería de producción &amp; Recuperación Secundaria</v>
          </cell>
        </row>
        <row r="691">
          <cell r="D691" t="str">
            <v>AR104NZ100 - Ingeniería de producción &amp; Recuperación Secundaria</v>
          </cell>
        </row>
        <row r="692">
          <cell r="D692" t="str">
            <v>AR106NZ100 - Ingeniería de producción &amp; Recuperación Secundaria</v>
          </cell>
        </row>
        <row r="693">
          <cell r="D693" t="str">
            <v>AR10BNZ100 - Ingeniería de producción &amp; Recuperación Secundaria</v>
          </cell>
        </row>
        <row r="694">
          <cell r="D694" t="str">
            <v>AR40LE1100 - Ingeniería de producción &amp; Recuperación Secundaria</v>
          </cell>
        </row>
        <row r="695">
          <cell r="D695" t="str">
            <v>AR40LE2100 - Ingeniería de producción &amp; Recuperación Secundaria</v>
          </cell>
        </row>
        <row r="696">
          <cell r="D696" t="str">
            <v>AR10AE1100 - Ingeniería de producción &amp; Recuperación Secundaria</v>
          </cell>
        </row>
        <row r="697">
          <cell r="D697" t="str">
            <v>AR10AE2100 - Ingeniería de producción &amp; Recuperación Secundaria</v>
          </cell>
        </row>
        <row r="698">
          <cell r="D698" t="str">
            <v>AR10AE3100 - Ingeniería de producción &amp; Recuperación Secundaria</v>
          </cell>
        </row>
        <row r="699">
          <cell r="D699" t="str">
            <v>AR10AE4100 - Ingeniería de producción &amp; Recuperación Secundaria</v>
          </cell>
        </row>
        <row r="700">
          <cell r="D700" t="str">
            <v>AR10AE5100 - Ingeniería de producción &amp; Recuperación Secundaria</v>
          </cell>
        </row>
        <row r="701">
          <cell r="D701" t="str">
            <v>AR10FEZ100 - Ingeniería de producción &amp; Recuperación Secundaria</v>
          </cell>
        </row>
        <row r="702">
          <cell r="D702" t="str">
            <v>AR11CNZ100 - Ingeniería de producción &amp; Recuperación Secundaria</v>
          </cell>
        </row>
        <row r="703">
          <cell r="D703" t="str">
            <v>AR40LA1100 - Ingeniería de producción &amp; Recuperación Secundaria</v>
          </cell>
        </row>
        <row r="704">
          <cell r="D704" t="str">
            <v>AR40LA2100 - Ingeniería de producción &amp; Recuperación Secundaria</v>
          </cell>
        </row>
        <row r="705">
          <cell r="D705" t="str">
            <v>AR41AC1100 - Ingeniería de producción &amp; Recuperación Secundaria</v>
          </cell>
        </row>
        <row r="706">
          <cell r="D706" t="str">
            <v>AR41AC2100 - Ingeniería de producción &amp; Recuperación Secundaria</v>
          </cell>
        </row>
        <row r="707">
          <cell r="D707" t="str">
            <v>AR41AC3100 - Ingeniería de producción &amp; Recuperación Secundaria</v>
          </cell>
        </row>
        <row r="708">
          <cell r="D708" t="str">
            <v>AR41AC4100 - Ingeniería de producción &amp; Recuperación Secundaria</v>
          </cell>
        </row>
        <row r="709">
          <cell r="D709" t="str">
            <v>AR41AC5100 - Ingeniería de producción &amp; Recuperación Secundaria</v>
          </cell>
        </row>
        <row r="710">
          <cell r="D710" t="str">
            <v>AR42AFZ100 - Ingeniería de producción &amp; Recuperación Secundaria</v>
          </cell>
        </row>
        <row r="711">
          <cell r="D711" t="str">
            <v>BO11CIZ100 - Ingeniería de producción &amp; Recuperación Secundaria</v>
          </cell>
        </row>
        <row r="712">
          <cell r="D712" t="str">
            <v>BO11CNZ100 - Ingeniería de producción &amp; Recuperación Secundaria</v>
          </cell>
        </row>
        <row r="713">
          <cell r="D713" t="str">
            <v>CL10CH1100 - Ingeniería de producción &amp; Recuperación Secundaria</v>
          </cell>
        </row>
        <row r="714">
          <cell r="D714" t="str">
            <v>CL10CC1100 - Ingeniería de producción &amp; Recuperación Secundaria</v>
          </cell>
        </row>
        <row r="715">
          <cell r="D715" t="str">
            <v>CL10CB1100 - Ingeniería de producción &amp; Recuperación Secundaria</v>
          </cell>
        </row>
        <row r="716">
          <cell r="D716" t="str">
            <v>AR10CD1030 - Instalaciones de Superficie</v>
          </cell>
        </row>
        <row r="717">
          <cell r="D717" t="str">
            <v>AR10CD2030 - Instalaciones de Superficie</v>
          </cell>
        </row>
        <row r="718">
          <cell r="D718" t="str">
            <v>AR10CD3030 - Instalaciones de Superficie</v>
          </cell>
        </row>
        <row r="719">
          <cell r="D719" t="str">
            <v>AR10CD5030 - Instalaciones de Superficie</v>
          </cell>
        </row>
        <row r="720">
          <cell r="D720" t="str">
            <v>AR10CD7030 - Instalaciones de Superficie</v>
          </cell>
        </row>
        <row r="721">
          <cell r="D721" t="str">
            <v>AR10CD8030 - Instalaciones de Superficie</v>
          </cell>
        </row>
        <row r="722">
          <cell r="D722" t="str">
            <v>AR10CD9030 - Instalaciones de Superficie</v>
          </cell>
        </row>
        <row r="723">
          <cell r="D723" t="str">
            <v>AR10CDE030 - Instalaciones de Superficie</v>
          </cell>
        </row>
        <row r="724">
          <cell r="D724" t="str">
            <v>AR10CDP030 - Instalaciones de Superficie</v>
          </cell>
        </row>
        <row r="725">
          <cell r="D725" t="str">
            <v>AR10CK4030 - Instalaciones de Superficie</v>
          </cell>
        </row>
        <row r="726">
          <cell r="D726" t="str">
            <v>AR10ANZ030 - Instalaciones de Superficie</v>
          </cell>
        </row>
        <row r="727">
          <cell r="D727" t="str">
            <v>AR10SNZ030 - Instalaciones de Superficie</v>
          </cell>
        </row>
        <row r="728">
          <cell r="D728" t="str">
            <v>AR104NZ030 - Instalaciones de Superficie</v>
          </cell>
        </row>
        <row r="729">
          <cell r="D729" t="str">
            <v>AR106NZ030 - Instalaciones de Superficie</v>
          </cell>
        </row>
        <row r="730">
          <cell r="D730" t="str">
            <v>AR10BNZ030 - Instalaciones de Superficie</v>
          </cell>
        </row>
        <row r="731">
          <cell r="D731" t="str">
            <v>AR40LE1030 - Instalaciones de Superficie</v>
          </cell>
        </row>
        <row r="732">
          <cell r="D732" t="str">
            <v>AR40LE2030 - Instalaciones de Superficie</v>
          </cell>
        </row>
        <row r="733">
          <cell r="D733" t="str">
            <v>AR10AE1030 - Instalaciones de Superficie</v>
          </cell>
        </row>
        <row r="734">
          <cell r="D734" t="str">
            <v>AR10AE2030 - Instalaciones de Superficie</v>
          </cell>
        </row>
        <row r="735">
          <cell r="D735" t="str">
            <v>AR10AE3030 - Instalaciones de Superficie</v>
          </cell>
        </row>
        <row r="736">
          <cell r="D736" t="str">
            <v>AR10AE4030 - Instalaciones de Superficie</v>
          </cell>
        </row>
        <row r="737">
          <cell r="D737" t="str">
            <v>AR10AE6030 - Instalaciones de Superficie</v>
          </cell>
        </row>
        <row r="738">
          <cell r="D738" t="str">
            <v>AR10AE7030 - Instalaciones de Superficie</v>
          </cell>
        </row>
        <row r="739">
          <cell r="D739" t="str">
            <v>AR10AE5030 - Instalaciones de Superficie</v>
          </cell>
        </row>
        <row r="740">
          <cell r="D740" t="str">
            <v>AR10FEZ030 - Instalaciones de Superficie</v>
          </cell>
        </row>
        <row r="741">
          <cell r="D741" t="str">
            <v>AR11CNZ030 - Instalaciones de Superficie</v>
          </cell>
        </row>
        <row r="742">
          <cell r="D742" t="str">
            <v>AR40LA1030 - Instalaciones de Superficie</v>
          </cell>
        </row>
        <row r="743">
          <cell r="D743" t="str">
            <v>AR40LA2030 - Instalaciones de Superficie</v>
          </cell>
        </row>
        <row r="744">
          <cell r="D744" t="str">
            <v>AR41AC1030 - Instalaciones de Superficie</v>
          </cell>
        </row>
        <row r="745">
          <cell r="D745" t="str">
            <v>AR41AC2030 - Instalaciones de Superficie</v>
          </cell>
        </row>
        <row r="746">
          <cell r="D746" t="str">
            <v>AR41AC3030 - Instalaciones de Superficie</v>
          </cell>
        </row>
        <row r="747">
          <cell r="D747" t="str">
            <v>AR41AC4030 - Instalaciones de Superficie</v>
          </cell>
        </row>
        <row r="748">
          <cell r="D748" t="str">
            <v>AR41AC6030 - Instalaciones de Superficie</v>
          </cell>
        </row>
        <row r="749">
          <cell r="D749" t="str">
            <v>AR41AC7030 - Instalaciones de Superficie</v>
          </cell>
        </row>
        <row r="750">
          <cell r="D750" t="str">
            <v>AR41AC5030 - Instalaciones de Superficie</v>
          </cell>
        </row>
        <row r="751">
          <cell r="D751" t="str">
            <v>AR42AFZ030 - Instalaciones de Superficie</v>
          </cell>
        </row>
        <row r="752">
          <cell r="D752" t="str">
            <v>BO11CIZ030 - Instalaciones de Superficie</v>
          </cell>
        </row>
        <row r="753">
          <cell r="D753" t="str">
            <v>BO11CNZ030 - Instalaciones de Superficie</v>
          </cell>
        </row>
        <row r="754">
          <cell r="D754" t="str">
            <v>CL10CH1030 - Instalaciones de Superficie</v>
          </cell>
        </row>
        <row r="755">
          <cell r="D755" t="str">
            <v>CL10CC1030 - Instalaciones de Superficie</v>
          </cell>
        </row>
        <row r="756">
          <cell r="D756" t="str">
            <v>CL10CB1030 - Instalaciones de Superficie</v>
          </cell>
        </row>
        <row r="757">
          <cell r="D757" t="str">
            <v>AR10CD1200 - Integridad &amp; Corrosión</v>
          </cell>
        </row>
        <row r="758">
          <cell r="D758" t="str">
            <v>AR10CD2200 - Integridad &amp; Corrosión</v>
          </cell>
        </row>
        <row r="759">
          <cell r="D759" t="str">
            <v>AR10CD3200 - Integridad &amp; Corrosión</v>
          </cell>
        </row>
        <row r="760">
          <cell r="D760" t="str">
            <v>AR10CD5200 - Integridad &amp; Corrosión</v>
          </cell>
        </row>
        <row r="761">
          <cell r="D761" t="str">
            <v>AR10CD7200 - Integridad &amp; Corrosión</v>
          </cell>
        </row>
        <row r="762">
          <cell r="D762" t="str">
            <v>AR10CD8200 - Integridad &amp; Corrosión</v>
          </cell>
        </row>
        <row r="763">
          <cell r="D763" t="str">
            <v>AR10CD9200 - Integridad &amp; Corrosión</v>
          </cell>
        </row>
        <row r="764">
          <cell r="D764" t="str">
            <v>AR10CDE200 - Integridad &amp; Corrosión</v>
          </cell>
        </row>
        <row r="765">
          <cell r="D765" t="str">
            <v>AR10CDP200 - Integridad &amp; Corrosión</v>
          </cell>
        </row>
        <row r="766">
          <cell r="D766" t="str">
            <v>AR10CK4200 - Integridad &amp; Corrosión</v>
          </cell>
        </row>
        <row r="767">
          <cell r="D767" t="str">
            <v>AR10ANZ200 - Integridad &amp; Corrosión</v>
          </cell>
        </row>
        <row r="768">
          <cell r="D768" t="str">
            <v>AR10SNZ200 - Integridad &amp; Corrosión</v>
          </cell>
        </row>
        <row r="769">
          <cell r="D769" t="str">
            <v>AR104NZ200 - Integridad &amp; Corrosión</v>
          </cell>
        </row>
        <row r="770">
          <cell r="D770" t="str">
            <v>AR106NZ200 - Integridad &amp; Corrosión</v>
          </cell>
        </row>
        <row r="771">
          <cell r="D771" t="str">
            <v>AR10BNZ200 - Integridad &amp; Corrosión</v>
          </cell>
        </row>
        <row r="772">
          <cell r="D772" t="str">
            <v>AR40LE1200 - Integridad &amp; Corrosión</v>
          </cell>
        </row>
        <row r="773">
          <cell r="D773" t="str">
            <v>AR40LE2200 - Integridad &amp; Corrosión</v>
          </cell>
        </row>
        <row r="774">
          <cell r="D774" t="str">
            <v>AR10AE1200 - Integridad &amp; Corrosión</v>
          </cell>
        </row>
        <row r="775">
          <cell r="D775" t="str">
            <v>AR10AE2200 - Integridad &amp; Corrosión</v>
          </cell>
        </row>
        <row r="776">
          <cell r="D776" t="str">
            <v>AR10AE3200 - Integridad &amp; Corrosión</v>
          </cell>
        </row>
        <row r="777">
          <cell r="D777" t="str">
            <v>AR10AE4200 - Integridad &amp; Corrosión</v>
          </cell>
        </row>
        <row r="778">
          <cell r="D778" t="str">
            <v>AR10AE6200 - Integridad &amp; Corrosión</v>
          </cell>
        </row>
        <row r="779">
          <cell r="D779" t="str">
            <v>AR10AE7200 - Integridad &amp; Corrosión</v>
          </cell>
        </row>
        <row r="780">
          <cell r="D780" t="str">
            <v>AR10AE5200 - Integridad &amp; Corrosión</v>
          </cell>
        </row>
        <row r="781">
          <cell r="D781" t="str">
            <v>AR10FEZ200 - Integridad &amp; Corrosión</v>
          </cell>
        </row>
        <row r="782">
          <cell r="D782" t="str">
            <v>AR11CNZ200 - Integridad &amp; Corrosión</v>
          </cell>
        </row>
        <row r="783">
          <cell r="D783" t="str">
            <v>AR40LA1200 - Integridad &amp; Corrosión</v>
          </cell>
        </row>
        <row r="784">
          <cell r="D784" t="str">
            <v>AR40LA2200 - Integridad &amp; Corrosión</v>
          </cell>
        </row>
        <row r="785">
          <cell r="D785" t="str">
            <v>AR41AC1200 - Integridad &amp; Corrosión</v>
          </cell>
        </row>
        <row r="786">
          <cell r="D786" t="str">
            <v>AR41AC2200 - Integridad &amp; Corrosión</v>
          </cell>
        </row>
        <row r="787">
          <cell r="D787" t="str">
            <v>AR41AC3200 - Integridad &amp; Corrosión</v>
          </cell>
        </row>
        <row r="788">
          <cell r="D788" t="str">
            <v>AR41AC4200 - Integridad &amp; Corrosión</v>
          </cell>
        </row>
        <row r="789">
          <cell r="D789" t="str">
            <v>AR41AC6200 - Integridad &amp; Corrosión</v>
          </cell>
        </row>
        <row r="790">
          <cell r="D790" t="str">
            <v>AR41AC7200 - Integridad &amp; Corrosión</v>
          </cell>
        </row>
        <row r="791">
          <cell r="D791" t="str">
            <v>AR41AC5200 - Integridad &amp; Corrosión</v>
          </cell>
        </row>
        <row r="792">
          <cell r="D792" t="str">
            <v>AR42AFZ200 - Integridad &amp; Corrosión</v>
          </cell>
        </row>
        <row r="793">
          <cell r="D793" t="str">
            <v>BO11CIZ200 - Integridad &amp; Corrosión</v>
          </cell>
        </row>
        <row r="794">
          <cell r="D794" t="str">
            <v>BO11CNZ200 - Integridad &amp; Corrosión</v>
          </cell>
        </row>
        <row r="795">
          <cell r="D795" t="str">
            <v>CL10CH1200 - Integridad &amp; Corrosión</v>
          </cell>
        </row>
        <row r="796">
          <cell r="D796" t="str">
            <v>CL10CC1200 - Integridad &amp; Corrosión</v>
          </cell>
        </row>
        <row r="797">
          <cell r="D797" t="str">
            <v>CL10CB1200 - Integridad &amp; Corrosión</v>
          </cell>
        </row>
        <row r="798">
          <cell r="D798" t="str">
            <v>AR10CDZ580 - Integridad y Procesos</v>
          </cell>
        </row>
        <row r="799">
          <cell r="D799" t="str">
            <v>AR10CK4580 - Integridad y Procesos</v>
          </cell>
        </row>
        <row r="800">
          <cell r="D800" t="str">
            <v>AR10CD1020 - Lineas de Cond. De Prod P/G/A</v>
          </cell>
        </row>
        <row r="801">
          <cell r="D801" t="str">
            <v>AR10CD2020 - Lineas de Cond. De Prod P/G/A</v>
          </cell>
        </row>
        <row r="802">
          <cell r="D802" t="str">
            <v>AR10CD3020 - Lineas de Cond. De Prod P/G/A</v>
          </cell>
        </row>
        <row r="803">
          <cell r="D803" t="str">
            <v>AR10CD5020 - Lineas de Cond. De Prod P/G/A</v>
          </cell>
        </row>
        <row r="804">
          <cell r="D804" t="str">
            <v>AR10CD7020 - Lineas de Cond. De Prod P/G/A</v>
          </cell>
        </row>
        <row r="805">
          <cell r="D805" t="str">
            <v>AR10CD8020 - Lineas de Cond. De Prod P/G/A</v>
          </cell>
        </row>
        <row r="806">
          <cell r="D806" t="str">
            <v>AR10CD9020 - Lineas de Cond. De Prod P/G/A</v>
          </cell>
        </row>
        <row r="807">
          <cell r="D807" t="str">
            <v>AR10CDP020 - Lineas de Cond. De Prod P/G/A</v>
          </cell>
        </row>
        <row r="808">
          <cell r="D808" t="str">
            <v>AR10CK4020 - Lineas de Cond. De Prod P/G/A</v>
          </cell>
        </row>
        <row r="809">
          <cell r="D809" t="str">
            <v>AR10ANZ020 - Lineas de Cond. De Prod P/G/A</v>
          </cell>
        </row>
        <row r="810">
          <cell r="D810" t="str">
            <v>AR10SNZ020 - Lineas de Cond. De Prod P/G/A</v>
          </cell>
        </row>
        <row r="811">
          <cell r="D811" t="str">
            <v>AR104NZ020 - Lineas de Cond. De Prod P/G/A</v>
          </cell>
        </row>
        <row r="812">
          <cell r="D812" t="str">
            <v>AR106NZ020 - Lineas de Cond. De Prod P/G/A</v>
          </cell>
        </row>
        <row r="813">
          <cell r="D813" t="str">
            <v>AR10BNZ020 - Lineas de Cond. De Prod P/G/A</v>
          </cell>
        </row>
        <row r="814">
          <cell r="D814" t="str">
            <v>AR40LE1020 - Lineas de Cond. De Prod P/G/A</v>
          </cell>
        </row>
        <row r="815">
          <cell r="D815" t="str">
            <v>AR40LE2020 - Lineas de Cond. De Prod P/G/A</v>
          </cell>
        </row>
        <row r="816">
          <cell r="D816" t="str">
            <v>AR10AE1020 - Lineas de Cond. De Prod P/G/A</v>
          </cell>
        </row>
        <row r="817">
          <cell r="D817" t="str">
            <v>AR10AE2020 - Lineas de Cond. De Prod P/G/A</v>
          </cell>
        </row>
        <row r="818">
          <cell r="D818" t="str">
            <v>AR10AE3020 - Lineas de Cond. De Prod P/G/A</v>
          </cell>
        </row>
        <row r="819">
          <cell r="D819" t="str">
            <v>AR10AE4020 - Lineas de Cond. De Prod P/G/A</v>
          </cell>
        </row>
        <row r="820">
          <cell r="D820" t="str">
            <v>AR10AE6020 - Lineas de Cond. De Prod P/G/A</v>
          </cell>
        </row>
        <row r="821">
          <cell r="D821" t="str">
            <v>AR10AE7020 - Lineas de Cond. De Prod P/G/A</v>
          </cell>
        </row>
        <row r="822">
          <cell r="D822" t="str">
            <v>AR10AE5020 - Lineas de Cond. De Prod P/G/A</v>
          </cell>
        </row>
        <row r="823">
          <cell r="D823" t="str">
            <v>AR10FEZ020 - Lineas de Cond. De Prod P/G/A</v>
          </cell>
        </row>
        <row r="824">
          <cell r="D824" t="str">
            <v>AR11CNZ020 - Lineas de Cond. De Prod P/G/A</v>
          </cell>
        </row>
        <row r="825">
          <cell r="D825" t="str">
            <v>AR40LA1020 - Lineas de Cond. De Prod P/G/A</v>
          </cell>
        </row>
        <row r="826">
          <cell r="D826" t="str">
            <v>AR40LA2020 - Lineas de Cond. De Prod P/G/A</v>
          </cell>
        </row>
        <row r="827">
          <cell r="D827" t="str">
            <v>AR41AC1020 - Lineas de Cond. De Prod P/G/A</v>
          </cell>
        </row>
        <row r="828">
          <cell r="D828" t="str">
            <v>AR41AC2020 - Lineas de Cond. De Prod P/G/A</v>
          </cell>
        </row>
        <row r="829">
          <cell r="D829" t="str">
            <v>AR41AC3020 - Lineas de Cond. De Prod P/G/A</v>
          </cell>
        </row>
        <row r="830">
          <cell r="D830" t="str">
            <v>AR41AC4020 - Lineas de Cond. De Prod P/G/A</v>
          </cell>
        </row>
        <row r="831">
          <cell r="D831" t="str">
            <v>AR41AC6020 - Lineas de Cond. De Prod P/G/A</v>
          </cell>
        </row>
        <row r="832">
          <cell r="D832" t="str">
            <v>AR41AC7020 - Lineas de Cond. De Prod P/G/A</v>
          </cell>
        </row>
        <row r="833">
          <cell r="D833" t="str">
            <v>AR41AC5020 - Lineas de Cond. De Prod P/G/A</v>
          </cell>
        </row>
        <row r="834">
          <cell r="D834" t="str">
            <v>AR42AFZ020 - Lineas de Cond. De Prod P/G/A</v>
          </cell>
        </row>
        <row r="835">
          <cell r="D835" t="str">
            <v>BO11CIZ020 - Lineas de Cond. De Prod P/G/A</v>
          </cell>
        </row>
        <row r="836">
          <cell r="D836" t="str">
            <v>BO11CNZ020 - Lineas de Cond. De Prod P/G/A</v>
          </cell>
        </row>
        <row r="837">
          <cell r="D837" t="str">
            <v>CL10CH1020 - Lineas de Cond. De Prod P/G/A</v>
          </cell>
        </row>
        <row r="838">
          <cell r="D838" t="str">
            <v>CL10CC1020 - Lineas de Cond. De Prod P/G/A</v>
          </cell>
        </row>
        <row r="839">
          <cell r="D839" t="str">
            <v>CL10CB1020 - Lineas de Cond. De Prod P/G/A</v>
          </cell>
        </row>
        <row r="840">
          <cell r="D840" t="str">
            <v>AR10APZ585 - Logística - Soporte y Ss. de negocios</v>
          </cell>
        </row>
        <row r="841">
          <cell r="D841" t="str">
            <v>AR10SRZ585 - Logística - Soporte y Ss. de negocios</v>
          </cell>
        </row>
        <row r="842">
          <cell r="D842" t="str">
            <v>AR10CDZ585 - Logística - Soporte y Ss. de negocios</v>
          </cell>
        </row>
        <row r="843">
          <cell r="D843" t="str">
            <v>AR10CK4585 - Logística - Soporte y Ss. de negocios</v>
          </cell>
        </row>
        <row r="844">
          <cell r="D844" t="str">
            <v>AR10ANZ585 - Logística - Soporte y Ss. de negocios</v>
          </cell>
        </row>
        <row r="845">
          <cell r="D845" t="str">
            <v>AR10SNZ585 - Logística - Soporte y Ss. de negocios</v>
          </cell>
        </row>
        <row r="846">
          <cell r="D846" t="str">
            <v>AR104NZ585 - Logística - Soporte y Ss. de negocios</v>
          </cell>
        </row>
        <row r="847">
          <cell r="D847" t="str">
            <v>AR106NZ585 - Logística - Soporte y Ss. de negocios</v>
          </cell>
        </row>
        <row r="848">
          <cell r="D848" t="str">
            <v>AR10BNZ585 - Logística - Soporte y Ss. de negocios</v>
          </cell>
        </row>
        <row r="849">
          <cell r="D849" t="str">
            <v>AR40LE2585 - Logística - Soporte y Ss. de negocios</v>
          </cell>
        </row>
        <row r="850">
          <cell r="D850" t="str">
            <v>AR10AEZ585 - Logística - Soporte y Ss. de negocios</v>
          </cell>
        </row>
        <row r="851">
          <cell r="D851" t="str">
            <v>AR10FEZ585 - Logística - Soporte y Ss. de negocios</v>
          </cell>
        </row>
        <row r="852">
          <cell r="D852" t="str">
            <v>AR10CEZ585 - Logística - Soporte y Ss. de negocios</v>
          </cell>
        </row>
        <row r="853">
          <cell r="D853" t="str">
            <v>AR10SEZ585 - Logística - Soporte y Ss. de negocios</v>
          </cell>
        </row>
        <row r="854">
          <cell r="D854" t="str">
            <v>AR10BAZ585 - Logística - Soporte y Ss. de negocios</v>
          </cell>
        </row>
        <row r="855">
          <cell r="D855" t="str">
            <v>AR11CAZ585 - Logística - Soporte y Ss. de negocios</v>
          </cell>
        </row>
        <row r="856">
          <cell r="D856" t="str">
            <v>AR11CAZ585 - Logística - Soporte y Ss. de negocios</v>
          </cell>
        </row>
        <row r="857">
          <cell r="D857" t="str">
            <v>AR11CNZ585 - Logística - Soporte y Ss. de negocios</v>
          </cell>
        </row>
        <row r="858">
          <cell r="D858" t="str">
            <v>AR11SAZ585 - Logística - Soporte y Ss. de negocios</v>
          </cell>
        </row>
        <row r="859">
          <cell r="D859" t="str">
            <v>AR12FUZ585 - Logística - Soporte y Ss. de negocios</v>
          </cell>
        </row>
        <row r="860">
          <cell r="D860" t="str">
            <v>AR12FMZ585 - Logística - Soporte y Ss. de negocios</v>
          </cell>
        </row>
        <row r="861">
          <cell r="D861" t="str">
            <v>AR13BSZ585 - Logística - Soporte y Ss. de negocios</v>
          </cell>
        </row>
        <row r="862">
          <cell r="D862" t="str">
            <v>AR40LA2585 - Logística - Soporte y Ss. de negocios</v>
          </cell>
        </row>
        <row r="863">
          <cell r="D863" t="str">
            <v>AR41ACZ585 - Logística - Soporte y Ss. de negocios</v>
          </cell>
        </row>
        <row r="864">
          <cell r="D864" t="str">
            <v>AR42AFZ585 - Logística - Soporte y Ss. de negocios</v>
          </cell>
        </row>
        <row r="865">
          <cell r="D865" t="str">
            <v>AR43GCZ585 - Logística - Soporte y Ss. de negocios</v>
          </cell>
        </row>
        <row r="866">
          <cell r="D866" t="str">
            <v>AR44GSZ585 - Logística - Soporte y Ss. de negocios</v>
          </cell>
        </row>
        <row r="867">
          <cell r="D867" t="str">
            <v>BO10OGZ585 - Logística - Soporte y Ss. de negocios</v>
          </cell>
        </row>
        <row r="868">
          <cell r="D868" t="str">
            <v>BO11CIZ585 - Logística - Soporte y Ss. de negocios</v>
          </cell>
        </row>
        <row r="869">
          <cell r="D869" t="str">
            <v>BO11CNZ585 - Logística - Soporte y Ss. de negocios</v>
          </cell>
        </row>
        <row r="870">
          <cell r="D870" t="str">
            <v>CL10CH1585 - Logística - Soporte y Ss. de negocios</v>
          </cell>
        </row>
        <row r="871">
          <cell r="D871" t="str">
            <v>CL10CC1585 - Logística - Soporte y Ss. de negocios</v>
          </cell>
        </row>
        <row r="872">
          <cell r="D872" t="str">
            <v>CL10CB1585 - Logística - Soporte y Ss. de negocios</v>
          </cell>
        </row>
        <row r="873">
          <cell r="D873" t="str">
            <v>AR10CDZ590 - Mantenimiento</v>
          </cell>
        </row>
        <row r="874">
          <cell r="D874" t="str">
            <v>AR10CK4590 - Mantenimiento</v>
          </cell>
        </row>
        <row r="875">
          <cell r="D875" t="str">
            <v>AR10CD1220 - Mantenimiento AIB</v>
          </cell>
        </row>
        <row r="876">
          <cell r="D876" t="str">
            <v>AR10CD2220 - Mantenimiento AIB</v>
          </cell>
        </row>
        <row r="877">
          <cell r="D877" t="str">
            <v>AR10CD3220 - Mantenimiento AIB</v>
          </cell>
        </row>
        <row r="878">
          <cell r="D878" t="str">
            <v>AR10CD5220 - Mantenimiento AIB</v>
          </cell>
        </row>
        <row r="879">
          <cell r="D879" t="str">
            <v>AR10CD7220 - Mantenimiento AIB</v>
          </cell>
        </row>
        <row r="880">
          <cell r="D880" t="str">
            <v>AR10CD8220 - Mantenimiento AIB</v>
          </cell>
        </row>
        <row r="881">
          <cell r="D881" t="str">
            <v>AR10CD9220 - Mantenimiento AIB</v>
          </cell>
        </row>
        <row r="882">
          <cell r="D882" t="str">
            <v>AR10CK4220 - Mantenimiento AIB</v>
          </cell>
        </row>
        <row r="883">
          <cell r="D883" t="str">
            <v>AR10ANZ220 - Mantenimiento AIB</v>
          </cell>
        </row>
        <row r="884">
          <cell r="D884" t="str">
            <v>AR10SNZ220 - Mantenimiento AIB</v>
          </cell>
        </row>
        <row r="885">
          <cell r="D885" t="str">
            <v>AR104NZ220 - Mantenimiento AIB</v>
          </cell>
        </row>
        <row r="886">
          <cell r="D886" t="str">
            <v>AR106NZ220 - Mantenimiento AIB</v>
          </cell>
        </row>
        <row r="887">
          <cell r="D887" t="str">
            <v>AR10BNZ220 - Mantenimiento AIB</v>
          </cell>
        </row>
        <row r="888">
          <cell r="D888" t="str">
            <v>AR40LE1220 - Mantenimiento AIB</v>
          </cell>
        </row>
        <row r="889">
          <cell r="D889" t="str">
            <v>AR40LE2220 - Mantenimiento AIB</v>
          </cell>
        </row>
        <row r="890">
          <cell r="D890" t="str">
            <v>AR10AE1220 - Mantenimiento AIB</v>
          </cell>
        </row>
        <row r="891">
          <cell r="D891" t="str">
            <v>AR10AE2220 - Mantenimiento AIB</v>
          </cell>
        </row>
        <row r="892">
          <cell r="D892" t="str">
            <v>AR10AE3220 - Mantenimiento AIB</v>
          </cell>
        </row>
        <row r="893">
          <cell r="D893" t="str">
            <v>AR10AE4220 - Mantenimiento AIB</v>
          </cell>
        </row>
        <row r="894">
          <cell r="D894" t="str">
            <v>AR10AE6220 - Mantenimiento AIB</v>
          </cell>
        </row>
        <row r="895">
          <cell r="D895" t="str">
            <v>AR10AE7220 - Mantenimiento AIB</v>
          </cell>
        </row>
        <row r="896">
          <cell r="D896" t="str">
            <v>AR10AE5220 - Mantenimiento AIB</v>
          </cell>
        </row>
        <row r="897">
          <cell r="D897" t="str">
            <v>AR10FEZ220 - Mantenimiento AIB</v>
          </cell>
        </row>
        <row r="898">
          <cell r="D898" t="str">
            <v>AR11CNZ220 - Mantenimiento AIB</v>
          </cell>
        </row>
        <row r="899">
          <cell r="D899" t="str">
            <v>AR40LA1220 - Mantenimiento AIB</v>
          </cell>
        </row>
        <row r="900">
          <cell r="D900" t="str">
            <v>AR40LA2220 - Mantenimiento AIB</v>
          </cell>
        </row>
        <row r="901">
          <cell r="D901" t="str">
            <v>AR41AC1220 - Mantenimiento AIB</v>
          </cell>
        </row>
        <row r="902">
          <cell r="D902" t="str">
            <v>AR41AC2220 - Mantenimiento AIB</v>
          </cell>
        </row>
        <row r="903">
          <cell r="D903" t="str">
            <v>AR41AC3220 - Mantenimiento AIB</v>
          </cell>
        </row>
        <row r="904">
          <cell r="D904" t="str">
            <v>AR41AC4220 - Mantenimiento AIB</v>
          </cell>
        </row>
        <row r="905">
          <cell r="D905" t="str">
            <v>AR41AC6220 - Mantenimiento AIB</v>
          </cell>
        </row>
        <row r="906">
          <cell r="D906" t="str">
            <v>AR41AC7220 - Mantenimiento AIB</v>
          </cell>
        </row>
        <row r="907">
          <cell r="D907" t="str">
            <v>AR41AC5220 - Mantenimiento AIB</v>
          </cell>
        </row>
        <row r="908">
          <cell r="D908" t="str">
            <v>AR42AFZ220 - Mantenimiento AIB</v>
          </cell>
        </row>
        <row r="909">
          <cell r="D909" t="str">
            <v>BO11CIZ220 - Mantenimiento AIB</v>
          </cell>
        </row>
        <row r="910">
          <cell r="D910" t="str">
            <v>BO11CNZ220 - Mantenimiento AIB</v>
          </cell>
        </row>
        <row r="911">
          <cell r="D911" t="str">
            <v>CL10CH1220 - Mantenimiento AIB</v>
          </cell>
        </row>
        <row r="912">
          <cell r="D912" t="str">
            <v>CL10CC1220 - Mantenimiento AIB</v>
          </cell>
        </row>
        <row r="913">
          <cell r="D913" t="str">
            <v>CL10CB1220 - Mantenimiento AIB</v>
          </cell>
        </row>
        <row r="914">
          <cell r="D914" t="str">
            <v>AR10CD1210 - Mantenimiento Automatización</v>
          </cell>
        </row>
        <row r="915">
          <cell r="D915" t="str">
            <v>AR10CD2210 - Mantenimiento Automatización</v>
          </cell>
        </row>
        <row r="916">
          <cell r="D916" t="str">
            <v>AR10CD3210 - Mantenimiento Automatización</v>
          </cell>
        </row>
        <row r="917">
          <cell r="D917" t="str">
            <v>AR10CD5210 - Mantenimiento Automatización</v>
          </cell>
        </row>
        <row r="918">
          <cell r="D918" t="str">
            <v>AR10CD7210 - Mantenimiento Automatización</v>
          </cell>
        </row>
        <row r="919">
          <cell r="D919" t="str">
            <v>AR10CD8210 - Mantenimiento Automatización</v>
          </cell>
        </row>
        <row r="920">
          <cell r="D920" t="str">
            <v>AR10CD9210 - Mantenimiento Automatización</v>
          </cell>
        </row>
        <row r="921">
          <cell r="D921" t="str">
            <v>AR10CDE210 - Mantenimiento Automatización</v>
          </cell>
        </row>
        <row r="922">
          <cell r="D922" t="str">
            <v>AR10CDP210 - Mantenimiento Automatización</v>
          </cell>
        </row>
        <row r="923">
          <cell r="D923" t="str">
            <v>AR10CK4210 - Mantenimiento Automatización</v>
          </cell>
        </row>
        <row r="924">
          <cell r="D924" t="str">
            <v>AR10ANZ210 - Mantenimiento Automatización</v>
          </cell>
        </row>
        <row r="925">
          <cell r="D925" t="str">
            <v>AR10SNZ210 - Mantenimiento Automatización</v>
          </cell>
        </row>
        <row r="926">
          <cell r="D926" t="str">
            <v>AR104NZ210 - Mantenimiento Automatización</v>
          </cell>
        </row>
        <row r="927">
          <cell r="D927" t="str">
            <v>AR106NZ210 - Mantenimiento Automatización</v>
          </cell>
        </row>
        <row r="928">
          <cell r="D928" t="str">
            <v>AR10BNZ210 - Mantenimiento Automatización</v>
          </cell>
        </row>
        <row r="929">
          <cell r="D929" t="str">
            <v>AR40LE1210 - Mantenimiento Automatización</v>
          </cell>
        </row>
        <row r="930">
          <cell r="D930" t="str">
            <v>AR40LE2210 - Mantenimiento Automatización</v>
          </cell>
        </row>
        <row r="931">
          <cell r="D931" t="str">
            <v>AR10AE1210 - Mantenimiento Automatización</v>
          </cell>
        </row>
        <row r="932">
          <cell r="D932" t="str">
            <v>AR10AE2210 - Mantenimiento Automatización</v>
          </cell>
        </row>
        <row r="933">
          <cell r="D933" t="str">
            <v>AR10AE3210 - Mantenimiento Automatización</v>
          </cell>
        </row>
        <row r="934">
          <cell r="D934" t="str">
            <v>AR10AE4210 - Mantenimiento Automatización</v>
          </cell>
        </row>
        <row r="935">
          <cell r="D935" t="str">
            <v>AR10AE6210 - Mantenimiento Automatización</v>
          </cell>
        </row>
        <row r="936">
          <cell r="D936" t="str">
            <v>AR10AE7210 - Mantenimiento Automatización</v>
          </cell>
        </row>
        <row r="937">
          <cell r="D937" t="str">
            <v>AR10AE5210 - Mantenimiento Automatización</v>
          </cell>
        </row>
        <row r="938">
          <cell r="D938" t="str">
            <v>AR10FEZ210 - Mantenimiento Automatización</v>
          </cell>
        </row>
        <row r="939">
          <cell r="D939" t="str">
            <v>AR11CNZ210 - Mantenimiento Automatización</v>
          </cell>
        </row>
        <row r="940">
          <cell r="D940" t="str">
            <v>AR40LA1210 - Mantenimiento Automatización</v>
          </cell>
        </row>
        <row r="941">
          <cell r="D941" t="str">
            <v>AR40LA2210 - Mantenimiento Automatización</v>
          </cell>
        </row>
        <row r="942">
          <cell r="D942" t="str">
            <v>AR41AC1210 - Mantenimiento Automatización</v>
          </cell>
        </row>
        <row r="943">
          <cell r="D943" t="str">
            <v>AR41AC2210 - Mantenimiento Automatización</v>
          </cell>
        </row>
        <row r="944">
          <cell r="D944" t="str">
            <v>AR41AC3210 - Mantenimiento Automatización</v>
          </cell>
        </row>
        <row r="945">
          <cell r="D945" t="str">
            <v>AR41AC4210 - Mantenimiento Automatización</v>
          </cell>
        </row>
        <row r="946">
          <cell r="D946" t="str">
            <v>AR41AC6210 - Mantenimiento Automatización</v>
          </cell>
        </row>
        <row r="947">
          <cell r="D947" t="str">
            <v>AR41AC7210 - Mantenimiento Automatización</v>
          </cell>
        </row>
        <row r="948">
          <cell r="D948" t="str">
            <v>AR41AC5210 - Mantenimiento Automatización</v>
          </cell>
        </row>
        <row r="949">
          <cell r="D949" t="str">
            <v>AR42AFZ210 - Mantenimiento Automatización</v>
          </cell>
        </row>
        <row r="950">
          <cell r="D950" t="str">
            <v>BO11CIZ210 - Mantenimiento Automatización</v>
          </cell>
        </row>
        <row r="951">
          <cell r="D951" t="str">
            <v>BO11CNZ210 - Mantenimiento Automatización</v>
          </cell>
        </row>
        <row r="952">
          <cell r="D952" t="str">
            <v>CL10CH1210 - Mantenimiento Automatización</v>
          </cell>
        </row>
        <row r="953">
          <cell r="D953" t="str">
            <v>CL10CC1210 - Mantenimiento Automatización</v>
          </cell>
        </row>
        <row r="954">
          <cell r="D954" t="str">
            <v>CL10CB1210 - Mantenimiento Automatización</v>
          </cell>
        </row>
        <row r="955">
          <cell r="D955" t="str">
            <v>AR10CD1270 - Mantenimiento de Ductos</v>
          </cell>
        </row>
        <row r="956">
          <cell r="D956" t="str">
            <v>AR10CD2270 - Mantenimiento de Ductos</v>
          </cell>
        </row>
        <row r="957">
          <cell r="D957" t="str">
            <v>AR10CD3270 - Mantenimiento de Ductos</v>
          </cell>
        </row>
        <row r="958">
          <cell r="D958" t="str">
            <v>AR10CD5270 - Mantenimiento de Ductos</v>
          </cell>
        </row>
        <row r="959">
          <cell r="D959" t="str">
            <v>AR10CD7270 - Mantenimiento de Ductos</v>
          </cell>
        </row>
        <row r="960">
          <cell r="D960" t="str">
            <v>AR10CD8270 - Mantenimiento de Ductos</v>
          </cell>
        </row>
        <row r="961">
          <cell r="D961" t="str">
            <v>AR10CD9270 - Mantenimiento de Ductos</v>
          </cell>
        </row>
        <row r="962">
          <cell r="D962" t="str">
            <v>AR10CDP270 - Mantenimiento de Ductos</v>
          </cell>
        </row>
        <row r="963">
          <cell r="D963" t="str">
            <v>AR10CK4270 - Mantenimiento de Ductos</v>
          </cell>
        </row>
        <row r="964">
          <cell r="D964" t="str">
            <v>AR10ANZ270 - Mantenimiento de Ductos</v>
          </cell>
        </row>
        <row r="965">
          <cell r="D965" t="str">
            <v>AR10SNZ270 - Mantenimiento de Ductos</v>
          </cell>
        </row>
        <row r="966">
          <cell r="D966" t="str">
            <v>AR104NZ270 - Mantenimiento de Ductos</v>
          </cell>
        </row>
        <row r="967">
          <cell r="D967" t="str">
            <v>AR106NZ270 - Mantenimiento de Ductos</v>
          </cell>
        </row>
        <row r="968">
          <cell r="D968" t="str">
            <v>AR10BNZ270 - Mantenimiento de Ductos</v>
          </cell>
        </row>
        <row r="969">
          <cell r="D969" t="str">
            <v>AR40LE1270 - Mantenimiento de Ductos</v>
          </cell>
        </row>
        <row r="970">
          <cell r="D970" t="str">
            <v>AR40LE2270 - Mantenimiento de Ductos</v>
          </cell>
        </row>
        <row r="971">
          <cell r="D971" t="str">
            <v>AR10AE1270 - Mantenimiento de Ductos</v>
          </cell>
        </row>
        <row r="972">
          <cell r="D972" t="str">
            <v>AR10AE2270 - Mantenimiento de Ductos</v>
          </cell>
        </row>
        <row r="973">
          <cell r="D973" t="str">
            <v>AR10AE3270 - Mantenimiento de Ductos</v>
          </cell>
        </row>
        <row r="974">
          <cell r="D974" t="str">
            <v>AR10AE4270 - Mantenimiento de Ductos</v>
          </cell>
        </row>
        <row r="975">
          <cell r="D975" t="str">
            <v>AR10AE6270 - Mantenimiento de Ductos</v>
          </cell>
        </row>
        <row r="976">
          <cell r="D976" t="str">
            <v>AR10AE7270 - Mantenimiento de Ductos</v>
          </cell>
        </row>
        <row r="977">
          <cell r="D977" t="str">
            <v>AR10AE5270 - Mantenimiento de Ductos</v>
          </cell>
        </row>
        <row r="978">
          <cell r="D978" t="str">
            <v>AR10FEZ270 - Mantenimiento de Ductos</v>
          </cell>
        </row>
        <row r="979">
          <cell r="D979" t="str">
            <v>AR11CNZ270 - Mantenimiento de Ductos</v>
          </cell>
        </row>
        <row r="980">
          <cell r="D980" t="str">
            <v>AR40LA1270 - Mantenimiento de Ductos</v>
          </cell>
        </row>
        <row r="981">
          <cell r="D981" t="str">
            <v>AR40LA2270 - Mantenimiento de Ductos</v>
          </cell>
        </row>
        <row r="982">
          <cell r="D982" t="str">
            <v>AR41AC1270 - Mantenimiento de Ductos</v>
          </cell>
        </row>
        <row r="983">
          <cell r="D983" t="str">
            <v>AR41AC2270 - Mantenimiento de Ductos</v>
          </cell>
        </row>
        <row r="984">
          <cell r="D984" t="str">
            <v>AR41AC3270 - Mantenimiento de Ductos</v>
          </cell>
        </row>
        <row r="985">
          <cell r="D985" t="str">
            <v>AR41AC4270 - Mantenimiento de Ductos</v>
          </cell>
        </row>
        <row r="986">
          <cell r="D986" t="str">
            <v>AR41AC6270 - Mantenimiento de Ductos</v>
          </cell>
        </row>
        <row r="987">
          <cell r="D987" t="str">
            <v>AR41AC7270 - Mantenimiento de Ductos</v>
          </cell>
        </row>
        <row r="988">
          <cell r="D988" t="str">
            <v>AR41AC5270 - Mantenimiento de Ductos</v>
          </cell>
        </row>
        <row r="989">
          <cell r="D989" t="str">
            <v>AR42AFZ270 - Mantenimiento de Ductos</v>
          </cell>
        </row>
        <row r="990">
          <cell r="D990" t="str">
            <v>BO11CIZ270 - Mantenimiento de Ductos</v>
          </cell>
        </row>
        <row r="991">
          <cell r="D991" t="str">
            <v>BO11CNZ270 - Mantenimiento de Ductos</v>
          </cell>
        </row>
        <row r="992">
          <cell r="D992" t="str">
            <v>CL10CH1270 - Mantenimiento de Ductos</v>
          </cell>
        </row>
        <row r="993">
          <cell r="D993" t="str">
            <v>CL10CC1270 - Mantenimiento de Ductos</v>
          </cell>
        </row>
        <row r="994">
          <cell r="D994" t="str">
            <v>CL10CB1270 - Mantenimiento de Ductos</v>
          </cell>
        </row>
        <row r="995">
          <cell r="D995" t="str">
            <v>AR10CD1280 - Mantenimiento de Otras plantas</v>
          </cell>
        </row>
        <row r="996">
          <cell r="D996" t="str">
            <v>AR10CD2280 - Mantenimiento de Otras plantas</v>
          </cell>
        </row>
        <row r="997">
          <cell r="D997" t="str">
            <v>AR10CD3280 - Mantenimiento de Otras plantas</v>
          </cell>
        </row>
        <row r="998">
          <cell r="D998" t="str">
            <v>AR10CD5280 - Mantenimiento de Otras plantas</v>
          </cell>
        </row>
        <row r="999">
          <cell r="D999" t="str">
            <v>AR10CD7280 - Mantenimiento de Otras plantas</v>
          </cell>
        </row>
        <row r="1000">
          <cell r="D1000" t="str">
            <v>AR10CD8280 - Mantenimiento de Otras plantas</v>
          </cell>
        </row>
        <row r="1001">
          <cell r="D1001" t="str">
            <v>AR10CD9280 - Mantenimiento de Otras plantas</v>
          </cell>
        </row>
        <row r="1002">
          <cell r="D1002" t="str">
            <v>AR10CDP280 - Mantenimiento de Otras plantas</v>
          </cell>
        </row>
        <row r="1003">
          <cell r="D1003" t="str">
            <v>AR10CK4280 - Mantenimiento de Otras plantas</v>
          </cell>
        </row>
        <row r="1004">
          <cell r="D1004" t="str">
            <v>AR10ANZ280 - Mantenimiento de Otras plantas</v>
          </cell>
        </row>
        <row r="1005">
          <cell r="D1005" t="str">
            <v>AR10SNZ280 - Mantenimiento de Otras plantas</v>
          </cell>
        </row>
        <row r="1006">
          <cell r="D1006" t="str">
            <v>AR104NZ280 - Mantenimiento de Otras plantas</v>
          </cell>
        </row>
        <row r="1007">
          <cell r="D1007" t="str">
            <v>AR106NZ280 - Mantenimiento de Otras plantas</v>
          </cell>
        </row>
        <row r="1008">
          <cell r="D1008" t="str">
            <v>AR10BNZ280 - Mantenimiento de Otras plantas</v>
          </cell>
        </row>
        <row r="1009">
          <cell r="D1009" t="str">
            <v>AR40LE1280 - Mantenimiento de Otras plantas</v>
          </cell>
        </row>
        <row r="1010">
          <cell r="D1010" t="str">
            <v>AR40LE2280 - Mantenimiento de Otras plantas</v>
          </cell>
        </row>
        <row r="1011">
          <cell r="D1011" t="str">
            <v>AR10AE1280 - Mantenimiento de Otras plantas</v>
          </cell>
        </row>
        <row r="1012">
          <cell r="D1012" t="str">
            <v>AR10AE2280 - Mantenimiento de Otras plantas</v>
          </cell>
        </row>
        <row r="1013">
          <cell r="D1013" t="str">
            <v>AR10AE3280 - Mantenimiento de Otras plantas</v>
          </cell>
        </row>
        <row r="1014">
          <cell r="D1014" t="str">
            <v>AR10AE4280 - Mantenimiento de Otras plantas</v>
          </cell>
        </row>
        <row r="1015">
          <cell r="D1015" t="str">
            <v>AR10AE6280 - Mantenimiento de Otras plantas</v>
          </cell>
        </row>
        <row r="1016">
          <cell r="D1016" t="str">
            <v>AR10AE7280 - Mantenimiento de Otras plantas</v>
          </cell>
        </row>
        <row r="1017">
          <cell r="D1017" t="str">
            <v>AR10AE5280 - Mantenimiento de Otras plantas</v>
          </cell>
        </row>
        <row r="1018">
          <cell r="D1018" t="str">
            <v>AR10FEZ280 - Mantenimiento de Otras plantas</v>
          </cell>
        </row>
        <row r="1019">
          <cell r="D1019" t="str">
            <v>AR11CNZ280 - Mantenimiento de Otras plantas</v>
          </cell>
        </row>
        <row r="1020">
          <cell r="D1020" t="str">
            <v>AR40LA1280 - Mantenimiento de Otras plantas</v>
          </cell>
        </row>
        <row r="1021">
          <cell r="D1021" t="str">
            <v>AR40LA2280 - Mantenimiento de Otras plantas</v>
          </cell>
        </row>
        <row r="1022">
          <cell r="D1022" t="str">
            <v>AR41AC1280 - Mantenimiento de Otras plantas</v>
          </cell>
        </row>
        <row r="1023">
          <cell r="D1023" t="str">
            <v>AR41AC2280 - Mantenimiento de Otras plantas</v>
          </cell>
        </row>
        <row r="1024">
          <cell r="D1024" t="str">
            <v>AR41AC3280 - Mantenimiento de Otras plantas</v>
          </cell>
        </row>
        <row r="1025">
          <cell r="D1025" t="str">
            <v>AR41AC4280 - Mantenimiento de Otras plantas</v>
          </cell>
        </row>
        <row r="1026">
          <cell r="D1026" t="str">
            <v>AR41AC6280 - Mantenimiento de Otras plantas</v>
          </cell>
        </row>
        <row r="1027">
          <cell r="D1027" t="str">
            <v>AR41AC7280 - Mantenimiento de Otras plantas</v>
          </cell>
        </row>
        <row r="1028">
          <cell r="D1028" t="str">
            <v>AR41AC5280 - Mantenimiento de Otras plantas</v>
          </cell>
        </row>
        <row r="1029">
          <cell r="D1029" t="str">
            <v>AR42AFZ280 - Mantenimiento de Otras plantas</v>
          </cell>
        </row>
        <row r="1030">
          <cell r="D1030" t="str">
            <v>BO11CIZ280 - Mantenimiento de Otras plantas</v>
          </cell>
        </row>
        <row r="1031">
          <cell r="D1031" t="str">
            <v>BO11CNZ280 - Mantenimiento de Otras plantas</v>
          </cell>
        </row>
        <row r="1032">
          <cell r="D1032" t="str">
            <v>CL10CH1280 - Mantenimiento de Otras plantas</v>
          </cell>
        </row>
        <row r="1033">
          <cell r="D1033" t="str">
            <v>CL10CC1280 - Mantenimiento de Otras plantas</v>
          </cell>
        </row>
        <row r="1034">
          <cell r="D1034" t="str">
            <v>CL10CB1280 - Mantenimiento de Otras plantas</v>
          </cell>
        </row>
        <row r="1035">
          <cell r="D1035" t="str">
            <v>AR10CD1290 - Mantenimiento Distribución Eléctrica</v>
          </cell>
        </row>
        <row r="1036">
          <cell r="D1036" t="str">
            <v>AR10CD2290 - Mantenimiento Distribución Eléctrica</v>
          </cell>
        </row>
        <row r="1037">
          <cell r="D1037" t="str">
            <v>AR10CD3290 - Mantenimiento Distribución Eléctrica</v>
          </cell>
        </row>
        <row r="1038">
          <cell r="D1038" t="str">
            <v>AR10CD5290 - Mantenimiento Distribución Eléctrica</v>
          </cell>
        </row>
        <row r="1039">
          <cell r="D1039" t="str">
            <v>AR10CD7290 - Mantenimiento Distribución Eléctrica</v>
          </cell>
        </row>
        <row r="1040">
          <cell r="D1040" t="str">
            <v>AR10CD8290 - Mantenimiento Distribución Eléctrica</v>
          </cell>
        </row>
        <row r="1041">
          <cell r="D1041" t="str">
            <v>AR10CD9290 - Mantenimiento Distribución Eléctrica</v>
          </cell>
        </row>
        <row r="1042">
          <cell r="D1042" t="str">
            <v>AR10CDE290 - Mantenimiento Distribución Eléctrica</v>
          </cell>
        </row>
        <row r="1043">
          <cell r="D1043" t="str">
            <v>AR10CK4290 - Mantenimiento Distribución Eléctrica</v>
          </cell>
        </row>
        <row r="1044">
          <cell r="D1044" t="str">
            <v>AR10ANZ290 - Mantenimiento Distribución Eléctrica</v>
          </cell>
        </row>
        <row r="1045">
          <cell r="D1045" t="str">
            <v>AR10SNZ290 - Mantenimiento Distribución Eléctrica</v>
          </cell>
        </row>
        <row r="1046">
          <cell r="D1046" t="str">
            <v>AR104NZ290 - Mantenimiento Distribución Eléctrica</v>
          </cell>
        </row>
        <row r="1047">
          <cell r="D1047" t="str">
            <v>AR106NZ290 - Mantenimiento Distribución Eléctrica</v>
          </cell>
        </row>
        <row r="1048">
          <cell r="D1048" t="str">
            <v>AR10BNZ290 - Mantenimiento Distribución Eléctrica</v>
          </cell>
        </row>
        <row r="1049">
          <cell r="D1049" t="str">
            <v>AR40LE1290 - Mantenimiento Distribución Eléctrica</v>
          </cell>
        </row>
        <row r="1050">
          <cell r="D1050" t="str">
            <v>AR40LE2290 - Mantenimiento Distribución Eléctrica</v>
          </cell>
        </row>
        <row r="1051">
          <cell r="D1051" t="str">
            <v>AR10AE1290 - Mantenimiento Distribución Eléctrica</v>
          </cell>
        </row>
        <row r="1052">
          <cell r="D1052" t="str">
            <v>AR10AE2290 - Mantenimiento Distribución Eléctrica</v>
          </cell>
        </row>
        <row r="1053">
          <cell r="D1053" t="str">
            <v>AR10AE3290 - Mantenimiento Distribución Eléctrica</v>
          </cell>
        </row>
        <row r="1054">
          <cell r="D1054" t="str">
            <v>AR10AE4290 - Mantenimiento Distribución Eléctrica</v>
          </cell>
        </row>
        <row r="1055">
          <cell r="D1055" t="str">
            <v>AR10AE6290 - Mantenimiento Distribución Eléctrica</v>
          </cell>
        </row>
        <row r="1056">
          <cell r="D1056" t="str">
            <v>AR10AE7290 - Mantenimiento Distribución Eléctrica</v>
          </cell>
        </row>
        <row r="1057">
          <cell r="D1057" t="str">
            <v>AR10AE5290 - Mantenimiento Distribución Eléctrica</v>
          </cell>
        </row>
        <row r="1058">
          <cell r="D1058" t="str">
            <v>AR10FEZ290 - Mantenimiento Distribución Eléctrica</v>
          </cell>
        </row>
        <row r="1059">
          <cell r="D1059" t="str">
            <v>AR11CNZ290 - Mantenimiento Distribución Eléctrica</v>
          </cell>
        </row>
        <row r="1060">
          <cell r="D1060" t="str">
            <v>AR40LA1290 - Mantenimiento Distribución Eléctrica</v>
          </cell>
        </row>
        <row r="1061">
          <cell r="D1061" t="str">
            <v>AR40LA2290 - Mantenimiento Distribución Eléctrica</v>
          </cell>
        </row>
        <row r="1062">
          <cell r="D1062" t="str">
            <v>AR41AC1290 - Mantenimiento Distribución Eléctrica</v>
          </cell>
        </row>
        <row r="1063">
          <cell r="D1063" t="str">
            <v>AR41AC2290 - Mantenimiento Distribución Eléctrica</v>
          </cell>
        </row>
        <row r="1064">
          <cell r="D1064" t="str">
            <v>AR41AC3290 - Mantenimiento Distribución Eléctrica</v>
          </cell>
        </row>
        <row r="1065">
          <cell r="D1065" t="str">
            <v>AR41AC4290 - Mantenimiento Distribución Eléctrica</v>
          </cell>
        </row>
        <row r="1066">
          <cell r="D1066" t="str">
            <v>AR41AC6290 - Mantenimiento Distribución Eléctrica</v>
          </cell>
        </row>
        <row r="1067">
          <cell r="D1067" t="str">
            <v>AR41AC7290 - Mantenimiento Distribución Eléctrica</v>
          </cell>
        </row>
        <row r="1068">
          <cell r="D1068" t="str">
            <v>AR41AC5290 - Mantenimiento Distribución Eléctrica</v>
          </cell>
        </row>
        <row r="1069">
          <cell r="D1069" t="str">
            <v>AR42AFZ290 - Mantenimiento Distribución Eléctrica</v>
          </cell>
        </row>
        <row r="1070">
          <cell r="D1070" t="str">
            <v>BO11CIZ290 - Mantenimiento Distribución Eléctrica</v>
          </cell>
        </row>
        <row r="1071">
          <cell r="D1071" t="str">
            <v>BO11CNZ290 - Mantenimiento Distribución Eléctrica</v>
          </cell>
        </row>
        <row r="1072">
          <cell r="D1072" t="str">
            <v>CL10CH1290 - Mantenimiento Distribución Eléctrica</v>
          </cell>
        </row>
        <row r="1073">
          <cell r="D1073" t="str">
            <v>CL10CC1290 - Mantenimiento Distribución Eléctrica</v>
          </cell>
        </row>
        <row r="1074">
          <cell r="D1074" t="str">
            <v>CL10CB1290 - Mantenimiento Distribución Eléctrica</v>
          </cell>
        </row>
        <row r="1075">
          <cell r="D1075" t="str">
            <v>AR10CD1300 - Mantenimiento Generación Eléctrica</v>
          </cell>
        </row>
        <row r="1076">
          <cell r="D1076" t="str">
            <v>AR10CD2300 - Mantenimiento Generación Eléctrica</v>
          </cell>
        </row>
        <row r="1077">
          <cell r="D1077" t="str">
            <v>AR10CD3300 - Mantenimiento Generación Eléctrica</v>
          </cell>
        </row>
        <row r="1078">
          <cell r="D1078" t="str">
            <v>AR10CD5300 - Mantenimiento Generación Eléctrica</v>
          </cell>
        </row>
        <row r="1079">
          <cell r="D1079" t="str">
            <v>AR10CD7300 - Mantenimiento Generación Eléctrica</v>
          </cell>
        </row>
        <row r="1080">
          <cell r="D1080" t="str">
            <v>AR10CD8300 - Mantenimiento Generación Eléctrica</v>
          </cell>
        </row>
        <row r="1081">
          <cell r="D1081" t="str">
            <v>AR10CD9300 - Mantenimiento Generación Eléctrica</v>
          </cell>
        </row>
        <row r="1082">
          <cell r="D1082" t="str">
            <v>AR10CDE300 - Mantenimiento Generación Eléctrica</v>
          </cell>
        </row>
        <row r="1083">
          <cell r="D1083" t="str">
            <v>AR10CK4300 - Mantenimiento Generación Eléctrica</v>
          </cell>
        </row>
        <row r="1084">
          <cell r="D1084" t="str">
            <v>AR10ANZ300 - Mantenimiento Generación Eléctrica</v>
          </cell>
        </row>
        <row r="1085">
          <cell r="D1085" t="str">
            <v>AR10SNZ300 - Mantenimiento Generación Eléctrica</v>
          </cell>
        </row>
        <row r="1086">
          <cell r="D1086" t="str">
            <v>AR104NZ300 - Mantenimiento Generación Eléctrica</v>
          </cell>
        </row>
        <row r="1087">
          <cell r="D1087" t="str">
            <v>AR106NZ300 - Mantenimiento Generación Eléctrica</v>
          </cell>
        </row>
        <row r="1088">
          <cell r="D1088" t="str">
            <v>AR10BNZ300 - Mantenimiento Generación Eléctrica</v>
          </cell>
        </row>
        <row r="1089">
          <cell r="D1089" t="str">
            <v>AR40LE1300 - Mantenimiento Generación Eléctrica</v>
          </cell>
        </row>
        <row r="1090">
          <cell r="D1090" t="str">
            <v>AR40LE2300 - Mantenimiento Generación Eléctrica</v>
          </cell>
        </row>
        <row r="1091">
          <cell r="D1091" t="str">
            <v>AR10AE1300 - Mantenimiento Generación Eléctrica</v>
          </cell>
        </row>
        <row r="1092">
          <cell r="D1092" t="str">
            <v>AR10AE2300 - Mantenimiento Generación Eléctrica</v>
          </cell>
        </row>
        <row r="1093">
          <cell r="D1093" t="str">
            <v>AR10AE3300 - Mantenimiento Generación Eléctrica</v>
          </cell>
        </row>
        <row r="1094">
          <cell r="D1094" t="str">
            <v>AR10AE4300 - Mantenimiento Generación Eléctrica</v>
          </cell>
        </row>
        <row r="1095">
          <cell r="D1095" t="str">
            <v>AR10AE6300 - Mantenimiento Generación Eléctrica</v>
          </cell>
        </row>
        <row r="1096">
          <cell r="D1096" t="str">
            <v>AR10AE7300 - Mantenimiento Generación Eléctrica</v>
          </cell>
        </row>
        <row r="1097">
          <cell r="D1097" t="str">
            <v>AR10AE5300 - Mantenimiento Generación Eléctrica</v>
          </cell>
        </row>
        <row r="1098">
          <cell r="D1098" t="str">
            <v>AR10FEZ300 - Mantenimiento Generación Eléctrica</v>
          </cell>
        </row>
        <row r="1099">
          <cell r="D1099" t="str">
            <v>AR11CNZ300 - Mantenimiento Generación Eléctrica</v>
          </cell>
        </row>
        <row r="1100">
          <cell r="D1100" t="str">
            <v>AR40LA1300 - Mantenimiento Generación Eléctrica</v>
          </cell>
        </row>
        <row r="1101">
          <cell r="D1101" t="str">
            <v>AR40LA2300 - Mantenimiento Generación Eléctrica</v>
          </cell>
        </row>
        <row r="1102">
          <cell r="D1102" t="str">
            <v>AR41AC1300 - Mantenimiento Generación Eléctrica</v>
          </cell>
        </row>
        <row r="1103">
          <cell r="D1103" t="str">
            <v>AR41AC2300 - Mantenimiento Generación Eléctrica</v>
          </cell>
        </row>
        <row r="1104">
          <cell r="D1104" t="str">
            <v>AR41AC3300 - Mantenimiento Generación Eléctrica</v>
          </cell>
        </row>
        <row r="1105">
          <cell r="D1105" t="str">
            <v>AR41AC4300 - Mantenimiento Generación Eléctrica</v>
          </cell>
        </row>
        <row r="1106">
          <cell r="D1106" t="str">
            <v>AR41AC6300 - Mantenimiento Generación Eléctrica</v>
          </cell>
        </row>
        <row r="1107">
          <cell r="D1107" t="str">
            <v>AR41AC7300 - Mantenimiento Generación Eléctrica</v>
          </cell>
        </row>
        <row r="1108">
          <cell r="D1108" t="str">
            <v>AR41AC5300 - Mantenimiento Generación Eléctrica</v>
          </cell>
        </row>
        <row r="1109">
          <cell r="D1109" t="str">
            <v>AR42AFZ300 - Mantenimiento Generación Eléctrica</v>
          </cell>
        </row>
        <row r="1110">
          <cell r="D1110" t="str">
            <v>BO11CIZ300 - Mantenimiento Generación Eléctrica</v>
          </cell>
        </row>
        <row r="1111">
          <cell r="D1111" t="str">
            <v>BO11CNZ300 - Mantenimiento Generación Eléctrica</v>
          </cell>
        </row>
        <row r="1112">
          <cell r="D1112" t="str">
            <v>CL10CH1300 - Mantenimiento Generación Eléctrica</v>
          </cell>
        </row>
        <row r="1113">
          <cell r="D1113" t="str">
            <v>CL10CC1300 - Mantenimiento Generación Eléctrica</v>
          </cell>
        </row>
        <row r="1114">
          <cell r="D1114" t="str">
            <v>CL10CB1300 - Mantenimiento Generación Eléctrica</v>
          </cell>
        </row>
        <row r="1115">
          <cell r="D1115" t="str">
            <v>AR10CD1240 - Mantenimiento PIAS</v>
          </cell>
        </row>
        <row r="1116">
          <cell r="D1116" t="str">
            <v>AR10CD2240 - Mantenimiento PIAS</v>
          </cell>
        </row>
        <row r="1117">
          <cell r="D1117" t="str">
            <v>AR10CD3240 - Mantenimiento PIAS</v>
          </cell>
        </row>
        <row r="1118">
          <cell r="D1118" t="str">
            <v>AR10CD5240 - Mantenimiento PIAS</v>
          </cell>
        </row>
        <row r="1119">
          <cell r="D1119" t="str">
            <v>AR10CD7240 - Mantenimiento PIAS</v>
          </cell>
        </row>
        <row r="1120">
          <cell r="D1120" t="str">
            <v>AR10CD8240 - Mantenimiento PIAS</v>
          </cell>
        </row>
        <row r="1121">
          <cell r="D1121" t="str">
            <v>AR10CD9240 - Mantenimiento PIAS</v>
          </cell>
        </row>
        <row r="1122">
          <cell r="D1122" t="str">
            <v>AR10CK4240 - Mantenimiento PIAS</v>
          </cell>
        </row>
        <row r="1123">
          <cell r="D1123" t="str">
            <v>AR10ANZ240 - Mantenimiento PIAS</v>
          </cell>
        </row>
        <row r="1124">
          <cell r="D1124" t="str">
            <v>AR10SNZ240 - Mantenimiento PIAS</v>
          </cell>
        </row>
        <row r="1125">
          <cell r="D1125" t="str">
            <v>AR104NZ240 - Mantenimiento PIAS</v>
          </cell>
        </row>
        <row r="1126">
          <cell r="D1126" t="str">
            <v>AR106NZ240 - Mantenimiento PIAS</v>
          </cell>
        </row>
        <row r="1127">
          <cell r="D1127" t="str">
            <v>AR10BNZ240 - Mantenimiento PIAS</v>
          </cell>
        </row>
        <row r="1128">
          <cell r="D1128" t="str">
            <v>AR40LE1240 - Mantenimiento PIAS</v>
          </cell>
        </row>
        <row r="1129">
          <cell r="D1129" t="str">
            <v>AR40LE2240 - Mantenimiento PIAS</v>
          </cell>
        </row>
        <row r="1130">
          <cell r="D1130" t="str">
            <v>AR10AE1240 - Mantenimiento PIAS</v>
          </cell>
        </row>
        <row r="1131">
          <cell r="D1131" t="str">
            <v>AR10AE2240 - Mantenimiento PIAS</v>
          </cell>
        </row>
        <row r="1132">
          <cell r="D1132" t="str">
            <v>AR10AE3240 - Mantenimiento PIAS</v>
          </cell>
        </row>
        <row r="1133">
          <cell r="D1133" t="str">
            <v>AR10AE4240 - Mantenimiento PIAS</v>
          </cell>
        </row>
        <row r="1134">
          <cell r="D1134" t="str">
            <v>AR10AE6240 - Mantenimiento PIAS</v>
          </cell>
        </row>
        <row r="1135">
          <cell r="D1135" t="str">
            <v>AR10AE7240 - Mantenimiento PIAS</v>
          </cell>
        </row>
        <row r="1136">
          <cell r="D1136" t="str">
            <v>AR10AE5240 - Mantenimiento PIAS</v>
          </cell>
        </row>
        <row r="1137">
          <cell r="D1137" t="str">
            <v>AR10FEZ240 - Mantenimiento PIAS</v>
          </cell>
        </row>
        <row r="1138">
          <cell r="D1138" t="str">
            <v>AR11CNZ240 - Mantenimiento PIAS</v>
          </cell>
        </row>
        <row r="1139">
          <cell r="D1139" t="str">
            <v>AR40LA1240 - Mantenimiento PIAS</v>
          </cell>
        </row>
        <row r="1140">
          <cell r="D1140" t="str">
            <v>AR40LA2240 - Mantenimiento PIAS</v>
          </cell>
        </row>
        <row r="1141">
          <cell r="D1141" t="str">
            <v>AR41AC1240 - Mantenimiento PIAS</v>
          </cell>
        </row>
        <row r="1142">
          <cell r="D1142" t="str">
            <v>AR41AC2240 - Mantenimiento PIAS</v>
          </cell>
        </row>
        <row r="1143">
          <cell r="D1143" t="str">
            <v>AR41AC3240 - Mantenimiento PIAS</v>
          </cell>
        </row>
        <row r="1144">
          <cell r="D1144" t="str">
            <v>AR41AC4240 - Mantenimiento PIAS</v>
          </cell>
        </row>
        <row r="1145">
          <cell r="D1145" t="str">
            <v>AR41AC6240 - Mantenimiento PIAS</v>
          </cell>
        </row>
        <row r="1146">
          <cell r="D1146" t="str">
            <v>AR41AC7240 - Mantenimiento PIAS</v>
          </cell>
        </row>
        <row r="1147">
          <cell r="D1147" t="str">
            <v>AR41AC5240 - Mantenimiento PIAS</v>
          </cell>
        </row>
        <row r="1148">
          <cell r="D1148" t="str">
            <v>AR42AFZ240 - Mantenimiento PIAS</v>
          </cell>
        </row>
        <row r="1149">
          <cell r="D1149" t="str">
            <v>BO11CIZ240 - Mantenimiento PIAS</v>
          </cell>
        </row>
        <row r="1150">
          <cell r="D1150" t="str">
            <v>BO11CNZ240 - Mantenimiento PIAS</v>
          </cell>
        </row>
        <row r="1151">
          <cell r="D1151" t="str">
            <v>CL10CH1240 - Mantenimiento PIAS</v>
          </cell>
        </row>
        <row r="1152">
          <cell r="D1152" t="str">
            <v>CL10CC1240 - Mantenimiento PIAS</v>
          </cell>
        </row>
        <row r="1153">
          <cell r="D1153" t="str">
            <v>CL10CB1240 - Mantenimiento PIAS</v>
          </cell>
        </row>
        <row r="1154">
          <cell r="D1154" t="str">
            <v>AR10CD1250 - Mantenimiento Plantas Compresión</v>
          </cell>
        </row>
        <row r="1155">
          <cell r="D1155" t="str">
            <v>AR10CD2250 - Mantenimiento Plantas Compresión</v>
          </cell>
        </row>
        <row r="1156">
          <cell r="D1156" t="str">
            <v>AR10CD3250 - Mantenimiento Plantas Compresión</v>
          </cell>
        </row>
        <row r="1157">
          <cell r="D1157" t="str">
            <v>AR10CD5250 - Mantenimiento Plantas Compresión</v>
          </cell>
        </row>
        <row r="1158">
          <cell r="D1158" t="str">
            <v>AR10CD7250 - Mantenimiento Plantas Compresión</v>
          </cell>
        </row>
        <row r="1159">
          <cell r="D1159" t="str">
            <v>AR10CD8250 - Mantenimiento Plantas Compresión</v>
          </cell>
        </row>
        <row r="1160">
          <cell r="D1160" t="str">
            <v>AR10CD9250 - Mantenimiento Plantas Compresión</v>
          </cell>
        </row>
        <row r="1161">
          <cell r="D1161" t="str">
            <v>AR10CDP250 - Mantenimiento Plantas Compresión</v>
          </cell>
        </row>
        <row r="1162">
          <cell r="D1162" t="str">
            <v>AR10CK4250 - Mantenimiento Plantas Compresión</v>
          </cell>
        </row>
        <row r="1163">
          <cell r="D1163" t="str">
            <v>AR10ANZ250 - Mantenimiento Plantas Compresión</v>
          </cell>
        </row>
        <row r="1164">
          <cell r="D1164" t="str">
            <v>AR10SNZ250 - Mantenimiento Plantas Compresión</v>
          </cell>
        </row>
        <row r="1165">
          <cell r="D1165" t="str">
            <v>AR104NZ250 - Mantenimiento Plantas Compresión</v>
          </cell>
        </row>
        <row r="1166">
          <cell r="D1166" t="str">
            <v>AR106NZ250 - Mantenimiento Plantas Compresión</v>
          </cell>
        </row>
        <row r="1167">
          <cell r="D1167" t="str">
            <v>AR10BNZ250 - Mantenimiento Plantas Compresión</v>
          </cell>
        </row>
        <row r="1168">
          <cell r="D1168" t="str">
            <v>AR40LE1250 - Mantenimiento Plantas Compresión</v>
          </cell>
        </row>
        <row r="1169">
          <cell r="D1169" t="str">
            <v>AR40LE2250 - Mantenimiento Plantas Compresión</v>
          </cell>
        </row>
        <row r="1170">
          <cell r="D1170" t="str">
            <v>AR10AE1250 - Mantenimiento Plantas Compresión</v>
          </cell>
        </row>
        <row r="1171">
          <cell r="D1171" t="str">
            <v>AR10AE2250 - Mantenimiento Plantas Compresión</v>
          </cell>
        </row>
        <row r="1172">
          <cell r="D1172" t="str">
            <v>AR10AE3250 - Mantenimiento Plantas Compresión</v>
          </cell>
        </row>
        <row r="1173">
          <cell r="D1173" t="str">
            <v>AR10AE4250 - Mantenimiento Plantas Compresión</v>
          </cell>
        </row>
        <row r="1174">
          <cell r="D1174" t="str">
            <v>AR10AE6250 - Mantenimiento Plantas Compresión</v>
          </cell>
        </row>
        <row r="1175">
          <cell r="D1175" t="str">
            <v>AR10AE7250 - Mantenimiento Plantas Compresión</v>
          </cell>
        </row>
        <row r="1176">
          <cell r="D1176" t="str">
            <v>AR10AE5250 - Mantenimiento Plantas Compresión</v>
          </cell>
        </row>
        <row r="1177">
          <cell r="D1177" t="str">
            <v>AR10FEZ250 - Mantenimiento Plantas Compresión</v>
          </cell>
        </row>
        <row r="1178">
          <cell r="D1178" t="str">
            <v>AR11CNZ250 - Mantenimiento Plantas Compresión</v>
          </cell>
        </row>
        <row r="1179">
          <cell r="D1179" t="str">
            <v>AR40LA1250 - Mantenimiento Plantas Compresión</v>
          </cell>
        </row>
        <row r="1180">
          <cell r="D1180" t="str">
            <v>AR40LA2250 - Mantenimiento Plantas Compresión</v>
          </cell>
        </row>
        <row r="1181">
          <cell r="D1181" t="str">
            <v>AR41AC1250 - Mantenimiento Plantas Compresión</v>
          </cell>
        </row>
        <row r="1182">
          <cell r="D1182" t="str">
            <v>AR41AC2250 - Mantenimiento Plantas Compresión</v>
          </cell>
        </row>
        <row r="1183">
          <cell r="D1183" t="str">
            <v>AR41AC3250 - Mantenimiento Plantas Compresión</v>
          </cell>
        </row>
        <row r="1184">
          <cell r="D1184" t="str">
            <v>AR41AC4250 - Mantenimiento Plantas Compresión</v>
          </cell>
        </row>
        <row r="1185">
          <cell r="D1185" t="str">
            <v>AR41AC6250 - Mantenimiento Plantas Compresión</v>
          </cell>
        </row>
        <row r="1186">
          <cell r="D1186" t="str">
            <v>AR41AC7250 - Mantenimiento Plantas Compresión</v>
          </cell>
        </row>
        <row r="1187">
          <cell r="D1187" t="str">
            <v>AR41AC5250 - Mantenimiento Plantas Compresión</v>
          </cell>
        </row>
        <row r="1188">
          <cell r="D1188" t="str">
            <v>AR42AFZ250 - Mantenimiento Plantas Compresión</v>
          </cell>
        </row>
        <row r="1189">
          <cell r="D1189" t="str">
            <v>BO11CIZ250 - Mantenimiento Plantas Compresión</v>
          </cell>
        </row>
        <row r="1190">
          <cell r="D1190" t="str">
            <v>BO11CNZ250 - Mantenimiento Plantas Compresión</v>
          </cell>
        </row>
        <row r="1191">
          <cell r="D1191" t="str">
            <v>CL10CH1250 - Mantenimiento Plantas Compresión</v>
          </cell>
        </row>
        <row r="1192">
          <cell r="D1192" t="str">
            <v>CL10CC1250 - Mantenimiento Plantas Compresión</v>
          </cell>
        </row>
        <row r="1193">
          <cell r="D1193" t="str">
            <v>CL10CB1250 - Mantenimiento Plantas Compresión</v>
          </cell>
        </row>
        <row r="1194">
          <cell r="D1194" t="str">
            <v>AR10CD1230 - Mantenimiento Plantas Tratamiento</v>
          </cell>
        </row>
        <row r="1195">
          <cell r="D1195" t="str">
            <v>AR10CD2230 - Mantenimiento Plantas Tratamiento</v>
          </cell>
        </row>
        <row r="1196">
          <cell r="D1196" t="str">
            <v>AR10CD3230 - Mantenimiento Plantas Tratamiento</v>
          </cell>
        </row>
        <row r="1197">
          <cell r="D1197" t="str">
            <v>AR10CD5230 - Mantenimiento Plantas Tratamiento</v>
          </cell>
        </row>
        <row r="1198">
          <cell r="D1198" t="str">
            <v>AR10CD7230 - Mantenimiento Plantas Tratamiento</v>
          </cell>
        </row>
        <row r="1199">
          <cell r="D1199" t="str">
            <v>AR10CD8230 - Mantenimiento Plantas Tratamiento</v>
          </cell>
        </row>
        <row r="1200">
          <cell r="D1200" t="str">
            <v>AR10CD9230 - Mantenimiento Plantas Tratamiento</v>
          </cell>
        </row>
        <row r="1201">
          <cell r="D1201" t="str">
            <v>AR10CDP230 - Mantenimiento Plantas Tratamiento</v>
          </cell>
        </row>
        <row r="1202">
          <cell r="D1202" t="str">
            <v>AR10CK4230 - Mantenimiento Plantas Tratamiento</v>
          </cell>
        </row>
        <row r="1203">
          <cell r="D1203" t="str">
            <v>AR10ANZ230 - Mantenimiento Plantas Tratamiento</v>
          </cell>
        </row>
        <row r="1204">
          <cell r="D1204" t="str">
            <v>AR10SNZ230 - Mantenimiento Plantas Tratamiento</v>
          </cell>
        </row>
        <row r="1205">
          <cell r="D1205" t="str">
            <v>AR104NZ230 - Mantenimiento Plantas Tratamiento</v>
          </cell>
        </row>
        <row r="1206">
          <cell r="D1206" t="str">
            <v>AR106NZ230 - Mantenimiento Plantas Tratamiento</v>
          </cell>
        </row>
        <row r="1207">
          <cell r="D1207" t="str">
            <v>AR10BNZ230 - Mantenimiento Plantas Tratamiento</v>
          </cell>
        </row>
        <row r="1208">
          <cell r="D1208" t="str">
            <v>AR40LE1230 - Mantenimiento Plantas Tratamiento</v>
          </cell>
        </row>
        <row r="1209">
          <cell r="D1209" t="str">
            <v>AR40LE2230 - Mantenimiento Plantas Tratamiento</v>
          </cell>
        </row>
        <row r="1210">
          <cell r="D1210" t="str">
            <v>AR10AE1230 - Mantenimiento Plantas Tratamiento</v>
          </cell>
        </row>
        <row r="1211">
          <cell r="D1211" t="str">
            <v>AR10AE2230 - Mantenimiento Plantas Tratamiento</v>
          </cell>
        </row>
        <row r="1212">
          <cell r="D1212" t="str">
            <v>AR10AE3230 - Mantenimiento Plantas Tratamiento</v>
          </cell>
        </row>
        <row r="1213">
          <cell r="D1213" t="str">
            <v>AR10AE4230 - Mantenimiento Plantas Tratamiento</v>
          </cell>
        </row>
        <row r="1214">
          <cell r="D1214" t="str">
            <v>AR10AE6230 - Mantenimiento Plantas Tratamiento</v>
          </cell>
        </row>
        <row r="1215">
          <cell r="D1215" t="str">
            <v>AR10AE7230 - Mantenimiento Plantas Tratamiento</v>
          </cell>
        </row>
        <row r="1216">
          <cell r="D1216" t="str">
            <v>AR10AE5230 - Mantenimiento Plantas Tratamiento</v>
          </cell>
        </row>
        <row r="1217">
          <cell r="D1217" t="str">
            <v>AR10FEZ230 - Mantenimiento Plantas Tratamiento</v>
          </cell>
        </row>
        <row r="1218">
          <cell r="D1218" t="str">
            <v>AR11CNZ230 - Mantenimiento Plantas Tratamiento</v>
          </cell>
        </row>
        <row r="1219">
          <cell r="D1219" t="str">
            <v>AR40LA1230 - Mantenimiento Plantas Tratamiento</v>
          </cell>
        </row>
        <row r="1220">
          <cell r="D1220" t="str">
            <v>AR40LA2230 - Mantenimiento Plantas Tratamiento</v>
          </cell>
        </row>
        <row r="1221">
          <cell r="D1221" t="str">
            <v>AR41AC1230 - Mantenimiento Plantas Tratamiento</v>
          </cell>
        </row>
        <row r="1222">
          <cell r="D1222" t="str">
            <v>AR41AC2230 - Mantenimiento Plantas Tratamiento</v>
          </cell>
        </row>
        <row r="1223">
          <cell r="D1223" t="str">
            <v>AR41AC3230 - Mantenimiento Plantas Tratamiento</v>
          </cell>
        </row>
        <row r="1224">
          <cell r="D1224" t="str">
            <v>AR41AC4230 - Mantenimiento Plantas Tratamiento</v>
          </cell>
        </row>
        <row r="1225">
          <cell r="D1225" t="str">
            <v>AR41AC6230 - Mantenimiento Plantas Tratamiento</v>
          </cell>
        </row>
        <row r="1226">
          <cell r="D1226" t="str">
            <v>AR41AC7230 - Mantenimiento Plantas Tratamiento</v>
          </cell>
        </row>
        <row r="1227">
          <cell r="D1227" t="str">
            <v>AR41AC5230 - Mantenimiento Plantas Tratamiento</v>
          </cell>
        </row>
        <row r="1228">
          <cell r="D1228" t="str">
            <v>AR42AFZ230 - Mantenimiento Plantas Tratamiento</v>
          </cell>
        </row>
        <row r="1229">
          <cell r="D1229" t="str">
            <v>BO11CIZ230 - Mantenimiento Plantas Tratamiento</v>
          </cell>
        </row>
        <row r="1230">
          <cell r="D1230" t="str">
            <v>BO11CNZ230 - Mantenimiento Plantas Tratamiento</v>
          </cell>
        </row>
        <row r="1231">
          <cell r="D1231" t="str">
            <v>CL10CH1230 - Mantenimiento Plantas Tratamiento</v>
          </cell>
        </row>
        <row r="1232">
          <cell r="D1232" t="str">
            <v>CL10CC1230 - Mantenimiento Plantas Tratamiento</v>
          </cell>
        </row>
        <row r="1233">
          <cell r="D1233" t="str">
            <v>CL10CB1230 - Mantenimiento Plantas Tratamiento</v>
          </cell>
        </row>
        <row r="1234">
          <cell r="D1234" t="str">
            <v>AR10CD1260 - Mantenimiento Vehiculos</v>
          </cell>
        </row>
        <row r="1235">
          <cell r="D1235" t="str">
            <v>AR10CD2260 - Mantenimiento Vehiculos</v>
          </cell>
        </row>
        <row r="1236">
          <cell r="D1236" t="str">
            <v>AR10CD3260 - Mantenimiento Vehiculos</v>
          </cell>
        </row>
        <row r="1237">
          <cell r="D1237" t="str">
            <v>AR10CD5260 - Mantenimiento Vehiculos</v>
          </cell>
        </row>
        <row r="1238">
          <cell r="D1238" t="str">
            <v>AR10CD7260 - Mantenimiento Vehiculos</v>
          </cell>
        </row>
        <row r="1239">
          <cell r="D1239" t="str">
            <v>AR10CD8260 - Mantenimiento Vehiculos</v>
          </cell>
        </row>
        <row r="1240">
          <cell r="D1240" t="str">
            <v>AR10CD9260 - Mantenimiento Vehiculos</v>
          </cell>
        </row>
        <row r="1241">
          <cell r="D1241" t="str">
            <v>AR10CDP260 - Mantenimiento Vehiculos</v>
          </cell>
        </row>
        <row r="1242">
          <cell r="D1242" t="str">
            <v>AR10CK4260 - Mantenimiento Vehiculos</v>
          </cell>
        </row>
        <row r="1243">
          <cell r="D1243" t="str">
            <v>AR10ANZ260 - Mantenimiento Vehiculos</v>
          </cell>
        </row>
        <row r="1244">
          <cell r="D1244" t="str">
            <v>AR10SNZ260 - Mantenimiento Vehiculos</v>
          </cell>
        </row>
        <row r="1245">
          <cell r="D1245" t="str">
            <v>AR104NZ260 - Mantenimiento Vehiculos</v>
          </cell>
        </row>
        <row r="1246">
          <cell r="D1246" t="str">
            <v>AR106NZ260 - Mantenimiento Vehiculos</v>
          </cell>
        </row>
        <row r="1247">
          <cell r="D1247" t="str">
            <v>AR10BNZ260 - Mantenimiento Vehiculos</v>
          </cell>
        </row>
        <row r="1248">
          <cell r="D1248" t="str">
            <v>AR40LE1260 - Mantenimiento Vehiculos</v>
          </cell>
        </row>
        <row r="1249">
          <cell r="D1249" t="str">
            <v>AR40LE2260 - Mantenimiento Vehiculos</v>
          </cell>
        </row>
        <row r="1250">
          <cell r="D1250" t="str">
            <v>AR10AE1260 - Mantenimiento Vehiculos</v>
          </cell>
        </row>
        <row r="1251">
          <cell r="D1251" t="str">
            <v>AR10AE2260 - Mantenimiento Vehiculos</v>
          </cell>
        </row>
        <row r="1252">
          <cell r="D1252" t="str">
            <v>AR10AE3260 - Mantenimiento Vehiculos</v>
          </cell>
        </row>
        <row r="1253">
          <cell r="D1253" t="str">
            <v>AR10AE4260 - Mantenimiento Vehiculos</v>
          </cell>
        </row>
        <row r="1254">
          <cell r="D1254" t="str">
            <v>AR10AE6260 - Mantenimiento Vehiculos</v>
          </cell>
        </row>
        <row r="1255">
          <cell r="D1255" t="str">
            <v>AR10AE7260 - Mantenimiento Vehiculos</v>
          </cell>
        </row>
        <row r="1256">
          <cell r="D1256" t="str">
            <v>AR10AE5260 - Mantenimiento Vehiculos</v>
          </cell>
        </row>
        <row r="1257">
          <cell r="D1257" t="str">
            <v>AR10FEZ260 - Mantenimiento Vehiculos</v>
          </cell>
        </row>
        <row r="1258">
          <cell r="D1258" t="str">
            <v>AR11CNZ260 - Mantenimiento Vehiculos</v>
          </cell>
        </row>
        <row r="1259">
          <cell r="D1259" t="str">
            <v>AR40LA1260 - Mantenimiento Vehiculos</v>
          </cell>
        </row>
        <row r="1260">
          <cell r="D1260" t="str">
            <v>AR40LA2260 - Mantenimiento Vehiculos</v>
          </cell>
        </row>
        <row r="1261">
          <cell r="D1261" t="str">
            <v>AR41AC1260 - Mantenimiento Vehiculos</v>
          </cell>
        </row>
        <row r="1262">
          <cell r="D1262" t="str">
            <v>AR41AC2260 - Mantenimiento Vehiculos</v>
          </cell>
        </row>
        <row r="1263">
          <cell r="D1263" t="str">
            <v>AR41AC3260 - Mantenimiento Vehiculos</v>
          </cell>
        </row>
        <row r="1264">
          <cell r="D1264" t="str">
            <v>AR41AC4260 - Mantenimiento Vehiculos</v>
          </cell>
        </row>
        <row r="1265">
          <cell r="D1265" t="str">
            <v>AR41AC6260 - Mantenimiento Vehiculos</v>
          </cell>
        </row>
        <row r="1266">
          <cell r="D1266" t="str">
            <v>AR41AC7260 - Mantenimiento Vehiculos</v>
          </cell>
        </row>
        <row r="1267">
          <cell r="D1267" t="str">
            <v>AR41AC5260 - Mantenimiento Vehiculos</v>
          </cell>
        </row>
        <row r="1268">
          <cell r="D1268" t="str">
            <v>AR42AFZ260 - Mantenimiento Vehiculos</v>
          </cell>
        </row>
        <row r="1269">
          <cell r="D1269" t="str">
            <v>BO11CIZ260 - Mantenimiento Vehiculos</v>
          </cell>
        </row>
        <row r="1270">
          <cell r="D1270" t="str">
            <v>BO11CNZ260 - Mantenimiento Vehiculos</v>
          </cell>
        </row>
        <row r="1271">
          <cell r="D1271" t="str">
            <v>CL10CH1260 - Mantenimiento Vehiculos</v>
          </cell>
        </row>
        <row r="1272">
          <cell r="D1272" t="str">
            <v>CL10CC1260 - Mantenimiento Vehiculos</v>
          </cell>
        </row>
        <row r="1273">
          <cell r="D1273" t="str">
            <v>CL10CB1260 - Mantenimiento Vehiculos</v>
          </cell>
        </row>
        <row r="1274">
          <cell r="D1274" t="str">
            <v>AR10APZ595 - Medio Ambiente</v>
          </cell>
        </row>
        <row r="1275">
          <cell r="D1275" t="str">
            <v>AR10SRZ595 - Medio Ambiente</v>
          </cell>
        </row>
        <row r="1276">
          <cell r="D1276" t="str">
            <v>AR1040Z595 - Medio Ambiente</v>
          </cell>
        </row>
        <row r="1277">
          <cell r="D1277" t="str">
            <v>AR1046Z595 - Medio Ambiente</v>
          </cell>
        </row>
        <row r="1278">
          <cell r="D1278" t="str">
            <v>AR10BCZ595 - Medio Ambiente</v>
          </cell>
        </row>
        <row r="1279">
          <cell r="D1279" t="str">
            <v>AR10CDZ595 - Medio Ambiente</v>
          </cell>
        </row>
        <row r="1280">
          <cell r="D1280" t="str">
            <v>AR10CK4595 - Medio Ambiente</v>
          </cell>
        </row>
        <row r="1281">
          <cell r="D1281" t="str">
            <v>AR10ANZ595 - Medio Ambiente</v>
          </cell>
        </row>
        <row r="1282">
          <cell r="D1282" t="str">
            <v>AR10SNZ595 - Medio Ambiente</v>
          </cell>
        </row>
        <row r="1283">
          <cell r="D1283" t="str">
            <v>AR104NZ595 - Medio Ambiente</v>
          </cell>
        </row>
        <row r="1284">
          <cell r="D1284" t="str">
            <v>AR106NZ595 - Medio Ambiente</v>
          </cell>
        </row>
        <row r="1285">
          <cell r="D1285" t="str">
            <v>AR10BNZ595 - Medio Ambiente</v>
          </cell>
        </row>
        <row r="1286">
          <cell r="D1286" t="str">
            <v>AR40LE2595 - Medio Ambiente</v>
          </cell>
        </row>
        <row r="1287">
          <cell r="D1287" t="str">
            <v>AR10AEZ595 - Medio Ambiente</v>
          </cell>
        </row>
        <row r="1288">
          <cell r="D1288" t="str">
            <v>AR10FEZ595 - Medio Ambiente</v>
          </cell>
        </row>
        <row r="1289">
          <cell r="D1289" t="str">
            <v>AR10BAZ595 - Medio Ambiente</v>
          </cell>
        </row>
        <row r="1290">
          <cell r="D1290" t="str">
            <v>AR11CNZ595 - Medio Ambiente</v>
          </cell>
        </row>
        <row r="1291">
          <cell r="D1291" t="str">
            <v>AR11SAZ595 - Medio Ambiente</v>
          </cell>
        </row>
        <row r="1292">
          <cell r="D1292" t="str">
            <v>AR12FUZ595 - Medio Ambiente</v>
          </cell>
        </row>
        <row r="1293">
          <cell r="D1293" t="str">
            <v>AR12FMZ595 - Medio Ambiente</v>
          </cell>
        </row>
        <row r="1294">
          <cell r="D1294" t="str">
            <v>AR13BSZ595 - Medio Ambiente</v>
          </cell>
        </row>
        <row r="1295">
          <cell r="D1295" t="str">
            <v>AR40LA2595 - Medio Ambiente</v>
          </cell>
        </row>
        <row r="1296">
          <cell r="D1296" t="str">
            <v>AR41ACZ595 - Medio Ambiente</v>
          </cell>
        </row>
        <row r="1297">
          <cell r="D1297" t="str">
            <v>AR42AFZ595 - Medio Ambiente</v>
          </cell>
        </row>
        <row r="1298">
          <cell r="D1298" t="str">
            <v>CL10CH1595 - Medio Ambiente</v>
          </cell>
        </row>
        <row r="1299">
          <cell r="D1299" t="str">
            <v>CL10CC1595 - Medio Ambiente</v>
          </cell>
        </row>
        <row r="1300">
          <cell r="D1300" t="str">
            <v>CL10CB1595 - Medio Ambiente</v>
          </cell>
        </row>
        <row r="1301">
          <cell r="D1301" t="str">
            <v>AR10APZ850 - Oil</v>
          </cell>
        </row>
        <row r="1302">
          <cell r="D1302" t="str">
            <v>AR10SRZ850 - Oil</v>
          </cell>
        </row>
        <row r="1303">
          <cell r="D1303" t="str">
            <v>AR11CAZ850 - Oil</v>
          </cell>
        </row>
        <row r="1304">
          <cell r="D1304" t="str">
            <v>AR10LAZ850 - Oil Transportation</v>
          </cell>
        </row>
        <row r="1305">
          <cell r="D1305" t="str">
            <v>AR10ACZ850 - Oil Transportation</v>
          </cell>
        </row>
        <row r="1306">
          <cell r="D1306" t="str">
            <v>AR10GCZ850 - Oil Transportation</v>
          </cell>
        </row>
        <row r="1307">
          <cell r="D1307" t="str">
            <v>AR10GSZ850 - Oil Transportation</v>
          </cell>
        </row>
        <row r="1308">
          <cell r="D1308" t="str">
            <v>AR10CD1850 - Oil Transportation</v>
          </cell>
        </row>
        <row r="1309">
          <cell r="D1309" t="str">
            <v>AR10CD2850 - Oil Transportation</v>
          </cell>
        </row>
        <row r="1310">
          <cell r="D1310" t="str">
            <v>AR10CD3850 - Oil Transportation</v>
          </cell>
        </row>
        <row r="1311">
          <cell r="D1311" t="str">
            <v>AR10CD5850 - Oil Transportation</v>
          </cell>
        </row>
        <row r="1312">
          <cell r="D1312" t="str">
            <v>AR10CD7850 - Oil Transportation</v>
          </cell>
        </row>
        <row r="1313">
          <cell r="D1313" t="str">
            <v>AR10CD8850 - Oil Transportation</v>
          </cell>
        </row>
        <row r="1314">
          <cell r="D1314" t="str">
            <v>AR10CD9850 - Oil Transportation</v>
          </cell>
        </row>
        <row r="1315">
          <cell r="D1315" t="str">
            <v>AR10CDZ850 - Oil Transportation</v>
          </cell>
        </row>
        <row r="1316">
          <cell r="D1316" t="str">
            <v>AR10CK4850 - Oil Transportation</v>
          </cell>
        </row>
        <row r="1317">
          <cell r="D1317" t="str">
            <v>AR10ANZ850 - Oil Transportation</v>
          </cell>
        </row>
        <row r="1318">
          <cell r="D1318" t="str">
            <v>AR10SNZ850 - Oil Transportation</v>
          </cell>
        </row>
        <row r="1319">
          <cell r="D1319" t="str">
            <v>AR40LE2850 - Oil Transportation</v>
          </cell>
        </row>
        <row r="1320">
          <cell r="D1320" t="str">
            <v>AR10AEZ850 - Oil Transportation</v>
          </cell>
        </row>
        <row r="1321">
          <cell r="D1321" t="str">
            <v>AR11CNZ850 - Oil Transportation</v>
          </cell>
        </row>
        <row r="1322">
          <cell r="D1322" t="str">
            <v>AR11SAZ850 - Oil Transportation</v>
          </cell>
        </row>
        <row r="1323">
          <cell r="D1323" t="str">
            <v>AR12FUZ850 - Oil Transportation</v>
          </cell>
        </row>
        <row r="1324">
          <cell r="D1324" t="str">
            <v>AR12FMZ850 - Oil Transportation</v>
          </cell>
        </row>
        <row r="1325">
          <cell r="D1325" t="str">
            <v>AR40LA2850 - Oil Transportation</v>
          </cell>
        </row>
        <row r="1326">
          <cell r="D1326" t="str">
            <v>AR41ACZ850 - Oil Transportation</v>
          </cell>
        </row>
        <row r="1327">
          <cell r="D1327" t="str">
            <v>CL10CH1850 - Oil Transportation</v>
          </cell>
        </row>
        <row r="1328">
          <cell r="D1328" t="str">
            <v>CL10CC1850 - Oil Transportation</v>
          </cell>
        </row>
        <row r="1329">
          <cell r="D1329" t="str">
            <v>CL10CB1850 - Oil Transportation</v>
          </cell>
        </row>
        <row r="1330">
          <cell r="D1330" t="str">
            <v>AR10APZ657 - Op., Tecnal, Seg y Microinformatica</v>
          </cell>
        </row>
        <row r="1331">
          <cell r="D1331" t="str">
            <v>AR10SRZ657 - Op., Tecnal, Seg y Microinformatica</v>
          </cell>
        </row>
        <row r="1332">
          <cell r="D1332" t="str">
            <v>AR1040Z657 - Op., Tecnal, Seg y Microinformatica</v>
          </cell>
        </row>
        <row r="1333">
          <cell r="D1333" t="str">
            <v>AR1046Z657 - Op., Tecnal, Seg y Microinformatica</v>
          </cell>
        </row>
        <row r="1334">
          <cell r="D1334" t="str">
            <v>AR10BCZ657 - Op., Tecnal, Seg y Microinformatica</v>
          </cell>
        </row>
        <row r="1335">
          <cell r="D1335" t="str">
            <v>AR40LE2657 - Op., Tecnal, Seg y Microinformatica</v>
          </cell>
        </row>
        <row r="1336">
          <cell r="D1336" t="str">
            <v>AR10AEZ657 - Op., Tecnal, Seg y Microinformatica</v>
          </cell>
        </row>
        <row r="1337">
          <cell r="D1337" t="str">
            <v>AR10FEZ657 - Op., Tecnal, Seg y Microinformatica</v>
          </cell>
        </row>
        <row r="1338">
          <cell r="D1338" t="str">
            <v>AR10CEZ657 - Op., Tecnal, Seg y Microinformatica</v>
          </cell>
        </row>
        <row r="1339">
          <cell r="D1339" t="str">
            <v>AR10SEZ657 - Op., Tecnal, Seg y Microinformatica</v>
          </cell>
        </row>
        <row r="1340">
          <cell r="D1340" t="str">
            <v>AR10BAZ657 - Op., Tecnal, Seg y Microinformatica</v>
          </cell>
        </row>
        <row r="1341">
          <cell r="D1341" t="str">
            <v>AR11CAZ657 - Op., Tecnal, Seg y Microinformatica</v>
          </cell>
        </row>
        <row r="1342">
          <cell r="D1342" t="str">
            <v>AR12FUZ657 - Op., Tecnal, Seg y Microinformatica</v>
          </cell>
        </row>
        <row r="1343">
          <cell r="D1343" t="str">
            <v>AR12FMZ657 - Op., Tecnal, Seg y Microinformatica</v>
          </cell>
        </row>
        <row r="1344">
          <cell r="D1344" t="str">
            <v>AR13BSZ657 - Op., Tecnal, Seg y Microinformatica</v>
          </cell>
        </row>
        <row r="1345">
          <cell r="D1345" t="str">
            <v>AR40LA2657 - Op., Tecnal, Seg y Microinformatica</v>
          </cell>
        </row>
        <row r="1346">
          <cell r="D1346" t="str">
            <v>AR41ACZ657 - Op., Tecnal, Seg y Microinformatica</v>
          </cell>
        </row>
        <row r="1347">
          <cell r="D1347" t="str">
            <v>AR42AFZ657 - Op., Tecnal, Seg y Microinformatica</v>
          </cell>
        </row>
        <row r="1348">
          <cell r="D1348" t="str">
            <v>AR43GCZ657 - Op., Tecnal, Seg y Microinformatica</v>
          </cell>
        </row>
        <row r="1349">
          <cell r="D1349" t="str">
            <v>AR44GSZ657 - Op., Tecnal, Seg y Microinformatica</v>
          </cell>
        </row>
        <row r="1350">
          <cell r="D1350" t="str">
            <v>BO10OGZ657 - Op., Tecnal, Seg y Microinformatica</v>
          </cell>
        </row>
        <row r="1351">
          <cell r="D1351" t="str">
            <v>BO11CIZ657 - Op., Tecnal, Seg y Microinformatica</v>
          </cell>
        </row>
        <row r="1352">
          <cell r="D1352" t="str">
            <v>BO11CNZ657 - Op., Tecnal, Seg y Microinformatica</v>
          </cell>
        </row>
        <row r="1353">
          <cell r="D1353" t="str">
            <v>CL10CH1657 - Op., Tecnal, Seg y Microinformatica</v>
          </cell>
        </row>
        <row r="1354">
          <cell r="D1354" t="str">
            <v>CL10CC1657 - Op., Tecnal, Seg y Microinformatica</v>
          </cell>
        </row>
        <row r="1355">
          <cell r="D1355" t="str">
            <v>CL10CB1657 - Op., Tecnal, Seg y Microinformatica</v>
          </cell>
        </row>
        <row r="1356">
          <cell r="D1356" t="str">
            <v>AR10ANZ000 - Operación del distrito</v>
          </cell>
        </row>
        <row r="1357">
          <cell r="D1357" t="str">
            <v>AR10SNZ000 - Operación del distrito</v>
          </cell>
        </row>
        <row r="1358">
          <cell r="D1358" t="str">
            <v>AR104NZ000 - Operación del distrito</v>
          </cell>
        </row>
        <row r="1359">
          <cell r="D1359" t="str">
            <v>AR106NZ000 - Operación del distrito</v>
          </cell>
        </row>
        <row r="1360">
          <cell r="D1360" t="str">
            <v>AR10BNZ000 - Operación del distrito</v>
          </cell>
        </row>
        <row r="1361">
          <cell r="D1361" t="str">
            <v>AR11CNZ000 - Operación del distrito</v>
          </cell>
        </row>
        <row r="1362">
          <cell r="D1362" t="str">
            <v>AR10CDZ600 - Operaciones de Petróleo</v>
          </cell>
        </row>
        <row r="1363">
          <cell r="D1363" t="str">
            <v>AR10CK4600 - Operaciones de Petróleo</v>
          </cell>
        </row>
        <row r="1364">
          <cell r="D1364" t="str">
            <v>AR10AEZ600 - Operaciones de Petróleo</v>
          </cell>
        </row>
        <row r="1365">
          <cell r="D1365" t="str">
            <v>AR41ACZ600 - Operaciones de Petróleo</v>
          </cell>
        </row>
        <row r="1366">
          <cell r="D1366" t="str">
            <v>AR10CD1150 - PCP</v>
          </cell>
        </row>
        <row r="1367">
          <cell r="D1367" t="str">
            <v>AR10CD2150 - PCP</v>
          </cell>
        </row>
        <row r="1368">
          <cell r="D1368" t="str">
            <v>AR10CD3150 - PCP</v>
          </cell>
        </row>
        <row r="1369">
          <cell r="D1369" t="str">
            <v>AR10CD5150 - PCP</v>
          </cell>
        </row>
        <row r="1370">
          <cell r="D1370" t="str">
            <v>AR10CD7150 - PCP</v>
          </cell>
        </row>
        <row r="1371">
          <cell r="D1371" t="str">
            <v>AR10CD8150 - PCP</v>
          </cell>
        </row>
        <row r="1372">
          <cell r="D1372" t="str">
            <v>AR10CD9150 - PCP</v>
          </cell>
        </row>
        <row r="1373">
          <cell r="D1373" t="str">
            <v>AR10CK4150 - PCP</v>
          </cell>
        </row>
        <row r="1374">
          <cell r="D1374" t="str">
            <v>AR10ANZ150 - PCP</v>
          </cell>
        </row>
        <row r="1375">
          <cell r="D1375" t="str">
            <v>AR10SNZ150 - PCP</v>
          </cell>
        </row>
        <row r="1376">
          <cell r="D1376" t="str">
            <v>AR104NZ150 - PCP</v>
          </cell>
        </row>
        <row r="1377">
          <cell r="D1377" t="str">
            <v>AR106NZ150 - PCP</v>
          </cell>
        </row>
        <row r="1378">
          <cell r="D1378" t="str">
            <v>AR10BNZ150 - PCP</v>
          </cell>
        </row>
        <row r="1379">
          <cell r="D1379" t="str">
            <v>AR40LE1150 - PCP</v>
          </cell>
        </row>
        <row r="1380">
          <cell r="D1380" t="str">
            <v>AR40LE2150 - PCP</v>
          </cell>
        </row>
        <row r="1381">
          <cell r="D1381" t="str">
            <v>AR10AE1150 - PCP</v>
          </cell>
        </row>
        <row r="1382">
          <cell r="D1382" t="str">
            <v>AR10AE2150 - PCP</v>
          </cell>
        </row>
        <row r="1383">
          <cell r="D1383" t="str">
            <v>AR10AE3150 - PCP</v>
          </cell>
        </row>
        <row r="1384">
          <cell r="D1384" t="str">
            <v>AR10AE4150 - PCP</v>
          </cell>
        </row>
        <row r="1385">
          <cell r="D1385" t="str">
            <v>AR10AE5150 - PCP</v>
          </cell>
        </row>
        <row r="1386">
          <cell r="D1386" t="str">
            <v>AR10FEZ150 - PCP</v>
          </cell>
        </row>
        <row r="1387">
          <cell r="D1387" t="str">
            <v>AR11CNZ150 - PCP</v>
          </cell>
        </row>
        <row r="1388">
          <cell r="D1388" t="str">
            <v>AR40LA1150 - PCP</v>
          </cell>
        </row>
        <row r="1389">
          <cell r="D1389" t="str">
            <v>AR40LA2150 - PCP</v>
          </cell>
        </row>
        <row r="1390">
          <cell r="D1390" t="str">
            <v>AR41AC1150 - PCP</v>
          </cell>
        </row>
        <row r="1391">
          <cell r="D1391" t="str">
            <v>AR41AC2150 - PCP</v>
          </cell>
        </row>
        <row r="1392">
          <cell r="D1392" t="str">
            <v>AR41AC3150 - PCP</v>
          </cell>
        </row>
        <row r="1393">
          <cell r="D1393" t="str">
            <v>AR41AC4150 - PCP</v>
          </cell>
        </row>
        <row r="1394">
          <cell r="D1394" t="str">
            <v>AR41AC5150 - PCP</v>
          </cell>
        </row>
        <row r="1395">
          <cell r="D1395" t="str">
            <v>AR42AFZ150 - PCP</v>
          </cell>
        </row>
        <row r="1396">
          <cell r="D1396" t="str">
            <v>BO11CIZ150 - PCP</v>
          </cell>
        </row>
        <row r="1397">
          <cell r="D1397" t="str">
            <v>BO11CNZ150 - PCP</v>
          </cell>
        </row>
        <row r="1398">
          <cell r="D1398" t="str">
            <v>CL10CH1150 - PCP</v>
          </cell>
        </row>
        <row r="1399">
          <cell r="D1399" t="str">
            <v>CL10CC1150 - PCP</v>
          </cell>
        </row>
        <row r="1400">
          <cell r="D1400" t="str">
            <v>CL10CB1150 - PCP</v>
          </cell>
        </row>
        <row r="1401">
          <cell r="D1401" t="str">
            <v>AR10APZ685 - Perforación</v>
          </cell>
        </row>
        <row r="1402">
          <cell r="D1402" t="str">
            <v>AR10SRZ685 - Perforación</v>
          </cell>
        </row>
        <row r="1403">
          <cell r="D1403" t="str">
            <v>AR1040Z685 - Perforación</v>
          </cell>
        </row>
        <row r="1404">
          <cell r="D1404" t="str">
            <v>AR1046Z685 - Perforación</v>
          </cell>
        </row>
        <row r="1405">
          <cell r="D1405" t="str">
            <v>AR10BCZ685 - Perforación</v>
          </cell>
        </row>
        <row r="1406">
          <cell r="D1406" t="str">
            <v>AR10ANZ680 - Perforación</v>
          </cell>
        </row>
        <row r="1407">
          <cell r="D1407" t="str">
            <v>AR10SNZ680 - Perforación</v>
          </cell>
        </row>
        <row r="1408">
          <cell r="D1408" t="str">
            <v>AR104NZ680 - Perforación</v>
          </cell>
        </row>
        <row r="1409">
          <cell r="D1409" t="str">
            <v>AR106NZ680 - Perforación</v>
          </cell>
        </row>
        <row r="1410">
          <cell r="D1410" t="str">
            <v>AR10BNZ680 - Perforación</v>
          </cell>
        </row>
        <row r="1411">
          <cell r="D1411" t="str">
            <v>AR40LE2685 - Perforación</v>
          </cell>
        </row>
        <row r="1412">
          <cell r="D1412" t="str">
            <v>AR10AEZ685 - Perforación</v>
          </cell>
        </row>
        <row r="1413">
          <cell r="D1413" t="str">
            <v>AR10FEZ685 - Perforación</v>
          </cell>
        </row>
        <row r="1414">
          <cell r="D1414" t="str">
            <v>AR10CEZ685 - Perforación</v>
          </cell>
        </row>
        <row r="1415">
          <cell r="D1415" t="str">
            <v>AR10SEZ685 - Perforación</v>
          </cell>
        </row>
        <row r="1416">
          <cell r="D1416" t="str">
            <v>AR10BAZ685 - Perforación</v>
          </cell>
        </row>
        <row r="1417">
          <cell r="D1417" t="str">
            <v>AR11CAZ685 - Perforación</v>
          </cell>
        </row>
        <row r="1418">
          <cell r="D1418" t="str">
            <v>AR11CNZ680 - Perforación</v>
          </cell>
        </row>
        <row r="1419">
          <cell r="D1419" t="str">
            <v>AR11SAZ680 - Perforación</v>
          </cell>
        </row>
        <row r="1420">
          <cell r="D1420" t="str">
            <v>AR12FUZ685 - Perforación</v>
          </cell>
        </row>
        <row r="1421">
          <cell r="D1421" t="str">
            <v>AR12FMZ685 - Perforación</v>
          </cell>
        </row>
        <row r="1422">
          <cell r="D1422" t="str">
            <v>AR13BSZ685 - Perforación</v>
          </cell>
        </row>
        <row r="1423">
          <cell r="D1423" t="str">
            <v>AR40LA2685 - Perforación</v>
          </cell>
        </row>
        <row r="1424">
          <cell r="D1424" t="str">
            <v>AR41ACZ685 - Perforación</v>
          </cell>
        </row>
        <row r="1425">
          <cell r="D1425" t="str">
            <v>AR42AFZ685 - Perforación</v>
          </cell>
        </row>
        <row r="1426">
          <cell r="D1426" t="str">
            <v>AR43GCZ685 - Perforación</v>
          </cell>
        </row>
        <row r="1427">
          <cell r="D1427" t="str">
            <v>AR44GSZ685 - Perforación</v>
          </cell>
        </row>
        <row r="1428">
          <cell r="D1428" t="str">
            <v>BO10OGZ685 - Perforación</v>
          </cell>
        </row>
        <row r="1429">
          <cell r="D1429" t="str">
            <v>BO11CIZ685 - Perforación</v>
          </cell>
        </row>
        <row r="1430">
          <cell r="D1430" t="str">
            <v>BO11CNZ685 - Perforación</v>
          </cell>
        </row>
        <row r="1431">
          <cell r="D1431" t="str">
            <v>CL10CH1685 - Perforación</v>
          </cell>
        </row>
        <row r="1432">
          <cell r="D1432" t="str">
            <v>CL10CC1685 - Perforación</v>
          </cell>
        </row>
        <row r="1433">
          <cell r="D1433" t="str">
            <v>CL10CB1685 - Perforación</v>
          </cell>
        </row>
        <row r="1434">
          <cell r="D1434" t="str">
            <v>AR10APZ605 - Perforacion y Completación</v>
          </cell>
        </row>
        <row r="1435">
          <cell r="D1435" t="str">
            <v>AR10SRZ605 - Perforacion y Completación</v>
          </cell>
        </row>
        <row r="1436">
          <cell r="D1436" t="str">
            <v>AR1040Z605 - Perforacion y Completación</v>
          </cell>
        </row>
        <row r="1437">
          <cell r="D1437" t="str">
            <v>AR1046Z605 - Perforacion y Completación</v>
          </cell>
        </row>
        <row r="1438">
          <cell r="D1438" t="str">
            <v>AR10BCZ605 - Perforacion y Completación</v>
          </cell>
        </row>
        <row r="1439">
          <cell r="D1439" t="str">
            <v>AR10CDZ605 - Perforacion y Completación</v>
          </cell>
        </row>
        <row r="1440">
          <cell r="D1440" t="str">
            <v>AR10CK4605 - Perforacion y Completación</v>
          </cell>
        </row>
        <row r="1441">
          <cell r="D1441" t="str">
            <v>AR40LE2605 - Perforacion y Completación</v>
          </cell>
        </row>
        <row r="1442">
          <cell r="D1442" t="str">
            <v>AR10AEZ605 - Perforacion y Completación</v>
          </cell>
        </row>
        <row r="1443">
          <cell r="D1443" t="str">
            <v>AR10FEZ605 - Perforacion y Completación</v>
          </cell>
        </row>
        <row r="1444">
          <cell r="D1444" t="str">
            <v>AR10CEZ605 - Perforacion y Completación</v>
          </cell>
        </row>
        <row r="1445">
          <cell r="D1445" t="str">
            <v>AR10SEZ605 - Perforacion y Completación</v>
          </cell>
        </row>
        <row r="1446">
          <cell r="D1446" t="str">
            <v>AR11CAZ605 - Perforacion y Completación</v>
          </cell>
        </row>
        <row r="1447">
          <cell r="D1447" t="str">
            <v>AR40LA2605 - Perforacion y Completación</v>
          </cell>
        </row>
        <row r="1448">
          <cell r="D1448" t="str">
            <v>AR41ACZ605 - Perforacion y Completación</v>
          </cell>
        </row>
        <row r="1449">
          <cell r="D1449" t="str">
            <v>AR42AFZ605 - Perforacion y Completación</v>
          </cell>
        </row>
        <row r="1450">
          <cell r="D1450" t="str">
            <v>AR43GCZ605 - Perforacion y Completación</v>
          </cell>
        </row>
        <row r="1451">
          <cell r="D1451" t="str">
            <v>AR44GSZ605 - Perforacion y Completación</v>
          </cell>
        </row>
        <row r="1452">
          <cell r="D1452" t="str">
            <v>BO10OGZ605 - Perforacion y Completación</v>
          </cell>
        </row>
        <row r="1453">
          <cell r="D1453" t="str">
            <v>BO11CIZ605 - Perforacion y Completación</v>
          </cell>
        </row>
        <row r="1454">
          <cell r="D1454" t="str">
            <v>BO11CNZ605 - Perforacion y Completación</v>
          </cell>
        </row>
        <row r="1455">
          <cell r="D1455" t="str">
            <v>CL10CH1605 - Perforacion y Completación</v>
          </cell>
        </row>
        <row r="1456">
          <cell r="D1456" t="str">
            <v>CL10CC1605 - Perforacion y Completación</v>
          </cell>
        </row>
        <row r="1457">
          <cell r="D1457" t="str">
            <v>CL10CB1605 - Perforacion y Completación</v>
          </cell>
        </row>
        <row r="1458">
          <cell r="D1458" t="str">
            <v>AR10APZ610 - Planeam. Econ. &amp; Ev. Negocios</v>
          </cell>
        </row>
        <row r="1459">
          <cell r="D1459" t="str">
            <v>AR10SRZ610 - Planeam. Econ. &amp; Ev. Negocios</v>
          </cell>
        </row>
        <row r="1460">
          <cell r="D1460" t="str">
            <v>AR1040Z610 - Planeam. Econ. &amp; Ev. Negocios</v>
          </cell>
        </row>
        <row r="1461">
          <cell r="D1461" t="str">
            <v>AR1046Z610 - Planeam. Econ. &amp; Ev. Negocios</v>
          </cell>
        </row>
        <row r="1462">
          <cell r="D1462" t="str">
            <v>AR10BCZ610 - Planeam. Econ. &amp; Ev. Negocios</v>
          </cell>
        </row>
        <row r="1463">
          <cell r="D1463" t="str">
            <v>AR10CDZ610 - Planeam. Econ. &amp; Ev. Negocios</v>
          </cell>
        </row>
        <row r="1464">
          <cell r="D1464" t="str">
            <v>AR10CK4610 - Planeam. Econ. &amp; Ev. Negocios</v>
          </cell>
        </row>
        <row r="1465">
          <cell r="D1465" t="str">
            <v>AR10ANZ610 - Planeam. Econ. &amp; Ev. Negocios</v>
          </cell>
        </row>
        <row r="1466">
          <cell r="D1466" t="str">
            <v>AR10SNZ610 - Planeam. Econ. &amp; Ev. Negocios</v>
          </cell>
        </row>
        <row r="1467">
          <cell r="D1467" t="str">
            <v>AR104NZ610 - Planeam. Econ. &amp; Ev. Negocios</v>
          </cell>
        </row>
        <row r="1468">
          <cell r="D1468" t="str">
            <v>AR106NZ610 - Planeam. Econ. &amp; Ev. Negocios</v>
          </cell>
        </row>
        <row r="1469">
          <cell r="D1469" t="str">
            <v>AR10BNZ610 - Planeam. Econ. &amp; Ev. Negocios</v>
          </cell>
        </row>
        <row r="1470">
          <cell r="D1470" t="str">
            <v>AR40LE2610 - Planeam. Econ. &amp; Ev. Negocios</v>
          </cell>
        </row>
        <row r="1471">
          <cell r="D1471" t="str">
            <v>AR10AEZ610 - Planeam. Econ. &amp; Ev. Negocios</v>
          </cell>
        </row>
        <row r="1472">
          <cell r="D1472" t="str">
            <v>AR10FEZ610 - Planeam. Econ. &amp; Ev. Negocios</v>
          </cell>
        </row>
        <row r="1473">
          <cell r="D1473" t="str">
            <v>AR10CEZ610 - Planeam. Econ. &amp; Ev. Negocios</v>
          </cell>
        </row>
        <row r="1474">
          <cell r="D1474" t="str">
            <v>AR10SEZ610 - Planeam. Econ. &amp; Ev. Negocios</v>
          </cell>
        </row>
        <row r="1475">
          <cell r="D1475" t="str">
            <v>AR10BAZ610 - Planeam. Econ. &amp; Ev. Negocios</v>
          </cell>
        </row>
        <row r="1476">
          <cell r="D1476" t="str">
            <v>AR11CAZ610 - Planeam. Econ. &amp; Ev. Negocios</v>
          </cell>
        </row>
        <row r="1477">
          <cell r="D1477" t="str">
            <v>AR11CNZ610 - Planeam. Econ. &amp; Ev. Negocios</v>
          </cell>
        </row>
        <row r="1478">
          <cell r="D1478" t="str">
            <v>AR11SAZ610 - Planeam. Econ. &amp; Ev. Negocios</v>
          </cell>
        </row>
        <row r="1479">
          <cell r="D1479" t="str">
            <v>AR12FUZ610 - Planeam. Econ. &amp; Ev. Negocios</v>
          </cell>
        </row>
        <row r="1480">
          <cell r="D1480" t="str">
            <v>AR12FMZ610 - Planeam. Econ. &amp; Ev. Negocios</v>
          </cell>
        </row>
        <row r="1481">
          <cell r="D1481" t="str">
            <v>AR13BSZ610 - Planeam. Econ. &amp; Ev. Negocios</v>
          </cell>
        </row>
        <row r="1482">
          <cell r="D1482" t="str">
            <v>AR40LA2610 - Planeam. Econ. &amp; Ev. Negocios</v>
          </cell>
        </row>
        <row r="1483">
          <cell r="D1483" t="str">
            <v>AR41ACZ610 - Planeam. Econ. &amp; Ev. Negocios</v>
          </cell>
        </row>
        <row r="1484">
          <cell r="D1484" t="str">
            <v>AR42AFZ610 - Planeam. Econ. &amp; Ev. Negocios</v>
          </cell>
        </row>
        <row r="1485">
          <cell r="D1485" t="str">
            <v>AR43GCZ610 - Planeam. Econ. &amp; Ev. Negocios</v>
          </cell>
        </row>
        <row r="1486">
          <cell r="D1486" t="str">
            <v>AR44GSZ610 - Planeam. Econ. &amp; Ev. Negocios</v>
          </cell>
        </row>
        <row r="1487">
          <cell r="D1487" t="str">
            <v>BO10OGZ610 - Planeam. Econ. &amp; Ev. Negocios</v>
          </cell>
        </row>
        <row r="1488">
          <cell r="D1488" t="str">
            <v>BO11CIZ610 - Planeam. Econ. &amp; Ev. Negocios</v>
          </cell>
        </row>
        <row r="1489">
          <cell r="D1489" t="str">
            <v>BO11CNZ610 - Planeam. Econ. &amp; Ev. Negocios</v>
          </cell>
        </row>
        <row r="1490">
          <cell r="D1490" t="str">
            <v>CL10CH1610 - Planeam. Econ. &amp; Ev. Negocios</v>
          </cell>
        </row>
        <row r="1491">
          <cell r="D1491" t="str">
            <v>CL10CC1610 - Planeam. Econ. &amp; Ev. Negocios</v>
          </cell>
        </row>
        <row r="1492">
          <cell r="D1492" t="str">
            <v>CL10CB1610 - Planeam. Econ. &amp; Ev. Negocios</v>
          </cell>
        </row>
        <row r="1493">
          <cell r="D1493" t="str">
            <v>AR10CD1170 - Plunger lift</v>
          </cell>
        </row>
        <row r="1494">
          <cell r="D1494" t="str">
            <v>AR10CD2170 - Plunger lift</v>
          </cell>
        </row>
        <row r="1495">
          <cell r="D1495" t="str">
            <v>AR10CD3170 - Plunger lift</v>
          </cell>
        </row>
        <row r="1496">
          <cell r="D1496" t="str">
            <v>AR10CD5170 - Plunger lift</v>
          </cell>
        </row>
        <row r="1497">
          <cell r="D1497" t="str">
            <v>AR10CD7170 - Plunger lift</v>
          </cell>
        </row>
        <row r="1498">
          <cell r="D1498" t="str">
            <v>AR10CD8170 - Plunger lift</v>
          </cell>
        </row>
        <row r="1499">
          <cell r="D1499" t="str">
            <v>AR10CD9170 - Plunger lift</v>
          </cell>
        </row>
        <row r="1500">
          <cell r="D1500" t="str">
            <v>AR10CK4170 - Plunger lift</v>
          </cell>
        </row>
        <row r="1501">
          <cell r="D1501" t="str">
            <v>AR10ANZ170 - Plunger lift</v>
          </cell>
        </row>
        <row r="1502">
          <cell r="D1502" t="str">
            <v>AR10SNZ170 - Plunger lift</v>
          </cell>
        </row>
        <row r="1503">
          <cell r="D1503" t="str">
            <v>AR104NZ170 - Plunger lift</v>
          </cell>
        </row>
        <row r="1504">
          <cell r="D1504" t="str">
            <v>AR106NZ170 - Plunger lift</v>
          </cell>
        </row>
        <row r="1505">
          <cell r="D1505" t="str">
            <v>AR10BNZ170 - Plunger lift</v>
          </cell>
        </row>
        <row r="1506">
          <cell r="D1506" t="str">
            <v>AR40LE1170 - Plunger lift</v>
          </cell>
        </row>
        <row r="1507">
          <cell r="D1507" t="str">
            <v>AR40LE2170 - Plunger lift</v>
          </cell>
        </row>
        <row r="1508">
          <cell r="D1508" t="str">
            <v>AR10AE1170 - Plunger lift</v>
          </cell>
        </row>
        <row r="1509">
          <cell r="D1509" t="str">
            <v>AR10AE2170 - Plunger lift</v>
          </cell>
        </row>
        <row r="1510">
          <cell r="D1510" t="str">
            <v>AR10AE3170 - Plunger lift</v>
          </cell>
        </row>
        <row r="1511">
          <cell r="D1511" t="str">
            <v>AR10AE4170 - Plunger lift</v>
          </cell>
        </row>
        <row r="1512">
          <cell r="D1512" t="str">
            <v>AR10AE5170 - Plunger lift</v>
          </cell>
        </row>
        <row r="1513">
          <cell r="D1513" t="str">
            <v>AR10FEZ170 - Plunger lift</v>
          </cell>
        </row>
        <row r="1514">
          <cell r="D1514" t="str">
            <v>AR11CNZ170 - Plunger lift</v>
          </cell>
        </row>
        <row r="1515">
          <cell r="D1515" t="str">
            <v>AR40LA1170 - Plunger lift</v>
          </cell>
        </row>
        <row r="1516">
          <cell r="D1516" t="str">
            <v>AR40LA2170 - Plunger lift</v>
          </cell>
        </row>
        <row r="1517">
          <cell r="D1517" t="str">
            <v>AR41AC1170 - Plunger lift</v>
          </cell>
        </row>
        <row r="1518">
          <cell r="D1518" t="str">
            <v>AR41AC2170 - Plunger lift</v>
          </cell>
        </row>
        <row r="1519">
          <cell r="D1519" t="str">
            <v>AR41AC3170 - Plunger lift</v>
          </cell>
        </row>
        <row r="1520">
          <cell r="D1520" t="str">
            <v>AR41AC4170 - Plunger lift</v>
          </cell>
        </row>
        <row r="1521">
          <cell r="D1521" t="str">
            <v>AR41AC5170 - Plunger lift</v>
          </cell>
        </row>
        <row r="1522">
          <cell r="D1522" t="str">
            <v>AR42AFZ170 - Plunger lift</v>
          </cell>
        </row>
        <row r="1523">
          <cell r="D1523" t="str">
            <v>BO11CIZ170 - Plunger lift</v>
          </cell>
        </row>
        <row r="1524">
          <cell r="D1524" t="str">
            <v>BO11CNZ170 - Plunger lift</v>
          </cell>
        </row>
        <row r="1525">
          <cell r="D1525" t="str">
            <v>CL10CH1170 - Plunger lift</v>
          </cell>
        </row>
        <row r="1526">
          <cell r="D1526" t="str">
            <v>CL10CC1170 - Plunger lift</v>
          </cell>
        </row>
        <row r="1527">
          <cell r="D1527" t="str">
            <v>CL10CB1170 - Plunger lift</v>
          </cell>
        </row>
        <row r="1528">
          <cell r="D1528" t="str">
            <v>AR10CDZ615 - Prensa</v>
          </cell>
        </row>
        <row r="1529">
          <cell r="D1529" t="str">
            <v>AR10CK4615 - Prensa</v>
          </cell>
        </row>
        <row r="1530">
          <cell r="D1530" t="str">
            <v>AR40LE2615 - Prensa</v>
          </cell>
        </row>
        <row r="1531">
          <cell r="D1531" t="str">
            <v>AR10AEZ615 - Prensa</v>
          </cell>
        </row>
        <row r="1532">
          <cell r="D1532" t="str">
            <v>AR10FEZ615 - Prensa</v>
          </cell>
        </row>
        <row r="1533">
          <cell r="D1533" t="str">
            <v>AR10CEZ615 - Prensa</v>
          </cell>
        </row>
        <row r="1534">
          <cell r="D1534" t="str">
            <v>AR10SEZ615 - Prensa</v>
          </cell>
        </row>
        <row r="1535">
          <cell r="D1535" t="str">
            <v>AR11CAZ615 - Prensa</v>
          </cell>
        </row>
        <row r="1536">
          <cell r="D1536" t="str">
            <v>AR40LA2615 - Prensa</v>
          </cell>
        </row>
        <row r="1537">
          <cell r="D1537" t="str">
            <v>AR41ACZ615 - Prensa</v>
          </cell>
        </row>
        <row r="1538">
          <cell r="D1538" t="str">
            <v>AR42AFZ615 - Prensa</v>
          </cell>
        </row>
        <row r="1539">
          <cell r="D1539" t="str">
            <v>AR43GCZ615 - Prensa</v>
          </cell>
        </row>
        <row r="1540">
          <cell r="D1540" t="str">
            <v>AR44GSZ615 - Prensa</v>
          </cell>
        </row>
        <row r="1541">
          <cell r="D1541" t="str">
            <v>BO10OGZ615 - Prensa</v>
          </cell>
        </row>
        <row r="1542">
          <cell r="D1542" t="str">
            <v>BO11CIZ615 - Prensa</v>
          </cell>
        </row>
        <row r="1543">
          <cell r="D1543" t="str">
            <v>BO11CNZ615 - Prensa</v>
          </cell>
        </row>
        <row r="1544">
          <cell r="D1544" t="str">
            <v>CL10CH1615 - Prensa</v>
          </cell>
        </row>
        <row r="1545">
          <cell r="D1545" t="str">
            <v>CL10CC1615 - Prensa</v>
          </cell>
        </row>
        <row r="1546">
          <cell r="D1546" t="str">
            <v>CL10CB1615 - Prensa</v>
          </cell>
        </row>
        <row r="1547">
          <cell r="D1547" t="str">
            <v>AR10CD1000 - Programación y operación gral. Distrito</v>
          </cell>
        </row>
        <row r="1548">
          <cell r="D1548" t="str">
            <v>AR10CD2000 - Programación y operación gral. Distrito</v>
          </cell>
        </row>
        <row r="1549">
          <cell r="D1549" t="str">
            <v>AR10CD3000 - Programación y operación gral. Distrito</v>
          </cell>
        </row>
        <row r="1550">
          <cell r="D1550" t="str">
            <v>AR10CD5000 - Programación y operación gral. Distrito</v>
          </cell>
        </row>
        <row r="1551">
          <cell r="D1551" t="str">
            <v>AR10CD7000 - Programación y operación gral. Distrito</v>
          </cell>
        </row>
        <row r="1552">
          <cell r="D1552" t="str">
            <v>AR10CD8000 - Programación y operación gral. Distrito</v>
          </cell>
        </row>
        <row r="1553">
          <cell r="D1553" t="str">
            <v>AR10CD9000 - Programación y operación gral. Distrito</v>
          </cell>
        </row>
        <row r="1554">
          <cell r="D1554" t="str">
            <v>AR10CDE000 - Programación y operación gral. Distrito</v>
          </cell>
        </row>
        <row r="1555">
          <cell r="D1555" t="str">
            <v>AR10CDP000 - Programación y operación gral. Distrito</v>
          </cell>
        </row>
        <row r="1556">
          <cell r="D1556" t="str">
            <v>AR10CDZ000 - Programación y operación gral. Distrito</v>
          </cell>
        </row>
        <row r="1557">
          <cell r="D1557" t="str">
            <v>AR10CK4000 - Programación y operación gral. Distrito</v>
          </cell>
        </row>
        <row r="1558">
          <cell r="D1558" t="str">
            <v>AR40LE1000 - Programación y operación gral. Distrito</v>
          </cell>
        </row>
        <row r="1559">
          <cell r="D1559" t="str">
            <v>AR40LE2000 - Programación y operación gral. Distrito</v>
          </cell>
        </row>
        <row r="1560">
          <cell r="D1560" t="str">
            <v>AR40LE2000 - Programación y operación gral. Distrito</v>
          </cell>
        </row>
        <row r="1561">
          <cell r="D1561" t="str">
            <v>AR10AE1000 - Programación y operación gral. Distrito</v>
          </cell>
        </row>
        <row r="1562">
          <cell r="D1562" t="str">
            <v>AR10AE2000 - Programación y operación gral. Distrito</v>
          </cell>
        </row>
        <row r="1563">
          <cell r="D1563" t="str">
            <v>AR10AE3000 - Programación y operación gral. Distrito</v>
          </cell>
        </row>
        <row r="1564">
          <cell r="D1564" t="str">
            <v>AR10AE4000 - Programación y operación gral. Distrito</v>
          </cell>
        </row>
        <row r="1565">
          <cell r="D1565" t="str">
            <v>AR10AE5000 - Programación y operación gral. Distrito</v>
          </cell>
        </row>
        <row r="1566">
          <cell r="D1566" t="str">
            <v>AR10FEZ000 - Programación y operación gral. Distrito</v>
          </cell>
        </row>
        <row r="1567">
          <cell r="D1567" t="str">
            <v>AR40LA1000 - Programación y operación gral. Distrito</v>
          </cell>
        </row>
        <row r="1568">
          <cell r="D1568" t="str">
            <v>AR40LA2000 - Programación y operación gral. Distrito</v>
          </cell>
        </row>
        <row r="1569">
          <cell r="D1569" t="str">
            <v>AR40LA2000 - Programación y operación gral. Distrito</v>
          </cell>
        </row>
        <row r="1570">
          <cell r="D1570" t="str">
            <v>AR41AC1000 - Programación y operación gral. Distrito</v>
          </cell>
        </row>
        <row r="1571">
          <cell r="D1571" t="str">
            <v>AR41AC2000 - Programación y operación gral. Distrito</v>
          </cell>
        </row>
        <row r="1572">
          <cell r="D1572" t="str">
            <v>AR41AC3000 - Programación y operación gral. Distrito</v>
          </cell>
        </row>
        <row r="1573">
          <cell r="D1573" t="str">
            <v>AR41AC4000 - Programación y operación gral. Distrito</v>
          </cell>
        </row>
        <row r="1574">
          <cell r="D1574" t="str">
            <v>AR41AC5000 - Programación y operación gral. Distrito</v>
          </cell>
        </row>
        <row r="1575">
          <cell r="D1575" t="str">
            <v>AR42AFZ000 - Programación y operación gral. Distrito</v>
          </cell>
        </row>
        <row r="1576">
          <cell r="D1576" t="str">
            <v>BO11CIZ000 - Programación y operación gral. Distrito</v>
          </cell>
        </row>
        <row r="1577">
          <cell r="D1577" t="str">
            <v>BO11CNZ000 - Programación y operación gral. Distrito</v>
          </cell>
        </row>
        <row r="1578">
          <cell r="D1578" t="str">
            <v>CL10CH1000 - Programación y operación gral. Distrito</v>
          </cell>
        </row>
        <row r="1579">
          <cell r="D1579" t="str">
            <v>CL10CC1000 - Programación y operación gral. Distrito</v>
          </cell>
        </row>
        <row r="1580">
          <cell r="D1580" t="str">
            <v>CL10CB1000 - Programación y operación gral. Distrito</v>
          </cell>
        </row>
        <row r="1581">
          <cell r="D1581" t="str">
            <v>AR10CDZ620 - Proyectos y Obras (GPI)</v>
          </cell>
        </row>
        <row r="1582">
          <cell r="D1582" t="str">
            <v>AR10CK4620 - Proyectos y Obras (GPI)</v>
          </cell>
        </row>
        <row r="1583">
          <cell r="D1583" t="str">
            <v>AR10CDZ625 - Recursos Humanos</v>
          </cell>
        </row>
        <row r="1584">
          <cell r="D1584" t="str">
            <v>AR10CK4625 - Recursos Humanos</v>
          </cell>
        </row>
        <row r="1585">
          <cell r="D1585" t="str">
            <v>AR10ANZ625 - Recursos Humanos</v>
          </cell>
        </row>
        <row r="1586">
          <cell r="D1586" t="str">
            <v>AR10SNZ625 - Recursos Humanos</v>
          </cell>
        </row>
        <row r="1587">
          <cell r="D1587" t="str">
            <v>AR104NZ625 - Recursos Humanos</v>
          </cell>
        </row>
        <row r="1588">
          <cell r="D1588" t="str">
            <v>AR106NZ625 - Recursos Humanos</v>
          </cell>
        </row>
        <row r="1589">
          <cell r="D1589" t="str">
            <v>AR10BNZ625 - Recursos Humanos</v>
          </cell>
        </row>
        <row r="1590">
          <cell r="D1590" t="str">
            <v>AR40LE2625 - Recursos Humanos</v>
          </cell>
        </row>
        <row r="1591">
          <cell r="D1591" t="str">
            <v>AR10AEZ625 - Recursos Humanos</v>
          </cell>
        </row>
        <row r="1592">
          <cell r="D1592" t="str">
            <v>AR10FEZ625 - Recursos Humanos</v>
          </cell>
        </row>
        <row r="1593">
          <cell r="D1593" t="str">
            <v>AR10CEZ625 - Recursos Humanos</v>
          </cell>
        </row>
        <row r="1594">
          <cell r="D1594" t="str">
            <v>AR10SEZ625 - Recursos Humanos</v>
          </cell>
        </row>
        <row r="1595">
          <cell r="D1595" t="str">
            <v>AR10BAZ625 - Recursos Humanos</v>
          </cell>
        </row>
        <row r="1596">
          <cell r="D1596" t="str">
            <v>AR11CAZ625 - Recursos Humanos</v>
          </cell>
        </row>
        <row r="1597">
          <cell r="D1597" t="str">
            <v>AR11CNZ625 - Recursos Humanos</v>
          </cell>
        </row>
        <row r="1598">
          <cell r="D1598" t="str">
            <v>AR11SAZ625 - Recursos Humanos</v>
          </cell>
        </row>
        <row r="1599">
          <cell r="D1599" t="str">
            <v>AR40LA2625 - Recursos Humanos</v>
          </cell>
        </row>
        <row r="1600">
          <cell r="D1600" t="str">
            <v>AR41ACZ625 - Recursos Humanos</v>
          </cell>
        </row>
        <row r="1601">
          <cell r="D1601" t="str">
            <v>AR42AFZ625 - Recursos Humanos</v>
          </cell>
        </row>
        <row r="1602">
          <cell r="D1602" t="str">
            <v>AR43GCZ625 - Recursos Humanos</v>
          </cell>
        </row>
        <row r="1603">
          <cell r="D1603" t="str">
            <v>AR44GSZ625 - Recursos Humanos</v>
          </cell>
        </row>
        <row r="1604">
          <cell r="D1604" t="str">
            <v>BO10OGZ625 - Recursos Humanos</v>
          </cell>
        </row>
        <row r="1605">
          <cell r="D1605" t="str">
            <v>BO11CIZ625 - Recursos Humanos</v>
          </cell>
        </row>
        <row r="1606">
          <cell r="D1606" t="str">
            <v>BO11CNZ625 - Recursos Humanos</v>
          </cell>
        </row>
        <row r="1607">
          <cell r="D1607" t="str">
            <v>CL10CH1625 - Recursos Humanos</v>
          </cell>
        </row>
        <row r="1608">
          <cell r="D1608" t="str">
            <v>CL10CC1625 - Recursos Humanos</v>
          </cell>
        </row>
        <row r="1609">
          <cell r="D1609" t="str">
            <v>CL10CB1625 - Recursos Humanos</v>
          </cell>
        </row>
        <row r="1610">
          <cell r="D1610" t="str">
            <v>AR10CDZ630 - Relaciones Laborales</v>
          </cell>
        </row>
        <row r="1611">
          <cell r="D1611" t="str">
            <v>AR10CK4630 - Relaciones Laborales</v>
          </cell>
        </row>
        <row r="1612">
          <cell r="D1612" t="str">
            <v>AR40LE2630 - Relaciones Laborales</v>
          </cell>
        </row>
        <row r="1613">
          <cell r="D1613" t="str">
            <v>AR10AEZ630 - Relaciones Laborales</v>
          </cell>
        </row>
        <row r="1614">
          <cell r="D1614" t="str">
            <v>AR10FEZ630 - Relaciones Laborales</v>
          </cell>
        </row>
        <row r="1615">
          <cell r="D1615" t="str">
            <v>AR10CEZ630 - Relaciones Laborales</v>
          </cell>
        </row>
        <row r="1616">
          <cell r="D1616" t="str">
            <v>AR10SEZ630 - Relaciones Laborales</v>
          </cell>
        </row>
        <row r="1617">
          <cell r="D1617" t="str">
            <v>AR10BAZ630 - Relaciones Laborales</v>
          </cell>
        </row>
        <row r="1618">
          <cell r="D1618" t="str">
            <v>AR11CAZ630 - Relaciones Laborales</v>
          </cell>
        </row>
        <row r="1619">
          <cell r="D1619" t="str">
            <v>AR40LA2630 - Relaciones Laborales</v>
          </cell>
        </row>
        <row r="1620">
          <cell r="D1620" t="str">
            <v>AR41ACZ630 - Relaciones Laborales</v>
          </cell>
        </row>
        <row r="1621">
          <cell r="D1621" t="str">
            <v>AR42AFZ630 - Relaciones Laborales</v>
          </cell>
        </row>
        <row r="1622">
          <cell r="D1622" t="str">
            <v>AR43GCZ630 - Relaciones Laborales</v>
          </cell>
        </row>
        <row r="1623">
          <cell r="D1623" t="str">
            <v>AR44GSZ630 - Relaciones Laborales</v>
          </cell>
        </row>
        <row r="1624">
          <cell r="D1624" t="str">
            <v>BO10OGZ630 - Relaciones Laborales</v>
          </cell>
        </row>
        <row r="1625">
          <cell r="D1625" t="str">
            <v>BO11CIZ630 - Relaciones Laborales</v>
          </cell>
        </row>
        <row r="1626">
          <cell r="D1626" t="str">
            <v>BO11CNZ630 - Relaciones Laborales</v>
          </cell>
        </row>
        <row r="1627">
          <cell r="D1627" t="str">
            <v>CL10CH1630 - Relaciones Laborales</v>
          </cell>
        </row>
        <row r="1628">
          <cell r="D1628" t="str">
            <v>CL10CC1630 - Relaciones Laborales</v>
          </cell>
        </row>
        <row r="1629">
          <cell r="D1629" t="str">
            <v>CL10CB1630 - Relaciones Laborales</v>
          </cell>
        </row>
        <row r="1630">
          <cell r="D1630" t="str">
            <v>AR10CD1800 - Remediación ambiental</v>
          </cell>
        </row>
        <row r="1631">
          <cell r="D1631" t="str">
            <v>AR10CD2800 - Remediación ambiental</v>
          </cell>
        </row>
        <row r="1632">
          <cell r="D1632" t="str">
            <v>AR10CD3800 - Remediación ambiental</v>
          </cell>
        </row>
        <row r="1633">
          <cell r="D1633" t="str">
            <v>AR10CD5800 - Remediación ambiental</v>
          </cell>
        </row>
        <row r="1634">
          <cell r="D1634" t="str">
            <v>AR10CD7800 - Remediación ambiental</v>
          </cell>
        </row>
        <row r="1635">
          <cell r="D1635" t="str">
            <v>AR10CD8800 - Remediación ambiental</v>
          </cell>
        </row>
        <row r="1636">
          <cell r="D1636" t="str">
            <v>AR10CD9800 - Remediación ambiental</v>
          </cell>
        </row>
        <row r="1637">
          <cell r="D1637" t="str">
            <v>AR10CDE800 - Remediación ambiental</v>
          </cell>
        </row>
        <row r="1638">
          <cell r="D1638" t="str">
            <v>AR10CDP800 - Remediación ambiental</v>
          </cell>
        </row>
        <row r="1639">
          <cell r="D1639" t="str">
            <v>AR10CDZ800 - Remediación ambiental</v>
          </cell>
        </row>
        <row r="1640">
          <cell r="D1640" t="str">
            <v>AR10CK4800 - Remediación ambiental</v>
          </cell>
        </row>
        <row r="1641">
          <cell r="D1641" t="str">
            <v>AR10ANZ800 - Remediación ambiental</v>
          </cell>
        </row>
        <row r="1642">
          <cell r="D1642" t="str">
            <v>AR10SNZ800 - Remediación ambiental</v>
          </cell>
        </row>
        <row r="1643">
          <cell r="D1643" t="str">
            <v>AR10SNZ800 - Remediación ambiental</v>
          </cell>
        </row>
        <row r="1644">
          <cell r="D1644" t="str">
            <v>AR106NZ800 - Remediación ambiental</v>
          </cell>
        </row>
        <row r="1645">
          <cell r="D1645" t="str">
            <v>AR10BNZ800 - Remediación ambiental</v>
          </cell>
        </row>
        <row r="1646">
          <cell r="D1646" t="str">
            <v>AR40LE1800 - Remediación ambiental</v>
          </cell>
        </row>
        <row r="1647">
          <cell r="D1647" t="str">
            <v>AR40LE2800 - Remediación ambiental</v>
          </cell>
        </row>
        <row r="1648">
          <cell r="D1648" t="str">
            <v>AR40LE2800 - Remediación ambiental</v>
          </cell>
        </row>
        <row r="1649">
          <cell r="D1649" t="str">
            <v>AR10AE1800 - Remediación ambiental</v>
          </cell>
        </row>
        <row r="1650">
          <cell r="D1650" t="str">
            <v>AR10AE2800 - Remediación ambiental</v>
          </cell>
        </row>
        <row r="1651">
          <cell r="D1651" t="str">
            <v>AR10AE3800 - Remediación ambiental</v>
          </cell>
        </row>
        <row r="1652">
          <cell r="D1652" t="str">
            <v>AR10AE4800 - Remediación ambiental</v>
          </cell>
        </row>
        <row r="1653">
          <cell r="D1653" t="str">
            <v>AR10AE6800 - Remediación ambiental</v>
          </cell>
        </row>
        <row r="1654">
          <cell r="D1654" t="str">
            <v>AR10AE7800 - Remediación ambiental</v>
          </cell>
        </row>
        <row r="1655">
          <cell r="D1655" t="str">
            <v>AR10AE5800 - Remediación ambiental</v>
          </cell>
        </row>
        <row r="1656">
          <cell r="D1656" t="str">
            <v>AR10AEZ800 - Remediación ambiental</v>
          </cell>
        </row>
        <row r="1657">
          <cell r="D1657" t="str">
            <v>AR10CEZ800 - Remediación ambiental</v>
          </cell>
        </row>
        <row r="1658">
          <cell r="D1658" t="str">
            <v>AR10SEZ800 - Remediación ambiental</v>
          </cell>
        </row>
        <row r="1659">
          <cell r="D1659" t="str">
            <v>AR11CNZ800 - Remediación ambiental</v>
          </cell>
        </row>
        <row r="1660">
          <cell r="D1660" t="str">
            <v>AR11SAZ800 - Remediación ambiental</v>
          </cell>
        </row>
        <row r="1661">
          <cell r="D1661" t="str">
            <v>AR13BSZ800 - Remediación ambiental</v>
          </cell>
        </row>
        <row r="1662">
          <cell r="D1662" t="str">
            <v>AR40LA1800 - Remediación ambiental</v>
          </cell>
        </row>
        <row r="1663">
          <cell r="D1663" t="str">
            <v>AR40LA2800 - Remediación ambiental</v>
          </cell>
        </row>
        <row r="1664">
          <cell r="D1664" t="str">
            <v>AR40LA2800 - Remediación ambiental</v>
          </cell>
        </row>
        <row r="1665">
          <cell r="D1665" t="str">
            <v>AR41AC1800 - Remediación ambiental</v>
          </cell>
        </row>
        <row r="1666">
          <cell r="D1666" t="str">
            <v>AR41AC2800 - Remediación ambiental</v>
          </cell>
        </row>
        <row r="1667">
          <cell r="D1667" t="str">
            <v>AR41AC3800 - Remediación ambiental</v>
          </cell>
        </row>
        <row r="1668">
          <cell r="D1668" t="str">
            <v>AR41AC4800 - Remediación ambiental</v>
          </cell>
        </row>
        <row r="1669">
          <cell r="D1669" t="str">
            <v>AR41AC6800 - Remediación ambiental</v>
          </cell>
        </row>
        <row r="1670">
          <cell r="D1670" t="str">
            <v>AR41AC7800 - Remediación ambiental</v>
          </cell>
        </row>
        <row r="1671">
          <cell r="D1671" t="str">
            <v>AR41AC5800 - Remediación ambiental</v>
          </cell>
        </row>
        <row r="1672">
          <cell r="D1672" t="str">
            <v>AR41ACZ800 - Remediación ambiental</v>
          </cell>
        </row>
        <row r="1673">
          <cell r="D1673" t="str">
            <v>AR43GCZ800 - Remediación ambiental</v>
          </cell>
        </row>
        <row r="1674">
          <cell r="D1674" t="str">
            <v>AR44GSZ800 - Remediación ambiental</v>
          </cell>
        </row>
        <row r="1675">
          <cell r="D1675" t="str">
            <v>BO11CIZ800 - Remediación ambiental</v>
          </cell>
        </row>
        <row r="1676">
          <cell r="D1676" t="str">
            <v>BO11CNZ800 - Remediación ambiental</v>
          </cell>
        </row>
        <row r="1677">
          <cell r="D1677" t="str">
            <v>CL10CH1800 - Remediación ambiental</v>
          </cell>
        </row>
        <row r="1678">
          <cell r="D1678" t="str">
            <v>CL10CC1800 - Remediación ambiental</v>
          </cell>
        </row>
        <row r="1679">
          <cell r="D1679" t="str">
            <v>CL10CB1800 - Remediación ambiental</v>
          </cell>
        </row>
        <row r="1680">
          <cell r="D1680" t="str">
            <v>AR10CD1120 - Servicios a pozos inyectores</v>
          </cell>
        </row>
        <row r="1681">
          <cell r="D1681" t="str">
            <v>AR10CD2120 - Servicios a pozos inyectores</v>
          </cell>
        </row>
        <row r="1682">
          <cell r="D1682" t="str">
            <v>AR10CD3120 - Servicios a pozos inyectores</v>
          </cell>
        </row>
        <row r="1683">
          <cell r="D1683" t="str">
            <v>AR10CD5120 - Servicios a pozos inyectores</v>
          </cell>
        </row>
        <row r="1684">
          <cell r="D1684" t="str">
            <v>AR10CD7120 - Servicios a pozos inyectores</v>
          </cell>
        </row>
        <row r="1685">
          <cell r="D1685" t="str">
            <v>AR10CD8120 - Servicios a pozos inyectores</v>
          </cell>
        </row>
        <row r="1686">
          <cell r="D1686" t="str">
            <v>AR10CD9120 - Servicios a pozos inyectores</v>
          </cell>
        </row>
        <row r="1687">
          <cell r="D1687" t="str">
            <v>AR10CK4120 - Servicios a pozos inyectores</v>
          </cell>
        </row>
        <row r="1688">
          <cell r="D1688" t="str">
            <v>AR10ANZ120 - Servicios a pozos inyectores</v>
          </cell>
        </row>
        <row r="1689">
          <cell r="D1689" t="str">
            <v>AR10SNZ120 - Servicios a pozos inyectores</v>
          </cell>
        </row>
        <row r="1690">
          <cell r="D1690" t="str">
            <v>AR104NZ120 - Servicios a pozos inyectores</v>
          </cell>
        </row>
        <row r="1691">
          <cell r="D1691" t="str">
            <v>AR106NZ120 - Servicios a pozos inyectores</v>
          </cell>
        </row>
        <row r="1692">
          <cell r="D1692" t="str">
            <v>AR10BNZ120 - Servicios a pozos inyectores</v>
          </cell>
        </row>
        <row r="1693">
          <cell r="D1693" t="str">
            <v>AR40LE1120 - Servicios a pozos inyectores</v>
          </cell>
        </row>
        <row r="1694">
          <cell r="D1694" t="str">
            <v>AR40LE2120 - Servicios a pozos inyectores</v>
          </cell>
        </row>
        <row r="1695">
          <cell r="D1695" t="str">
            <v>AR10AE1120 - Servicios a pozos inyectores</v>
          </cell>
        </row>
        <row r="1696">
          <cell r="D1696" t="str">
            <v>AR10AE2120 - Servicios a pozos inyectores</v>
          </cell>
        </row>
        <row r="1697">
          <cell r="D1697" t="str">
            <v>AR10AE3120 - Servicios a pozos inyectores</v>
          </cell>
        </row>
        <row r="1698">
          <cell r="D1698" t="str">
            <v>AR10AE4120 - Servicios a pozos inyectores</v>
          </cell>
        </row>
        <row r="1699">
          <cell r="D1699" t="str">
            <v>AR10AE5120 - Servicios a pozos inyectores</v>
          </cell>
        </row>
        <row r="1700">
          <cell r="D1700" t="str">
            <v>AR10FEZ120 - Servicios a pozos inyectores</v>
          </cell>
        </row>
        <row r="1701">
          <cell r="D1701" t="str">
            <v>AR11CNZ120 - Servicios a pozos inyectores</v>
          </cell>
        </row>
        <row r="1702">
          <cell r="D1702" t="str">
            <v>AR40LA1120 - Servicios a pozos inyectores</v>
          </cell>
        </row>
        <row r="1703">
          <cell r="D1703" t="str">
            <v>AR40LA2120 - Servicios a pozos inyectores</v>
          </cell>
        </row>
        <row r="1704">
          <cell r="D1704" t="str">
            <v>AR41AC1120 - Servicios a pozos inyectores</v>
          </cell>
        </row>
        <row r="1705">
          <cell r="D1705" t="str">
            <v>AR41AC2120 - Servicios a pozos inyectores</v>
          </cell>
        </row>
        <row r="1706">
          <cell r="D1706" t="str">
            <v>AR41AC3120 - Servicios a pozos inyectores</v>
          </cell>
        </row>
        <row r="1707">
          <cell r="D1707" t="str">
            <v>AR41AC4120 - Servicios a pozos inyectores</v>
          </cell>
        </row>
        <row r="1708">
          <cell r="D1708" t="str">
            <v>AR41AC5120 - Servicios a pozos inyectores</v>
          </cell>
        </row>
        <row r="1709">
          <cell r="D1709" t="str">
            <v>AR42AFZ120 - Servicios a pozos inyectores</v>
          </cell>
        </row>
        <row r="1710">
          <cell r="D1710" t="str">
            <v>BO11CIZ120 - Servicios a pozos inyectores</v>
          </cell>
        </row>
        <row r="1711">
          <cell r="D1711" t="str">
            <v>BO11CNZ120 - Servicios a pozos inyectores</v>
          </cell>
        </row>
        <row r="1712">
          <cell r="D1712" t="str">
            <v>CL10CH1120 - Servicios a pozos inyectores</v>
          </cell>
        </row>
        <row r="1713">
          <cell r="D1713" t="str">
            <v>CL10CC1120 - Servicios a pozos inyectores</v>
          </cell>
        </row>
        <row r="1714">
          <cell r="D1714" t="str">
            <v>CL10CB1120 - Servicios a pozos inyectores</v>
          </cell>
        </row>
        <row r="1715">
          <cell r="D1715" t="str">
            <v>AR10CD1110 - Servicios a pozos productores</v>
          </cell>
        </row>
        <row r="1716">
          <cell r="D1716" t="str">
            <v>AR10CD2110 - Servicios a pozos productores</v>
          </cell>
        </row>
        <row r="1717">
          <cell r="D1717" t="str">
            <v>AR10CD3110 - Servicios a pozos productores</v>
          </cell>
        </row>
        <row r="1718">
          <cell r="D1718" t="str">
            <v>AR10CD5110 - Servicios a pozos productores</v>
          </cell>
        </row>
        <row r="1719">
          <cell r="D1719" t="str">
            <v>AR10CD7110 - Servicios a pozos productores</v>
          </cell>
        </row>
        <row r="1720">
          <cell r="D1720" t="str">
            <v>AR10CD8110 - Servicios a pozos productores</v>
          </cell>
        </row>
        <row r="1721">
          <cell r="D1721" t="str">
            <v>AR10CD9110 - Servicios a pozos productores</v>
          </cell>
        </row>
        <row r="1722">
          <cell r="D1722" t="str">
            <v>AR10CK4110 - Servicios a pozos productores</v>
          </cell>
        </row>
        <row r="1723">
          <cell r="D1723" t="str">
            <v>AR10ANZ110 - Servicios a pozos productores</v>
          </cell>
        </row>
        <row r="1724">
          <cell r="D1724" t="str">
            <v>AR10SNZ110 - Servicios a pozos productores</v>
          </cell>
        </row>
        <row r="1725">
          <cell r="D1725" t="str">
            <v>AR104NZ110 - Servicios a pozos productores</v>
          </cell>
        </row>
        <row r="1726">
          <cell r="D1726" t="str">
            <v>AR106NZ110 - Servicios a pozos productores</v>
          </cell>
        </row>
        <row r="1727">
          <cell r="D1727" t="str">
            <v>AR10BNZ110 - Servicios a pozos productores</v>
          </cell>
        </row>
        <row r="1728">
          <cell r="D1728" t="str">
            <v>AR40LE1110 - Servicios a pozos productores</v>
          </cell>
        </row>
        <row r="1729">
          <cell r="D1729" t="str">
            <v>AR40LE2110 - Servicios a pozos productores</v>
          </cell>
        </row>
        <row r="1730">
          <cell r="D1730" t="str">
            <v>AR10AE1110 - Servicios a pozos productores</v>
          </cell>
        </row>
        <row r="1731">
          <cell r="D1731" t="str">
            <v>AR10AE2110 - Servicios a pozos productores</v>
          </cell>
        </row>
        <row r="1732">
          <cell r="D1732" t="str">
            <v>AR10AE3110 - Servicios a pozos productores</v>
          </cell>
        </row>
        <row r="1733">
          <cell r="D1733" t="str">
            <v>AR10AE4110 - Servicios a pozos productores</v>
          </cell>
        </row>
        <row r="1734">
          <cell r="D1734" t="str">
            <v>AR10AE5110 - Servicios a pozos productores</v>
          </cell>
        </row>
        <row r="1735">
          <cell r="D1735" t="str">
            <v>AR10FEZ110 - Servicios a pozos productores</v>
          </cell>
        </row>
        <row r="1736">
          <cell r="D1736" t="str">
            <v>AR11CNZ110 - Servicios a pozos productores</v>
          </cell>
        </row>
        <row r="1737">
          <cell r="D1737" t="str">
            <v>AR40LA1110 - Servicios a pozos productores</v>
          </cell>
        </row>
        <row r="1738">
          <cell r="D1738" t="str">
            <v>AR40LA2110 - Servicios a pozos productores</v>
          </cell>
        </row>
        <row r="1739">
          <cell r="D1739" t="str">
            <v>AR41AC1110 - Servicios a pozos productores</v>
          </cell>
        </row>
        <row r="1740">
          <cell r="D1740" t="str">
            <v>AR41AC2110 - Servicios a pozos productores</v>
          </cell>
        </row>
        <row r="1741">
          <cell r="D1741" t="str">
            <v>AR41AC3110 - Servicios a pozos productores</v>
          </cell>
        </row>
        <row r="1742">
          <cell r="D1742" t="str">
            <v>AR41AC4110 - Servicios a pozos productores</v>
          </cell>
        </row>
        <row r="1743">
          <cell r="D1743" t="str">
            <v>AR41AC5110 - Servicios a pozos productores</v>
          </cell>
        </row>
        <row r="1744">
          <cell r="D1744" t="str">
            <v>AR42AFZ110 - Servicios a pozos productores</v>
          </cell>
        </row>
        <row r="1745">
          <cell r="D1745" t="str">
            <v>BO11CIZ110 - Servicios a pozos productores</v>
          </cell>
        </row>
        <row r="1746">
          <cell r="D1746" t="str">
            <v>BO11CNZ110 - Servicios a pozos productores</v>
          </cell>
        </row>
        <row r="1747">
          <cell r="D1747" t="str">
            <v>CL10CH1110 - Servicios a pozos productores</v>
          </cell>
        </row>
        <row r="1748">
          <cell r="D1748" t="str">
            <v>CL10CC1110 - Servicios a pozos productores</v>
          </cell>
        </row>
        <row r="1749">
          <cell r="D1749" t="str">
            <v>CL10CB1110 - Servicios a pozos productores</v>
          </cell>
        </row>
        <row r="1750">
          <cell r="D1750" t="str">
            <v>AR10CDZ650 - Servicios De Pozos</v>
          </cell>
        </row>
        <row r="1751">
          <cell r="D1751" t="str">
            <v>AR10CK4650 - Servicios De Pozos</v>
          </cell>
        </row>
        <row r="1752">
          <cell r="D1752" t="str">
            <v>AR10CD1410 - Servicios logísticos</v>
          </cell>
        </row>
        <row r="1753">
          <cell r="D1753" t="str">
            <v>AR10CD2410 - Servicios logísticos</v>
          </cell>
        </row>
        <row r="1754">
          <cell r="D1754" t="str">
            <v>AR10CD3410 - Servicios logísticos</v>
          </cell>
        </row>
        <row r="1755">
          <cell r="D1755" t="str">
            <v>AR10CD5410 - Servicios logísticos</v>
          </cell>
        </row>
        <row r="1756">
          <cell r="D1756" t="str">
            <v>AR10CD7410 - Servicios logísticos</v>
          </cell>
        </row>
        <row r="1757">
          <cell r="D1757" t="str">
            <v>AR10CD8410 - Servicios logísticos</v>
          </cell>
        </row>
        <row r="1758">
          <cell r="D1758" t="str">
            <v>AR10CD9410 - Servicios logísticos</v>
          </cell>
        </row>
        <row r="1759">
          <cell r="D1759" t="str">
            <v>AR10CDE410 - Servicios logísticos</v>
          </cell>
        </row>
        <row r="1760">
          <cell r="D1760" t="str">
            <v>AR10CDP410 - Servicios logísticos</v>
          </cell>
        </row>
        <row r="1761">
          <cell r="D1761" t="str">
            <v>AR10CDZ410 - Servicios logísticos</v>
          </cell>
        </row>
        <row r="1762">
          <cell r="D1762" t="str">
            <v>AR10CK4410 - Servicios logísticos</v>
          </cell>
        </row>
        <row r="1763">
          <cell r="D1763" t="str">
            <v>AR10ANZ410 - Servicios logísticos</v>
          </cell>
        </row>
        <row r="1764">
          <cell r="D1764" t="str">
            <v>AR10SNZ410 - Servicios logísticos</v>
          </cell>
        </row>
        <row r="1765">
          <cell r="D1765" t="str">
            <v>AR104NZ410 - Servicios logísticos</v>
          </cell>
        </row>
        <row r="1766">
          <cell r="D1766" t="str">
            <v>AR106NZ410 - Servicios logísticos</v>
          </cell>
        </row>
        <row r="1767">
          <cell r="D1767" t="str">
            <v>AR10BNZ410 - Servicios logísticos</v>
          </cell>
        </row>
        <row r="1768">
          <cell r="D1768" t="str">
            <v>AR40LE1410 - Servicios logísticos</v>
          </cell>
        </row>
        <row r="1769">
          <cell r="D1769" t="str">
            <v>AR40LE2410 - Servicios logísticos</v>
          </cell>
        </row>
        <row r="1770">
          <cell r="D1770" t="str">
            <v>AR40LE2410 - Servicios logísticos</v>
          </cell>
        </row>
        <row r="1771">
          <cell r="D1771" t="str">
            <v>AR10AE1410 - Servicios logísticos</v>
          </cell>
        </row>
        <row r="1772">
          <cell r="D1772" t="str">
            <v>AR10AE2410 - Servicios logísticos</v>
          </cell>
        </row>
        <row r="1773">
          <cell r="D1773" t="str">
            <v>AR10AE3410 - Servicios logísticos</v>
          </cell>
        </row>
        <row r="1774">
          <cell r="D1774" t="str">
            <v>AR10AE4410 - Servicios logísticos</v>
          </cell>
        </row>
        <row r="1775">
          <cell r="D1775" t="str">
            <v>AR10AE6410 - Servicios logísticos</v>
          </cell>
        </row>
        <row r="1776">
          <cell r="D1776" t="str">
            <v>AR10AE7410 - Servicios logísticos</v>
          </cell>
        </row>
        <row r="1777">
          <cell r="D1777" t="str">
            <v>AR10AE5410 - Servicios logísticos</v>
          </cell>
        </row>
        <row r="1778">
          <cell r="D1778" t="str">
            <v>AR10AEZ410 - Servicios logísticos</v>
          </cell>
        </row>
        <row r="1779">
          <cell r="D1779" t="str">
            <v>AR10FEZ410 - Servicios logísticos</v>
          </cell>
        </row>
        <row r="1780">
          <cell r="D1780" t="str">
            <v>AR11CNZ410 - Servicios logísticos</v>
          </cell>
        </row>
        <row r="1781">
          <cell r="D1781" t="str">
            <v>AR40LA1410 - Servicios logísticos</v>
          </cell>
        </row>
        <row r="1782">
          <cell r="D1782" t="str">
            <v>AR40LA2410 - Servicios logísticos</v>
          </cell>
        </row>
        <row r="1783">
          <cell r="D1783" t="str">
            <v>AR40LA2410 - Servicios logísticos</v>
          </cell>
        </row>
        <row r="1784">
          <cell r="D1784" t="str">
            <v>AR41AC1410 - Servicios logísticos</v>
          </cell>
        </row>
        <row r="1785">
          <cell r="D1785" t="str">
            <v>AR41AC2410 - Servicios logísticos</v>
          </cell>
        </row>
        <row r="1786">
          <cell r="D1786" t="str">
            <v>AR41AC3410 - Servicios logísticos</v>
          </cell>
        </row>
        <row r="1787">
          <cell r="D1787" t="str">
            <v>AR41AC4410 - Servicios logísticos</v>
          </cell>
        </row>
        <row r="1788">
          <cell r="D1788" t="str">
            <v>AR41AC6410 - Servicios logísticos</v>
          </cell>
        </row>
        <row r="1789">
          <cell r="D1789" t="str">
            <v>AR41AC7410 - Servicios logísticos</v>
          </cell>
        </row>
        <row r="1790">
          <cell r="D1790" t="str">
            <v>AR41AC5410 - Servicios logísticos</v>
          </cell>
        </row>
        <row r="1791">
          <cell r="D1791" t="str">
            <v>AR41ACZ410 - Servicios logísticos</v>
          </cell>
        </row>
        <row r="1792">
          <cell r="D1792" t="str">
            <v>AR42AFZ410 - Servicios logísticos</v>
          </cell>
        </row>
        <row r="1793">
          <cell r="D1793" t="str">
            <v>BO11CIZ410 - Servicios logísticos</v>
          </cell>
        </row>
        <row r="1794">
          <cell r="D1794" t="str">
            <v>BO11CNZ410 - Servicios logísticos</v>
          </cell>
        </row>
        <row r="1795">
          <cell r="D1795" t="str">
            <v>CL10CH1410 - Servicios logísticos</v>
          </cell>
        </row>
        <row r="1796">
          <cell r="D1796" t="str">
            <v>CL10CC1410 - Servicios logísticos</v>
          </cell>
        </row>
        <row r="1797">
          <cell r="D1797" t="str">
            <v>CL10CB1410 - Servicios logísticos</v>
          </cell>
        </row>
        <row r="1798">
          <cell r="D1798" t="str">
            <v>AR10APZ655 - Telecomunicaciones</v>
          </cell>
        </row>
        <row r="1799">
          <cell r="D1799" t="str">
            <v>AR10SRZ655 - Telecomunicaciones</v>
          </cell>
        </row>
        <row r="1800">
          <cell r="D1800" t="str">
            <v>AR1040Z655 - Telecomunicaciones</v>
          </cell>
        </row>
        <row r="1801">
          <cell r="D1801" t="str">
            <v>AR1046Z655 - Telecomunicaciones</v>
          </cell>
        </row>
        <row r="1802">
          <cell r="D1802" t="str">
            <v>AR10BCZ655 - Telecomunicaciones</v>
          </cell>
        </row>
        <row r="1803">
          <cell r="D1803" t="str">
            <v>AR10CDZ655 - Telecomunicaciones</v>
          </cell>
        </row>
        <row r="1804">
          <cell r="D1804" t="str">
            <v>AR10CK4655 - Telecomunicaciones</v>
          </cell>
        </row>
        <row r="1805">
          <cell r="D1805" t="str">
            <v>AR40LE2655 - Telecomunicaciones</v>
          </cell>
        </row>
        <row r="1806">
          <cell r="D1806" t="str">
            <v>AR10AEZ655 - Telecomunicaciones</v>
          </cell>
        </row>
        <row r="1807">
          <cell r="D1807" t="str">
            <v>AR10FEZ655 - Telecomunicaciones</v>
          </cell>
        </row>
        <row r="1808">
          <cell r="D1808" t="str">
            <v>AR10CEZ655 - Telecomunicaciones</v>
          </cell>
        </row>
        <row r="1809">
          <cell r="D1809" t="str">
            <v>AR10SEZ655 - Telecomunicaciones</v>
          </cell>
        </row>
        <row r="1810">
          <cell r="D1810" t="str">
            <v>AR10BAZ655 - Telecomunicaciones</v>
          </cell>
        </row>
        <row r="1811">
          <cell r="D1811" t="str">
            <v>AR11CAZ655 - Telecomunicaciones</v>
          </cell>
        </row>
        <row r="1812">
          <cell r="D1812" t="str">
            <v>AR40LA2655 - Telecomunicaciones</v>
          </cell>
        </row>
        <row r="1813">
          <cell r="D1813" t="str">
            <v>AR41ACZ655 - Telecomunicaciones</v>
          </cell>
        </row>
        <row r="1814">
          <cell r="D1814" t="str">
            <v>AR42AFZ655 - Telecomunicaciones</v>
          </cell>
        </row>
        <row r="1815">
          <cell r="D1815" t="str">
            <v>AR43GCZ655 - Telecomunicaciones</v>
          </cell>
        </row>
        <row r="1816">
          <cell r="D1816" t="str">
            <v>AR44GSZ655 - Telecomunicaciones</v>
          </cell>
        </row>
        <row r="1817">
          <cell r="D1817" t="str">
            <v>BO10OGZ655 - Telecomunicaciones</v>
          </cell>
        </row>
        <row r="1818">
          <cell r="D1818" t="str">
            <v>BO11CIZ655 - Telecomunicaciones</v>
          </cell>
        </row>
        <row r="1819">
          <cell r="D1819" t="str">
            <v>BO11CNZ655 - Telecomunicaciones</v>
          </cell>
        </row>
        <row r="1820">
          <cell r="D1820" t="str">
            <v>CL10CH1655 - Telecomunicaciones</v>
          </cell>
        </row>
        <row r="1821">
          <cell r="D1821" t="str">
            <v>CL10CC1655 - Telecomunicaciones</v>
          </cell>
        </row>
        <row r="1822">
          <cell r="D1822" t="str">
            <v>CL10CB1655 - Telecomunicaciones</v>
          </cell>
        </row>
        <row r="1823">
          <cell r="D1823" t="str">
            <v>AR40LE2670 - VP de Operaciones de Gas</v>
          </cell>
        </row>
        <row r="1824">
          <cell r="D1824" t="str">
            <v>AR10AEZ670 - VP de Operaciones de Gas</v>
          </cell>
        </row>
        <row r="1825">
          <cell r="D1825" t="str">
            <v>AR10FEZ670 - VP de Operaciones de Gas</v>
          </cell>
        </row>
        <row r="1826">
          <cell r="D1826" t="str">
            <v>AR10CEZ670 - VP de Operaciones de Gas</v>
          </cell>
        </row>
        <row r="1827">
          <cell r="D1827" t="str">
            <v>AR10SEZ670 - VP de Operaciones de Gas</v>
          </cell>
        </row>
        <row r="1828">
          <cell r="D1828" t="str">
            <v>AR10BAZ670 - VP de Operaciones de Gas</v>
          </cell>
        </row>
        <row r="1829">
          <cell r="D1829" t="str">
            <v>AR11CAZ670 - VP de Operaciones de Gas</v>
          </cell>
        </row>
        <row r="1830">
          <cell r="D1830" t="str">
            <v>AR40LA2670 - VP de Operaciones de Gas</v>
          </cell>
        </row>
        <row r="1831">
          <cell r="D1831" t="str">
            <v>AR41ACZ670 - VP de Operaciones de Gas</v>
          </cell>
        </row>
        <row r="1832">
          <cell r="D1832" t="str">
            <v>AR42AFZ670 - VP de Operaciones de Gas</v>
          </cell>
        </row>
        <row r="1833">
          <cell r="D1833" t="str">
            <v>AR43GCZ670 - VP de Operaciones de Gas</v>
          </cell>
        </row>
        <row r="1834">
          <cell r="D1834" t="str">
            <v>AR44GSZ670 - VP de Operaciones de Gas</v>
          </cell>
        </row>
        <row r="1835">
          <cell r="D1835" t="str">
            <v>BO10OGZ670 - VP de Operaciones de Gas</v>
          </cell>
        </row>
        <row r="1836">
          <cell r="D1836" t="str">
            <v>BO11CIZ670 - VP de Operaciones de Gas</v>
          </cell>
        </row>
        <row r="1837">
          <cell r="D1837" t="str">
            <v>BO11CNZ670 - VP de Operaciones de Gas</v>
          </cell>
        </row>
        <row r="1838">
          <cell r="D1838" t="str">
            <v>CL10CH1670 - VP de Operaciones de Gas</v>
          </cell>
        </row>
        <row r="1839">
          <cell r="D1839" t="str">
            <v>CL10CC1670 - VP de Operaciones de Gas</v>
          </cell>
        </row>
        <row r="1840">
          <cell r="D1840" t="str">
            <v>CL10CB1670 - VP de Operaciones de Gas</v>
          </cell>
        </row>
        <row r="1841">
          <cell r="D1841" t="str">
            <v>AR10BAZ680 - VP desarrollo de Negocios</v>
          </cell>
        </row>
        <row r="1842">
          <cell r="D1842" t="str">
            <v>AR10BAZ745 - VP Op. Offshore</v>
          </cell>
        </row>
      </sheetData>
      <sheetData sheetId="8"/>
      <sheetData sheetId="9"/>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GRAMA"/>
      <sheetName val="CHART"/>
      <sheetName val="WO 1"/>
      <sheetName val="WO 2"/>
      <sheetName val="TI 1"/>
      <sheetName val="Datos"/>
      <sheetName val="Production"/>
      <sheetName val="Planilla"/>
      <sheetName val="Output"/>
      <sheetName val="Sens"/>
      <sheetName val="Instructivo"/>
    </sheetNames>
    <sheetDataSet>
      <sheetData sheetId="0" refreshError="1"/>
      <sheetData sheetId="1" refreshError="1"/>
      <sheetData sheetId="2" refreshError="1">
        <row r="53">
          <cell r="Q53">
            <v>2.9</v>
          </cell>
        </row>
      </sheetData>
      <sheetData sheetId="3" refreshError="1"/>
      <sheetData sheetId="4" refreshError="1"/>
      <sheetData sheetId="5" refreshError="1"/>
      <sheetData sheetId="6" refreshError="1"/>
      <sheetData sheetId="7" refreshError="1">
        <row r="8">
          <cell r="BG8">
            <v>59.900348735632186</v>
          </cell>
          <cell r="BH8">
            <v>9.9999999999999995E-7</v>
          </cell>
        </row>
        <row r="9">
          <cell r="B9">
            <v>1</v>
          </cell>
          <cell r="C9">
            <v>12</v>
          </cell>
          <cell r="BG9">
            <v>0</v>
          </cell>
          <cell r="BH9">
            <v>0</v>
          </cell>
          <cell r="BI9">
            <v>0</v>
          </cell>
          <cell r="BJ9">
            <v>1.3541754761615554</v>
          </cell>
          <cell r="BK9">
            <v>0</v>
          </cell>
          <cell r="BL9">
            <v>0</v>
          </cell>
          <cell r="BM9">
            <v>0</v>
          </cell>
        </row>
        <row r="10">
          <cell r="B10">
            <v>2</v>
          </cell>
          <cell r="C10">
            <v>12</v>
          </cell>
          <cell r="BG10">
            <v>0</v>
          </cell>
          <cell r="BH10">
            <v>0</v>
          </cell>
          <cell r="BI10">
            <v>0</v>
          </cell>
          <cell r="BJ10">
            <v>1.0210576139694219</v>
          </cell>
          <cell r="BK10">
            <v>0</v>
          </cell>
          <cell r="BL10">
            <v>0</v>
          </cell>
          <cell r="BM10">
            <v>0</v>
          </cell>
        </row>
        <row r="11">
          <cell r="B11">
            <v>3</v>
          </cell>
          <cell r="C11">
            <v>12</v>
          </cell>
          <cell r="BG11">
            <v>0</v>
          </cell>
          <cell r="BH11">
            <v>0</v>
          </cell>
          <cell r="BI11">
            <v>0</v>
          </cell>
          <cell r="BJ11">
            <v>0.80124098557855672</v>
          </cell>
          <cell r="BK11">
            <v>0</v>
          </cell>
          <cell r="BL11">
            <v>0</v>
          </cell>
          <cell r="BM11">
            <v>0</v>
          </cell>
        </row>
        <row r="12">
          <cell r="B12">
            <v>4</v>
          </cell>
          <cell r="C12">
            <v>12</v>
          </cell>
          <cell r="BG12">
            <v>0</v>
          </cell>
          <cell r="BH12">
            <v>0</v>
          </cell>
          <cell r="BI12">
            <v>0</v>
          </cell>
          <cell r="BJ12">
            <v>0.62874720112524696</v>
          </cell>
          <cell r="BK12">
            <v>0</v>
          </cell>
          <cell r="BL12">
            <v>0</v>
          </cell>
          <cell r="BM12">
            <v>0</v>
          </cell>
        </row>
        <row r="13">
          <cell r="B13">
            <v>5</v>
          </cell>
          <cell r="C13">
            <v>12</v>
          </cell>
          <cell r="BG13">
            <v>0</v>
          </cell>
          <cell r="BH13">
            <v>0</v>
          </cell>
          <cell r="BI13">
            <v>0</v>
          </cell>
          <cell r="BJ13">
            <v>0.49338844372442914</v>
          </cell>
          <cell r="BK13">
            <v>0</v>
          </cell>
          <cell r="BL13">
            <v>0</v>
          </cell>
          <cell r="BM13">
            <v>0</v>
          </cell>
        </row>
      </sheetData>
      <sheetData sheetId="8" refreshError="1"/>
      <sheetData sheetId="9" refreshError="1"/>
      <sheetData sheetId="10"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RDO.BUDGET 99"/>
      <sheetName val="RESUMEN BUDGET 99"/>
      <sheetName val="RESUMEN INV CAP"/>
      <sheetName val="RESUMEN INV NO CAP"/>
      <sheetName val="RESUMEN INV EXPLORA"/>
      <sheetName val="INV. TOTAL"/>
      <sheetName val="501"/>
      <sheetName val="501 Aclara"/>
      <sheetName val="505"/>
      <sheetName val="505 Aclara"/>
      <sheetName val="506"/>
      <sheetName val="506 Aclara"/>
      <sheetName val="507"/>
      <sheetName val="507 Aclara"/>
      <sheetName val="510"/>
      <sheetName val="510 Aclara"/>
      <sheetName val="514"/>
      <sheetName val="514 Aclara"/>
      <sheetName val="500"/>
      <sheetName val="500 Aclara"/>
      <sheetName val="INV. EXP TOTAL"/>
      <sheetName val="501 Exp"/>
      <sheetName val="501 Exp Aclara"/>
      <sheetName val="505 Exp"/>
      <sheetName val="505 Exp Aclara"/>
      <sheetName val="506 Exp"/>
      <sheetName val="506 Exp Aclara"/>
      <sheetName val="Budget 2000 Vs. Fct 8+4 "/>
      <sheetName val="RESUMEN PROD"/>
      <sheetName val="PROD TOTAL"/>
      <sheetName val="PROD DIA Y MES"/>
      <sheetName val="PRECIOS GAS"/>
      <sheetName val="PRECIOS OIL"/>
      <sheetName val="CASHFLO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1">
          <cell r="N1" t="str">
            <v>U$S 000</v>
          </cell>
        </row>
        <row r="2">
          <cell r="A2" t="str">
            <v>INVESTMENT AND DEVELOPMENT PLAN YEAR 2000</v>
          </cell>
        </row>
        <row r="3">
          <cell r="A3" t="str">
            <v>NEUQUEN OFFICE - BUDGET 2000</v>
          </cell>
        </row>
        <row r="6">
          <cell r="B6" t="str">
            <v>Jan</v>
          </cell>
          <cell r="C6" t="str">
            <v>Feb</v>
          </cell>
          <cell r="D6" t="str">
            <v>Mar</v>
          </cell>
          <cell r="E6" t="str">
            <v>Apr</v>
          </cell>
          <cell r="F6" t="str">
            <v>May</v>
          </cell>
          <cell r="G6" t="str">
            <v>Jun</v>
          </cell>
          <cell r="H6" t="str">
            <v>Jul</v>
          </cell>
          <cell r="I6" t="str">
            <v>Aug</v>
          </cell>
          <cell r="J6" t="str">
            <v>Sep</v>
          </cell>
          <cell r="K6" t="str">
            <v>Oct</v>
          </cell>
          <cell r="L6" t="str">
            <v>Nov</v>
          </cell>
          <cell r="M6" t="str">
            <v>Dec</v>
          </cell>
          <cell r="N6" t="str">
            <v>Total</v>
          </cell>
        </row>
        <row r="8">
          <cell r="A8" t="str">
            <v>Drilling &amp; Completion</v>
          </cell>
          <cell r="N8">
            <v>0</v>
          </cell>
        </row>
        <row r="9">
          <cell r="N9">
            <v>0</v>
          </cell>
        </row>
        <row r="11">
          <cell r="A11" t="str">
            <v>Prod. Well Equipment</v>
          </cell>
          <cell r="N11">
            <v>0</v>
          </cell>
        </row>
        <row r="12">
          <cell r="N12">
            <v>0</v>
          </cell>
        </row>
        <row r="14">
          <cell r="A14" t="str">
            <v>Plants</v>
          </cell>
          <cell r="B14">
            <v>0</v>
          </cell>
          <cell r="C14">
            <v>0</v>
          </cell>
          <cell r="D14">
            <v>100</v>
          </cell>
          <cell r="E14">
            <v>100</v>
          </cell>
          <cell r="F14">
            <v>100</v>
          </cell>
          <cell r="G14">
            <v>100</v>
          </cell>
          <cell r="H14">
            <v>100</v>
          </cell>
          <cell r="I14">
            <v>0</v>
          </cell>
          <cell r="J14">
            <v>0</v>
          </cell>
          <cell r="K14">
            <v>0</v>
          </cell>
          <cell r="L14">
            <v>0</v>
          </cell>
          <cell r="M14">
            <v>0</v>
          </cell>
          <cell r="N14">
            <v>500</v>
          </cell>
        </row>
        <row r="15">
          <cell r="A15" t="str">
            <v xml:space="preserve">        Neuquén Base</v>
          </cell>
          <cell r="D15">
            <v>100</v>
          </cell>
          <cell r="E15">
            <v>100</v>
          </cell>
          <cell r="F15">
            <v>100</v>
          </cell>
          <cell r="G15">
            <v>100</v>
          </cell>
          <cell r="H15">
            <v>100</v>
          </cell>
          <cell r="N15">
            <v>500</v>
          </cell>
        </row>
        <row r="16">
          <cell r="A16" t="str">
            <v xml:space="preserve">        Injection</v>
          </cell>
          <cell r="N16">
            <v>0</v>
          </cell>
        </row>
        <row r="17">
          <cell r="A17" t="str">
            <v xml:space="preserve">        Gasoline Line</v>
          </cell>
          <cell r="N17">
            <v>0</v>
          </cell>
        </row>
        <row r="18">
          <cell r="A18" t="str">
            <v xml:space="preserve">        Gas Plant</v>
          </cell>
          <cell r="N18">
            <v>0</v>
          </cell>
        </row>
        <row r="19">
          <cell r="A19" t="str">
            <v xml:space="preserve">        Deferred</v>
          </cell>
          <cell r="N19">
            <v>0</v>
          </cell>
        </row>
        <row r="21">
          <cell r="A21" t="str">
            <v>Gas Project</v>
          </cell>
          <cell r="N21">
            <v>0</v>
          </cell>
        </row>
        <row r="23">
          <cell r="A23" t="str">
            <v>Gas Lift / Plunger Lift</v>
          </cell>
          <cell r="N23">
            <v>0</v>
          </cell>
        </row>
        <row r="24">
          <cell r="N24">
            <v>0</v>
          </cell>
        </row>
        <row r="26">
          <cell r="A26" t="str">
            <v>Vehicles</v>
          </cell>
          <cell r="D26">
            <v>36</v>
          </cell>
          <cell r="N26">
            <v>36</v>
          </cell>
        </row>
        <row r="27">
          <cell r="D27">
            <v>2</v>
          </cell>
          <cell r="N27">
            <v>2</v>
          </cell>
        </row>
        <row r="29">
          <cell r="A29" t="str">
            <v>Miscellaneous</v>
          </cell>
          <cell r="B29">
            <v>5.7</v>
          </cell>
          <cell r="C29">
            <v>43.5</v>
          </cell>
          <cell r="N29">
            <v>49.2</v>
          </cell>
        </row>
        <row r="30">
          <cell r="N30">
            <v>0</v>
          </cell>
        </row>
        <row r="31">
          <cell r="A31" t="str">
            <v>Total Capitalized</v>
          </cell>
          <cell r="B31">
            <v>5.7</v>
          </cell>
          <cell r="C31">
            <v>43.5</v>
          </cell>
          <cell r="D31">
            <v>136</v>
          </cell>
          <cell r="E31">
            <v>100</v>
          </cell>
          <cell r="F31">
            <v>100</v>
          </cell>
          <cell r="G31">
            <v>100</v>
          </cell>
          <cell r="H31">
            <v>100</v>
          </cell>
          <cell r="I31">
            <v>0</v>
          </cell>
          <cell r="J31">
            <v>0</v>
          </cell>
          <cell r="K31">
            <v>0</v>
          </cell>
          <cell r="L31">
            <v>0</v>
          </cell>
          <cell r="M31">
            <v>0</v>
          </cell>
          <cell r="N31">
            <v>585.20000000000005</v>
          </cell>
        </row>
        <row r="33">
          <cell r="A33" t="str">
            <v>Workovers</v>
          </cell>
          <cell r="N33">
            <v>0</v>
          </cell>
        </row>
        <row r="34">
          <cell r="N34">
            <v>0</v>
          </cell>
        </row>
        <row r="36">
          <cell r="A36" t="str">
            <v>Conversions &amp; Sel. Inyec.</v>
          </cell>
          <cell r="N36">
            <v>0</v>
          </cell>
        </row>
        <row r="37">
          <cell r="N37">
            <v>0</v>
          </cell>
        </row>
        <row r="39">
          <cell r="A39" t="str">
            <v>Water Disposal System</v>
          </cell>
          <cell r="N39">
            <v>0</v>
          </cell>
        </row>
        <row r="40">
          <cell r="N40">
            <v>0</v>
          </cell>
        </row>
        <row r="42">
          <cell r="A42" t="str">
            <v>Repair Oil &amp; Gas Line</v>
          </cell>
          <cell r="N42">
            <v>0</v>
          </cell>
        </row>
        <row r="44">
          <cell r="A44" t="str">
            <v>Core Analysis</v>
          </cell>
          <cell r="N44">
            <v>0</v>
          </cell>
        </row>
        <row r="46">
          <cell r="A46" t="str">
            <v>Testing</v>
          </cell>
          <cell r="N46">
            <v>0</v>
          </cell>
        </row>
        <row r="49">
          <cell r="A49" t="str">
            <v>Enviroment</v>
          </cell>
          <cell r="N49">
            <v>0</v>
          </cell>
        </row>
        <row r="52">
          <cell r="A52" t="str">
            <v>Road &amp; Dirt Works</v>
          </cell>
          <cell r="N52">
            <v>0</v>
          </cell>
        </row>
        <row r="54">
          <cell r="A54" t="str">
            <v>Miscellaneous Studies</v>
          </cell>
          <cell r="N54">
            <v>0</v>
          </cell>
        </row>
        <row r="56">
          <cell r="A56" t="str">
            <v>Miscellaneous</v>
          </cell>
          <cell r="N56">
            <v>0</v>
          </cell>
        </row>
        <row r="58">
          <cell r="A58" t="str">
            <v>Abandoned Well</v>
          </cell>
          <cell r="N58">
            <v>0</v>
          </cell>
        </row>
        <row r="60">
          <cell r="A60" t="str">
            <v>Total Non Capitalized</v>
          </cell>
          <cell r="B60">
            <v>0</v>
          </cell>
          <cell r="C60">
            <v>0</v>
          </cell>
          <cell r="D60">
            <v>0</v>
          </cell>
          <cell r="E60">
            <v>0</v>
          </cell>
          <cell r="F60">
            <v>0</v>
          </cell>
          <cell r="G60">
            <v>0</v>
          </cell>
          <cell r="H60">
            <v>0</v>
          </cell>
          <cell r="I60">
            <v>0</v>
          </cell>
          <cell r="J60">
            <v>0</v>
          </cell>
          <cell r="K60">
            <v>0</v>
          </cell>
          <cell r="L60">
            <v>0</v>
          </cell>
          <cell r="M60">
            <v>0</v>
          </cell>
          <cell r="N60">
            <v>0</v>
          </cell>
        </row>
        <row r="61">
          <cell r="A61" t="str">
            <v>Total Investiments</v>
          </cell>
          <cell r="B61">
            <v>5.7</v>
          </cell>
          <cell r="C61">
            <v>43.5</v>
          </cell>
          <cell r="D61">
            <v>136</v>
          </cell>
          <cell r="E61">
            <v>100</v>
          </cell>
          <cell r="F61">
            <v>100</v>
          </cell>
          <cell r="G61">
            <v>100</v>
          </cell>
          <cell r="H61">
            <v>100</v>
          </cell>
          <cell r="I61">
            <v>0</v>
          </cell>
          <cell r="J61">
            <v>0</v>
          </cell>
          <cell r="K61">
            <v>0</v>
          </cell>
          <cell r="L61">
            <v>0</v>
          </cell>
          <cell r="M61">
            <v>0</v>
          </cell>
          <cell r="N61">
            <v>585.20000000000005</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EF. C"/>
      <sheetName val="COEF_ C"/>
      <sheetName val="Informe"/>
      <sheetName val="AREA100"/>
      <sheetName val="AREA200"/>
      <sheetName val="AREA300"/>
      <sheetName val="AREA400"/>
      <sheetName val="AREA600"/>
      <sheetName val="AREA700"/>
      <sheetName val="AREA900"/>
      <sheetName val="AREA1000"/>
      <sheetName val="AREA1100"/>
      <sheetName val="AREA1200"/>
      <sheetName val="AREA1300"/>
      <sheetName val="AREA1400"/>
      <sheetName val="AREA1500"/>
      <sheetName val="AREA1600"/>
      <sheetName val="instrumentos"/>
      <sheetName val="PPIO."/>
      <sheetName val="Hoja1"/>
      <sheetName val="EQUIPOS"/>
      <sheetName val="PLANTA DE ALCOHOL"/>
      <sheetName val="INSTRUMENTOS DE SERVICIO"/>
      <sheetName val="CLORINADOR, ABLANDADOR Y CALENT"/>
      <sheetName val="Caratula"/>
      <sheetName val="Graficos LRP"/>
      <sheetName val="PE 2005-2009"/>
      <sheetName val="COEF__C"/>
      <sheetName val="COEF__C1"/>
      <sheetName val="Base"/>
      <sheetName val="Sheet 2"/>
    </sheetNames>
    <sheetDataSet>
      <sheetData sheetId="0" refreshError="1">
        <row r="5">
          <cell r="A5">
            <v>1.01</v>
          </cell>
          <cell r="B5">
            <v>317</v>
          </cell>
        </row>
        <row r="6">
          <cell r="A6">
            <v>1.02</v>
          </cell>
          <cell r="B6">
            <v>318</v>
          </cell>
        </row>
        <row r="7">
          <cell r="A7">
            <v>1.03</v>
          </cell>
          <cell r="B7">
            <v>319</v>
          </cell>
        </row>
        <row r="8">
          <cell r="A8">
            <v>1.04</v>
          </cell>
          <cell r="B8">
            <v>320</v>
          </cell>
        </row>
        <row r="9">
          <cell r="A9">
            <v>1.05</v>
          </cell>
          <cell r="B9">
            <v>321</v>
          </cell>
        </row>
        <row r="10">
          <cell r="A10">
            <v>1.06</v>
          </cell>
          <cell r="B10">
            <v>322</v>
          </cell>
        </row>
        <row r="11">
          <cell r="A11">
            <v>1.07</v>
          </cell>
          <cell r="B11">
            <v>323</v>
          </cell>
        </row>
        <row r="12">
          <cell r="A12">
            <v>1.08</v>
          </cell>
          <cell r="B12">
            <v>325</v>
          </cell>
        </row>
        <row r="13">
          <cell r="A13">
            <v>1.0900000000000001</v>
          </cell>
          <cell r="B13">
            <v>326</v>
          </cell>
        </row>
        <row r="14">
          <cell r="A14">
            <v>1.1000000000000001</v>
          </cell>
          <cell r="B14">
            <v>327</v>
          </cell>
        </row>
        <row r="15">
          <cell r="A15">
            <v>1.1100000000000001</v>
          </cell>
          <cell r="B15">
            <v>328</v>
          </cell>
        </row>
        <row r="16">
          <cell r="A16">
            <v>1.1200000000000001</v>
          </cell>
          <cell r="B16">
            <v>329</v>
          </cell>
        </row>
        <row r="17">
          <cell r="A17">
            <v>1.1299999999999999</v>
          </cell>
          <cell r="B17">
            <v>330</v>
          </cell>
        </row>
        <row r="18">
          <cell r="A18">
            <v>1.1399999999999999</v>
          </cell>
          <cell r="B18">
            <v>331</v>
          </cell>
        </row>
        <row r="19">
          <cell r="A19">
            <v>1.1499999999999999</v>
          </cell>
          <cell r="B19">
            <v>332</v>
          </cell>
        </row>
        <row r="20">
          <cell r="A20">
            <v>1.1599999999999999</v>
          </cell>
          <cell r="B20">
            <v>333</v>
          </cell>
        </row>
        <row r="21">
          <cell r="A21">
            <v>1.17</v>
          </cell>
          <cell r="B21">
            <v>334</v>
          </cell>
        </row>
        <row r="22">
          <cell r="A22">
            <v>1.18</v>
          </cell>
          <cell r="B22">
            <v>335</v>
          </cell>
        </row>
        <row r="23">
          <cell r="A23">
            <v>1.19</v>
          </cell>
          <cell r="B23">
            <v>336</v>
          </cell>
        </row>
        <row r="24">
          <cell r="A24">
            <v>1.2</v>
          </cell>
          <cell r="B24">
            <v>337</v>
          </cell>
        </row>
        <row r="25">
          <cell r="A25">
            <v>1.21</v>
          </cell>
          <cell r="B25">
            <v>338</v>
          </cell>
        </row>
        <row r="26">
          <cell r="A26">
            <v>1.22</v>
          </cell>
          <cell r="B26">
            <v>339</v>
          </cell>
        </row>
        <row r="27">
          <cell r="A27">
            <v>1.23</v>
          </cell>
          <cell r="B27">
            <v>340</v>
          </cell>
        </row>
        <row r="28">
          <cell r="A28">
            <v>1.24</v>
          </cell>
          <cell r="B28">
            <v>341</v>
          </cell>
        </row>
        <row r="29">
          <cell r="A29">
            <v>1.25</v>
          </cell>
          <cell r="B29">
            <v>342</v>
          </cell>
        </row>
        <row r="30">
          <cell r="A30">
            <v>1.26</v>
          </cell>
          <cell r="B30">
            <v>343</v>
          </cell>
        </row>
        <row r="31">
          <cell r="A31">
            <v>1.27</v>
          </cell>
          <cell r="B31">
            <v>344</v>
          </cell>
        </row>
        <row r="32">
          <cell r="A32">
            <v>1.28</v>
          </cell>
          <cell r="B32">
            <v>345</v>
          </cell>
        </row>
        <row r="33">
          <cell r="A33">
            <v>1.29</v>
          </cell>
          <cell r="B33">
            <v>346</v>
          </cell>
        </row>
        <row r="34">
          <cell r="A34">
            <v>1.3</v>
          </cell>
          <cell r="B34">
            <v>347</v>
          </cell>
        </row>
        <row r="35">
          <cell r="A35">
            <v>1.31</v>
          </cell>
          <cell r="B35">
            <v>348</v>
          </cell>
        </row>
        <row r="36">
          <cell r="A36">
            <v>1.32</v>
          </cell>
          <cell r="B36">
            <v>349</v>
          </cell>
        </row>
        <row r="37">
          <cell r="A37">
            <v>1.33</v>
          </cell>
          <cell r="B37">
            <v>350</v>
          </cell>
        </row>
        <row r="38">
          <cell r="A38">
            <v>1.34</v>
          </cell>
          <cell r="B38">
            <v>351</v>
          </cell>
        </row>
        <row r="39">
          <cell r="A39">
            <v>1.35</v>
          </cell>
          <cell r="B39">
            <v>352</v>
          </cell>
        </row>
        <row r="40">
          <cell r="A40">
            <v>1.36</v>
          </cell>
          <cell r="B40">
            <v>353</v>
          </cell>
        </row>
        <row r="41">
          <cell r="A41">
            <v>1.37</v>
          </cell>
          <cell r="B41">
            <v>353</v>
          </cell>
        </row>
        <row r="42">
          <cell r="A42">
            <v>1.38</v>
          </cell>
          <cell r="B42">
            <v>354</v>
          </cell>
        </row>
        <row r="43">
          <cell r="A43">
            <v>1.39</v>
          </cell>
          <cell r="B43">
            <v>355</v>
          </cell>
        </row>
        <row r="44">
          <cell r="A44">
            <v>1.4</v>
          </cell>
          <cell r="B44">
            <v>356</v>
          </cell>
        </row>
        <row r="45">
          <cell r="A45">
            <v>1.41</v>
          </cell>
          <cell r="B45">
            <v>357</v>
          </cell>
        </row>
        <row r="46">
          <cell r="A46">
            <v>1.42</v>
          </cell>
          <cell r="B46">
            <v>358</v>
          </cell>
        </row>
        <row r="47">
          <cell r="A47">
            <v>1.43</v>
          </cell>
          <cell r="B47">
            <v>359</v>
          </cell>
        </row>
        <row r="48">
          <cell r="A48">
            <v>1.44</v>
          </cell>
          <cell r="B48">
            <v>360</v>
          </cell>
        </row>
        <row r="49">
          <cell r="A49">
            <v>1.45</v>
          </cell>
          <cell r="B49">
            <v>360</v>
          </cell>
        </row>
        <row r="50">
          <cell r="A50">
            <v>1.46</v>
          </cell>
          <cell r="B50">
            <v>361</v>
          </cell>
        </row>
        <row r="51">
          <cell r="A51">
            <v>1.47</v>
          </cell>
          <cell r="B51">
            <v>362</v>
          </cell>
        </row>
        <row r="52">
          <cell r="A52">
            <v>1.48</v>
          </cell>
          <cell r="B52">
            <v>363</v>
          </cell>
        </row>
        <row r="53">
          <cell r="A53">
            <v>1.49</v>
          </cell>
          <cell r="B53">
            <v>364</v>
          </cell>
        </row>
        <row r="54">
          <cell r="A54">
            <v>1.5</v>
          </cell>
          <cell r="B54">
            <v>365</v>
          </cell>
        </row>
        <row r="55">
          <cell r="A55">
            <v>1.51</v>
          </cell>
          <cell r="B55">
            <v>365</v>
          </cell>
        </row>
        <row r="56">
          <cell r="A56">
            <v>1.52</v>
          </cell>
          <cell r="B56">
            <v>366</v>
          </cell>
        </row>
        <row r="57">
          <cell r="A57">
            <v>1.53</v>
          </cell>
          <cell r="B57">
            <v>367</v>
          </cell>
        </row>
        <row r="58">
          <cell r="A58">
            <v>1.54</v>
          </cell>
          <cell r="B58">
            <v>368</v>
          </cell>
        </row>
        <row r="59">
          <cell r="A59">
            <v>1.55</v>
          </cell>
          <cell r="B59">
            <v>369</v>
          </cell>
        </row>
        <row r="60">
          <cell r="A60">
            <v>1.56</v>
          </cell>
          <cell r="B60">
            <v>369</v>
          </cell>
        </row>
        <row r="61">
          <cell r="A61">
            <v>1.57</v>
          </cell>
          <cell r="B61">
            <v>370</v>
          </cell>
        </row>
        <row r="62">
          <cell r="A62">
            <v>1.58</v>
          </cell>
          <cell r="B62">
            <v>371</v>
          </cell>
        </row>
        <row r="63">
          <cell r="A63">
            <v>1.59</v>
          </cell>
          <cell r="B63">
            <v>372</v>
          </cell>
        </row>
        <row r="64">
          <cell r="A64">
            <v>1.6</v>
          </cell>
          <cell r="B64">
            <v>373</v>
          </cell>
        </row>
        <row r="65">
          <cell r="A65">
            <v>1.61</v>
          </cell>
          <cell r="B65">
            <v>373</v>
          </cell>
        </row>
        <row r="66">
          <cell r="A66">
            <v>1.62</v>
          </cell>
          <cell r="B66">
            <v>374</v>
          </cell>
        </row>
        <row r="67">
          <cell r="A67">
            <v>1.63</v>
          </cell>
          <cell r="B67">
            <v>375</v>
          </cell>
        </row>
        <row r="68">
          <cell r="A68">
            <v>1.64</v>
          </cell>
          <cell r="B68">
            <v>376</v>
          </cell>
        </row>
        <row r="69">
          <cell r="A69">
            <v>1.65</v>
          </cell>
          <cell r="B69">
            <v>376</v>
          </cell>
        </row>
        <row r="70">
          <cell r="A70">
            <v>1.66</v>
          </cell>
          <cell r="B70">
            <v>377</v>
          </cell>
        </row>
        <row r="71">
          <cell r="A71">
            <v>1.67</v>
          </cell>
          <cell r="B71">
            <v>378</v>
          </cell>
        </row>
        <row r="72">
          <cell r="A72">
            <v>1.68</v>
          </cell>
          <cell r="B72">
            <v>379</v>
          </cell>
        </row>
        <row r="73">
          <cell r="A73">
            <v>1.69</v>
          </cell>
          <cell r="B73">
            <v>379</v>
          </cell>
        </row>
        <row r="74">
          <cell r="A74">
            <v>1.7</v>
          </cell>
          <cell r="B74">
            <v>380</v>
          </cell>
        </row>
        <row r="75">
          <cell r="A75">
            <v>1.71</v>
          </cell>
          <cell r="B75">
            <v>381</v>
          </cell>
        </row>
        <row r="76">
          <cell r="A76">
            <v>1.72</v>
          </cell>
          <cell r="B76">
            <v>382</v>
          </cell>
        </row>
        <row r="77">
          <cell r="A77">
            <v>1.73</v>
          </cell>
          <cell r="B77">
            <v>382</v>
          </cell>
        </row>
        <row r="78">
          <cell r="A78">
            <v>1.74</v>
          </cell>
          <cell r="B78">
            <v>383</v>
          </cell>
        </row>
        <row r="79">
          <cell r="A79">
            <v>1.75</v>
          </cell>
          <cell r="B79">
            <v>384</v>
          </cell>
        </row>
        <row r="80">
          <cell r="A80">
            <v>1.76</v>
          </cell>
          <cell r="B80">
            <v>384</v>
          </cell>
        </row>
        <row r="81">
          <cell r="A81">
            <v>1.77</v>
          </cell>
          <cell r="B81">
            <v>385</v>
          </cell>
        </row>
        <row r="82">
          <cell r="A82">
            <v>1.78</v>
          </cell>
          <cell r="B82">
            <v>386</v>
          </cell>
        </row>
        <row r="83">
          <cell r="A83">
            <v>1.79</v>
          </cell>
          <cell r="B83">
            <v>386</v>
          </cell>
        </row>
        <row r="84">
          <cell r="A84">
            <v>1.8</v>
          </cell>
          <cell r="B84">
            <v>387</v>
          </cell>
        </row>
        <row r="85">
          <cell r="A85">
            <v>1.81</v>
          </cell>
          <cell r="B85">
            <v>388</v>
          </cell>
        </row>
        <row r="86">
          <cell r="A86">
            <v>1.82</v>
          </cell>
          <cell r="B86">
            <v>389</v>
          </cell>
        </row>
        <row r="87">
          <cell r="A87">
            <v>1.83</v>
          </cell>
          <cell r="B87">
            <v>389</v>
          </cell>
        </row>
        <row r="88">
          <cell r="A88">
            <v>1.84</v>
          </cell>
          <cell r="B88">
            <v>390</v>
          </cell>
        </row>
        <row r="89">
          <cell r="A89">
            <v>1.85</v>
          </cell>
          <cell r="B89">
            <v>391</v>
          </cell>
        </row>
        <row r="90">
          <cell r="A90">
            <v>1.86</v>
          </cell>
          <cell r="B90">
            <v>391</v>
          </cell>
        </row>
        <row r="91">
          <cell r="A91">
            <v>1.87</v>
          </cell>
          <cell r="B91">
            <v>392</v>
          </cell>
        </row>
        <row r="92">
          <cell r="A92">
            <v>1.88</v>
          </cell>
          <cell r="B92">
            <v>393</v>
          </cell>
        </row>
        <row r="93">
          <cell r="A93">
            <v>1.89</v>
          </cell>
          <cell r="B93">
            <v>393</v>
          </cell>
        </row>
        <row r="94">
          <cell r="A94">
            <v>1.9</v>
          </cell>
          <cell r="B94">
            <v>394</v>
          </cell>
        </row>
        <row r="95">
          <cell r="A95">
            <v>1.91</v>
          </cell>
          <cell r="B95">
            <v>395</v>
          </cell>
        </row>
        <row r="96">
          <cell r="A96">
            <v>1.92</v>
          </cell>
          <cell r="B96">
            <v>395</v>
          </cell>
        </row>
        <row r="97">
          <cell r="A97">
            <v>1.93</v>
          </cell>
          <cell r="B97">
            <v>396</v>
          </cell>
        </row>
        <row r="98">
          <cell r="A98">
            <v>1.94</v>
          </cell>
          <cell r="B98">
            <v>397</v>
          </cell>
        </row>
        <row r="99">
          <cell r="A99">
            <v>1.95</v>
          </cell>
          <cell r="B99">
            <v>397</v>
          </cell>
        </row>
        <row r="100">
          <cell r="A100">
            <v>1.96</v>
          </cell>
          <cell r="B100">
            <v>398</v>
          </cell>
        </row>
        <row r="101">
          <cell r="A101">
            <v>1.97</v>
          </cell>
          <cell r="B101">
            <v>398</v>
          </cell>
        </row>
        <row r="102">
          <cell r="A102">
            <v>1.98</v>
          </cell>
          <cell r="B102">
            <v>399</v>
          </cell>
        </row>
        <row r="103">
          <cell r="A103">
            <v>1.99</v>
          </cell>
          <cell r="B103">
            <v>400</v>
          </cell>
        </row>
        <row r="104">
          <cell r="A104">
            <v>2</v>
          </cell>
          <cell r="B104">
            <v>400</v>
          </cell>
        </row>
      </sheetData>
      <sheetData sheetId="1">
        <row r="5">
          <cell r="A5">
            <v>1.01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sheetData sheetId="30"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501 Base"/>
      <sheetName val="501"/>
      <sheetName val="501 Aclara"/>
      <sheetName val="Pasaje Budget Plus"/>
    </sheetNames>
    <sheetDataSet>
      <sheetData sheetId="0" refreshError="1">
        <row r="4">
          <cell r="D4">
            <v>3</v>
          </cell>
        </row>
        <row r="5">
          <cell r="D5">
            <v>3</v>
          </cell>
        </row>
        <row r="6">
          <cell r="D6">
            <v>3</v>
          </cell>
        </row>
        <row r="7">
          <cell r="D7">
            <v>3</v>
          </cell>
        </row>
        <row r="8">
          <cell r="D8">
            <v>3</v>
          </cell>
        </row>
        <row r="9">
          <cell r="D9">
            <v>3</v>
          </cell>
        </row>
        <row r="10">
          <cell r="D10">
            <v>3</v>
          </cell>
        </row>
        <row r="11">
          <cell r="D11">
            <v>3</v>
          </cell>
        </row>
        <row r="12">
          <cell r="D12">
            <v>3</v>
          </cell>
        </row>
        <row r="13">
          <cell r="D13">
            <v>3</v>
          </cell>
        </row>
        <row r="14">
          <cell r="D14">
            <v>3</v>
          </cell>
        </row>
        <row r="15">
          <cell r="D15">
            <v>3</v>
          </cell>
        </row>
      </sheetData>
      <sheetData sheetId="1" refreshError="1"/>
      <sheetData sheetId="2" refreshError="1"/>
      <sheetData sheetId="3" refreshError="1"/>
      <sheetData sheetId="4"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PQB"/>
      <sheetName val="API"/>
      <sheetName val="MF"/>
      <sheetName val="Obras"/>
      <sheetName val="DATOS"/>
    </sheetNames>
    <sheetDataSet>
      <sheetData sheetId="0" refreshError="1"/>
      <sheetData sheetId="1" refreshError="1"/>
      <sheetData sheetId="2" refreshError="1"/>
      <sheetData sheetId="3" refreshError="1"/>
      <sheetData sheetId="4" refreshError="1"/>
      <sheetData sheetId="5">
        <row r="1">
          <cell r="A1" t="str">
            <v>Cód. Cliente</v>
          </cell>
          <cell r="B1" t="str">
            <v>Descripción</v>
          </cell>
        </row>
        <row r="2">
          <cell r="A2">
            <v>1</v>
          </cell>
          <cell r="B2" t="str">
            <v>YPF</v>
          </cell>
        </row>
        <row r="3">
          <cell r="A3">
            <v>4</v>
          </cell>
          <cell r="B3" t="str">
            <v>Petrobras</v>
          </cell>
        </row>
        <row r="4">
          <cell r="A4">
            <v>22</v>
          </cell>
          <cell r="B4" t="str">
            <v>PUESTO H.U.T.E.</v>
          </cell>
        </row>
        <row r="5">
          <cell r="A5">
            <v>30</v>
          </cell>
          <cell r="B5" t="str">
            <v>PAE</v>
          </cell>
        </row>
        <row r="6">
          <cell r="A6">
            <v>35</v>
          </cell>
          <cell r="B6" t="str">
            <v>Pluspetrol</v>
          </cell>
        </row>
        <row r="7">
          <cell r="A7">
            <v>36</v>
          </cell>
          <cell r="B7" t="str">
            <v>Chevron</v>
          </cell>
        </row>
        <row r="8">
          <cell r="A8">
            <v>43</v>
          </cell>
          <cell r="B8" t="str">
            <v>San Jorge</v>
          </cell>
        </row>
        <row r="9">
          <cell r="A9">
            <v>48</v>
          </cell>
          <cell r="B9" t="str">
            <v>Tecpetrol</v>
          </cell>
        </row>
        <row r="10">
          <cell r="A10">
            <v>52</v>
          </cell>
          <cell r="B10" t="str">
            <v>Total San Roque</v>
          </cell>
        </row>
        <row r="11">
          <cell r="A11">
            <v>53</v>
          </cell>
          <cell r="B11" t="str">
            <v>Total A.Pichana</v>
          </cell>
        </row>
        <row r="12">
          <cell r="A12">
            <v>59</v>
          </cell>
          <cell r="B12" t="str">
            <v>Tecpetrol</v>
          </cell>
        </row>
        <row r="13">
          <cell r="A13">
            <v>114</v>
          </cell>
          <cell r="B13" t="str">
            <v>Apache</v>
          </cell>
        </row>
        <row r="14">
          <cell r="A14">
            <v>460</v>
          </cell>
          <cell r="B14" t="str">
            <v>MEDANITO</v>
          </cell>
        </row>
        <row r="15">
          <cell r="A15">
            <v>553</v>
          </cell>
          <cell r="B15" t="str">
            <v>Petrobras SCH</v>
          </cell>
        </row>
        <row r="16">
          <cell r="A16">
            <v>569</v>
          </cell>
          <cell r="B16" t="str">
            <v>Chevron</v>
          </cell>
        </row>
        <row r="17">
          <cell r="A17">
            <v>676</v>
          </cell>
          <cell r="B17" t="str">
            <v>Petrobras ADLA</v>
          </cell>
        </row>
        <row r="18">
          <cell r="A18">
            <v>744</v>
          </cell>
          <cell r="B18" t="str">
            <v>CIC Resourses</v>
          </cell>
        </row>
        <row r="19">
          <cell r="A19">
            <v>773</v>
          </cell>
          <cell r="B19" t="str">
            <v>CRI Holding - soc minas</v>
          </cell>
        </row>
        <row r="20">
          <cell r="A20">
            <v>776</v>
          </cell>
          <cell r="B20" t="str">
            <v>Energial UTE</v>
          </cell>
        </row>
        <row r="21">
          <cell r="A21">
            <v>786</v>
          </cell>
          <cell r="B21" t="str">
            <v>Interenergy</v>
          </cell>
        </row>
        <row r="22">
          <cell r="A22">
            <v>791</v>
          </cell>
          <cell r="B22" t="str">
            <v>Petrolífera</v>
          </cell>
        </row>
        <row r="23">
          <cell r="A23">
            <v>875</v>
          </cell>
          <cell r="B23" t="str">
            <v>ROCH</v>
          </cell>
        </row>
        <row r="24">
          <cell r="A24">
            <v>918</v>
          </cell>
          <cell r="B24" t="str">
            <v>PCP OIL TOOLS</v>
          </cell>
        </row>
        <row r="25">
          <cell r="A25">
            <v>935</v>
          </cell>
          <cell r="B25" t="str">
            <v>Medanito SA Cañuelas</v>
          </cell>
        </row>
        <row r="26">
          <cell r="A26">
            <v>940</v>
          </cell>
          <cell r="B26" t="str">
            <v>ROCH-COIRON</v>
          </cell>
        </row>
        <row r="27">
          <cell r="A27">
            <v>975</v>
          </cell>
          <cell r="B27" t="str">
            <v>GNN ENERGIAL UTE</v>
          </cell>
        </row>
        <row r="28">
          <cell r="A28">
            <v>994</v>
          </cell>
          <cell r="B28" t="str">
            <v>ENARSA</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3"/>
    </sheetNames>
    <sheetDataSet>
      <sheetData sheetId="0">
        <row r="55">
          <cell r="B55" t="str">
            <v>YPF S.A</v>
          </cell>
        </row>
        <row r="56">
          <cell r="B56" t="str">
            <v>Central International Corporation</v>
          </cell>
        </row>
        <row r="57">
          <cell r="B57" t="str">
            <v>El Medanito</v>
          </cell>
        </row>
        <row r="58">
          <cell r="B58" t="str">
            <v>Punta Barda</v>
          </cell>
        </row>
        <row r="59">
          <cell r="B59" t="str">
            <v>Señal Picada</v>
          </cell>
        </row>
        <row r="60">
          <cell r="B60" t="str">
            <v>Volcán Auca Mahiuida</v>
          </cell>
        </row>
        <row r="61">
          <cell r="B61" t="str">
            <v>Señal Cerro Bayo</v>
          </cell>
        </row>
        <row r="62">
          <cell r="B62" t="str">
            <v>Cerro Hamaca Oeste</v>
          </cell>
        </row>
        <row r="63">
          <cell r="B63" t="str">
            <v>Bajo del Piche</v>
          </cell>
        </row>
        <row r="64">
          <cell r="B64" t="str">
            <v>Barranca los Loros</v>
          </cell>
        </row>
        <row r="65">
          <cell r="B65" t="str">
            <v>Catriel Oeste</v>
          </cell>
        </row>
      </sheetData>
      <sheetData sheetId="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O"/>
      <sheetName val="Diagrama de trabajo"/>
      <sheetName val="MO - Rotativo 12hs x turno (A)"/>
      <sheetName val="MO - Diurno 12hs (B)"/>
      <sheetName val="BD- BASICOS"/>
    </sheetNames>
    <sheetDataSet>
      <sheetData sheetId="0">
        <row r="7">
          <cell r="D7" t="str">
            <v>Etapa N° 1</v>
          </cell>
        </row>
      </sheetData>
      <sheetData sheetId="1"/>
      <sheetData sheetId="2" refreshError="1"/>
      <sheetData sheetId="3" refreshError="1"/>
      <sheetData sheetId="4"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P. PRIVADO"/>
      <sheetName val="P. JERARQUICO"/>
      <sheetName val="BD_ESCALAS.PETROLERO"/>
      <sheetName val="BD_ADICIONALES.PETROLERO"/>
      <sheetName val="BD_ESCALAS.UOCRA"/>
      <sheetName val="BD_ADICIONALES.FC"/>
      <sheetName val="BD_ZONAS"/>
      <sheetName val="IVA"/>
    </sheetNames>
    <sheetDataSet>
      <sheetData sheetId="0"/>
      <sheetData sheetId="1">
        <row r="8">
          <cell r="D8">
            <v>43191</v>
          </cell>
        </row>
      </sheetData>
      <sheetData sheetId="2"/>
      <sheetData sheetId="3"/>
      <sheetData sheetId="4"/>
      <sheetData sheetId="5"/>
      <sheetData sheetId="6"/>
      <sheetData sheetId="7">
        <row r="6">
          <cell r="B6">
            <v>42917</v>
          </cell>
          <cell r="C6">
            <v>43009</v>
          </cell>
          <cell r="D6">
            <v>43191</v>
          </cell>
          <cell r="E6"/>
          <cell r="F6"/>
          <cell r="G6"/>
          <cell r="H6"/>
          <cell r="I6"/>
          <cell r="J6"/>
        </row>
        <row r="7">
          <cell r="A7" t="str">
            <v>Vianda Ayuda Alimentaria</v>
          </cell>
          <cell r="B7">
            <v>262</v>
          </cell>
          <cell r="C7">
            <v>286</v>
          </cell>
          <cell r="D7">
            <v>321</v>
          </cell>
          <cell r="E7"/>
          <cell r="F7"/>
          <cell r="G7"/>
          <cell r="H7"/>
          <cell r="I7"/>
          <cell r="J7"/>
        </row>
        <row r="8">
          <cell r="A8" t="str">
            <v>Asig. Vianda Comp. No Rem.</v>
          </cell>
          <cell r="B8">
            <v>1846</v>
          </cell>
          <cell r="C8">
            <v>1846</v>
          </cell>
          <cell r="D8">
            <v>1846</v>
          </cell>
          <cell r="E8"/>
          <cell r="F8"/>
          <cell r="G8"/>
          <cell r="H8"/>
          <cell r="I8"/>
          <cell r="J8"/>
        </row>
        <row r="9">
          <cell r="A9"/>
          <cell r="B9"/>
          <cell r="C9"/>
          <cell r="D9"/>
          <cell r="E9"/>
          <cell r="F9"/>
          <cell r="G9"/>
          <cell r="H9"/>
          <cell r="I9"/>
          <cell r="J9"/>
        </row>
        <row r="10">
          <cell r="A10"/>
          <cell r="B10"/>
          <cell r="C10"/>
          <cell r="D10"/>
          <cell r="E10"/>
          <cell r="F10"/>
          <cell r="G10"/>
          <cell r="H10"/>
          <cell r="I10"/>
          <cell r="J10"/>
        </row>
        <row r="11">
          <cell r="A11"/>
          <cell r="B11"/>
          <cell r="C11"/>
          <cell r="D11"/>
          <cell r="E11"/>
          <cell r="F11"/>
          <cell r="G11"/>
          <cell r="H11"/>
          <cell r="I11"/>
          <cell r="J11"/>
        </row>
        <row r="12">
          <cell r="A12"/>
          <cell r="B12"/>
          <cell r="C12"/>
          <cell r="D12"/>
          <cell r="E12"/>
          <cell r="F12"/>
          <cell r="G12"/>
          <cell r="H12"/>
          <cell r="I12"/>
          <cell r="J12"/>
        </row>
        <row r="13">
          <cell r="A13"/>
          <cell r="B13"/>
          <cell r="C13"/>
          <cell r="D13"/>
          <cell r="E13"/>
          <cell r="F13"/>
          <cell r="G13"/>
          <cell r="H13"/>
          <cell r="I13"/>
          <cell r="J13"/>
        </row>
      </sheetData>
      <sheetData sheetId="8"/>
      <sheetData sheetId="9"/>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TPO0197"/>
      <sheetName val="PDBase"/>
    </sheetNames>
    <sheetDataSet>
      <sheetData sheetId="0" refreshError="1"/>
      <sheetData sheetId="1"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Cuadros EFirma"/>
      <sheetName val="Información de Cabecera"/>
      <sheetName val="INMUEBLES EQUIPOS Y RODADOS"/>
      <sheetName val="MANO DE OBRA"/>
      <sheetName val="MATERIALES-INSUMOS"/>
      <sheetName val="COMB-LUB-NEUM-MANT"/>
      <sheetName val="RESUMEN"/>
      <sheetName val="APROPIACION A TARIFAS"/>
      <sheetName val="Análisis"/>
      <sheetName val="Analisis Ajustes"/>
      <sheetName val="Aplicación Indices"/>
      <sheetName val="Directos - Indirectos"/>
      <sheetName val="Validaciones"/>
      <sheetName val="Datos Indices"/>
      <sheetName val="Hoja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79">
          <cell r="B79" t="str">
            <v>Dólar</v>
          </cell>
        </row>
        <row r="80">
          <cell r="B80" t="str">
            <v>Gasoil</v>
          </cell>
        </row>
        <row r="81">
          <cell r="B81" t="str">
            <v>Ipim</v>
          </cell>
        </row>
        <row r="82">
          <cell r="B82" t="str">
            <v>Vehículos</v>
          </cell>
        </row>
        <row r="83">
          <cell r="B83" t="str">
            <v>WPU06 Pesificado</v>
          </cell>
        </row>
      </sheetData>
      <sheetData sheetId="14" refreshError="1"/>
      <sheetData sheetId="15"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MUEBLES EQUIPOS Y RODADOS"/>
      <sheetName val="MANO DE OBRA"/>
      <sheetName val="MATERIALES-INSUMOS"/>
      <sheetName val="COMB-LUB-NEUM-MANT"/>
      <sheetName val="RESUMEN"/>
      <sheetName val="APROPIACION A TARIFAS"/>
      <sheetName val="ANALISIS"/>
      <sheetName val="DIRECTOS - INDIRECTOS"/>
      <sheetName val="Notas"/>
      <sheetName val="Validaciones"/>
      <sheetName val="Hoja4"/>
      <sheetName val="Hoja5"/>
    </sheetNames>
    <sheetDataSet>
      <sheetData sheetId="0">
        <row r="4">
          <cell r="C4" t="str">
            <v>Bolland y Cia SA</v>
          </cell>
        </row>
      </sheetData>
      <sheetData sheetId="1" refreshError="1"/>
      <sheetData sheetId="2" refreshError="1"/>
      <sheetData sheetId="3" refreshError="1"/>
      <sheetData sheetId="4">
        <row r="35">
          <cell r="C35">
            <v>0</v>
          </cell>
        </row>
      </sheetData>
      <sheetData sheetId="5" refreshError="1"/>
      <sheetData sheetId="6" refreshError="1"/>
      <sheetData sheetId="7" refreshError="1"/>
      <sheetData sheetId="8" refreshError="1"/>
      <sheetData sheetId="9">
        <row r="4">
          <cell r="B4" t="str">
            <v>Geofísica</v>
          </cell>
          <cell r="D4" t="str">
            <v>ATE - Asociación Trabajadores del Estado</v>
          </cell>
          <cell r="F4" t="str">
            <v>396/04</v>
          </cell>
        </row>
        <row r="5">
          <cell r="B5" t="str">
            <v>Operaciones Especiales</v>
          </cell>
          <cell r="D5" t="str">
            <v>Autónomo</v>
          </cell>
          <cell r="F5" t="str">
            <v>536/08</v>
          </cell>
        </row>
        <row r="6">
          <cell r="B6" t="str">
            <v>Perforación</v>
          </cell>
          <cell r="D6" t="str">
            <v>Camionero - CH</v>
          </cell>
          <cell r="F6" t="str">
            <v>537/08</v>
          </cell>
        </row>
        <row r="7">
          <cell r="B7" t="str">
            <v>Producción</v>
          </cell>
          <cell r="D7" t="str">
            <v>Camionero - Neuquén y Río Negro</v>
          </cell>
          <cell r="F7" t="str">
            <v>511/07</v>
          </cell>
        </row>
        <row r="8">
          <cell r="B8" t="str">
            <v>Servicios Generales</v>
          </cell>
          <cell r="D8" t="str">
            <v>Camionero - Sta Cruz</v>
          </cell>
          <cell r="F8" t="str">
            <v>587/08</v>
          </cell>
        </row>
        <row r="9">
          <cell r="D9" t="str">
            <v>F.A.T.I.Q.Y.P. - Federación Argentina De Trabajadores De Industrias Químicas Y Petroquímicas</v>
          </cell>
          <cell r="F9" t="str">
            <v>605/10</v>
          </cell>
        </row>
        <row r="10">
          <cell r="D10" t="str">
            <v>FAECYS - Empleados de Comercio y Servicios</v>
          </cell>
          <cell r="F10" t="str">
            <v>Fuera de convenio</v>
          </cell>
        </row>
        <row r="11">
          <cell r="B11" t="str">
            <v>Buenos Aires</v>
          </cell>
          <cell r="D11" t="str">
            <v>Fuera de Convenio</v>
          </cell>
          <cell r="F11" t="str">
            <v>Otro (detallar)</v>
          </cell>
        </row>
        <row r="12">
          <cell r="B12" t="str">
            <v>Chubut</v>
          </cell>
          <cell r="D12" t="str">
            <v>Monotributista</v>
          </cell>
        </row>
        <row r="13">
          <cell r="B13" t="str">
            <v>Mendoza</v>
          </cell>
          <cell r="D13" t="str">
            <v>Pasante</v>
          </cell>
        </row>
        <row r="14">
          <cell r="B14" t="str">
            <v>Neuquén</v>
          </cell>
          <cell r="D14" t="str">
            <v>PJ - Petroleros Jerárquicos CH</v>
          </cell>
        </row>
        <row r="15">
          <cell r="B15" t="str">
            <v>Río Negro</v>
          </cell>
          <cell r="D15" t="str">
            <v>PJ - Petroleros Jerárquicos MZA</v>
          </cell>
        </row>
        <row r="16">
          <cell r="B16" t="str">
            <v>Salta</v>
          </cell>
          <cell r="D16" t="str">
            <v>PJ - Petroleros Jerárquicos Neuquén y Río Negro</v>
          </cell>
        </row>
        <row r="17">
          <cell r="B17" t="str">
            <v>Santa Cruz</v>
          </cell>
          <cell r="D17" t="str">
            <v xml:space="preserve">PJ - Petroleros Jerárquicos Sta Cruz </v>
          </cell>
        </row>
        <row r="18">
          <cell r="D18" t="str">
            <v>PP - Petroleros Privados CH</v>
          </cell>
        </row>
        <row r="19">
          <cell r="F19" t="str">
            <v>Inmueble Liviano</v>
          </cell>
        </row>
        <row r="20">
          <cell r="F20" t="str">
            <v>Inmueble Mampostería</v>
          </cell>
        </row>
        <row r="21">
          <cell r="D21" t="str">
            <v>PP - Petroleros Privados MZA</v>
          </cell>
          <cell r="F21" t="str">
            <v>Rodados</v>
          </cell>
        </row>
        <row r="22">
          <cell r="D22" t="str">
            <v>PP - Petroleros Privados Neuquén y Río Negro</v>
          </cell>
          <cell r="F22" t="str">
            <v>Equipo pesado</v>
          </cell>
        </row>
        <row r="23">
          <cell r="B23" t="str">
            <v>UNAO</v>
          </cell>
          <cell r="D23" t="str">
            <v>PP - Petroleros Privados Sta Cruz</v>
          </cell>
          <cell r="F23" t="str">
            <v>Herramientas</v>
          </cell>
        </row>
        <row r="24">
          <cell r="B24" t="str">
            <v>UNAS</v>
          </cell>
          <cell r="D24" t="str">
            <v>Régimen Especial Ley 27360 (Agrario)</v>
          </cell>
        </row>
        <row r="25">
          <cell r="B25" t="str">
            <v>BA</v>
          </cell>
          <cell r="D25" t="str">
            <v>Seguridad y Vigilancia</v>
          </cell>
        </row>
        <row r="26">
          <cell r="D26" t="str">
            <v>SI.PE.MOM - Sindicato Del Personal De Micros Y Ómnibus De Mendoza</v>
          </cell>
        </row>
        <row r="27">
          <cell r="D27" t="str">
            <v>Sindicato Del Personal De Obras Y Servicios Sanitarios</v>
          </cell>
        </row>
        <row r="28">
          <cell r="B28" t="str">
            <v>Si</v>
          </cell>
          <cell r="D28" t="str">
            <v>SMATA</v>
          </cell>
        </row>
        <row r="29">
          <cell r="B29" t="str">
            <v>No</v>
          </cell>
          <cell r="D29" t="str">
            <v>SUPEH</v>
          </cell>
        </row>
        <row r="30">
          <cell r="D30" t="str">
            <v>U.E.C.A.R.A. - Unión Empleados de la Construcción y Afines de la República Argentina</v>
          </cell>
        </row>
        <row r="31">
          <cell r="D31" t="str">
            <v>U.T.A. - Unión Tranviarios Automotor</v>
          </cell>
        </row>
        <row r="32">
          <cell r="D32" t="str">
            <v>U.T.A.C.E.T.A.P.O.</v>
          </cell>
        </row>
        <row r="33">
          <cell r="D33" t="str">
            <v>UOCRA - CH</v>
          </cell>
        </row>
        <row r="34">
          <cell r="B34" t="str">
            <v>Activo</v>
          </cell>
          <cell r="D34" t="str">
            <v>UOCRA - MZA</v>
          </cell>
        </row>
        <row r="35">
          <cell r="B35" t="str">
            <v>Stand By</v>
          </cell>
          <cell r="D35" t="str">
            <v>UOCRA - Neuquen y Rio Negro</v>
          </cell>
        </row>
        <row r="36">
          <cell r="D36" t="str">
            <v>UOCRA - Sta Cruz</v>
          </cell>
        </row>
        <row r="37">
          <cell r="D37" t="str">
            <v>UOM</v>
          </cell>
        </row>
        <row r="38">
          <cell r="D38" t="str">
            <v>UOYEP - Unión Obreros Y Empleados Plásticos</v>
          </cell>
        </row>
        <row r="39">
          <cell r="B39" t="str">
            <v>Directa</v>
          </cell>
        </row>
        <row r="40">
          <cell r="B40" t="str">
            <v>Indirecta</v>
          </cell>
        </row>
        <row r="41">
          <cell r="B41" t="str">
            <v>Indirecta Overhead</v>
          </cell>
        </row>
        <row r="42">
          <cell r="B42" t="str">
            <v>Coordinación Overhead</v>
          </cell>
        </row>
        <row r="51">
          <cell r="B51">
            <v>1</v>
          </cell>
        </row>
        <row r="52">
          <cell r="B52">
            <v>2</v>
          </cell>
        </row>
        <row r="53">
          <cell r="B53">
            <v>3</v>
          </cell>
        </row>
        <row r="54">
          <cell r="B54">
            <v>5</v>
          </cell>
        </row>
        <row r="55">
          <cell r="B55" t="str">
            <v>CA</v>
          </cell>
        </row>
        <row r="56">
          <cell r="B56" t="str">
            <v>MN</v>
          </cell>
        </row>
        <row r="57">
          <cell r="B57" t="str">
            <v>MS</v>
          </cell>
        </row>
        <row r="61">
          <cell r="B61" t="str">
            <v>Directo</v>
          </cell>
        </row>
        <row r="62">
          <cell r="B62" t="str">
            <v>Indirecto</v>
          </cell>
        </row>
        <row r="69">
          <cell r="B69" t="str">
            <v>Insumos Consumibles</v>
          </cell>
        </row>
        <row r="70">
          <cell r="B70" t="str">
            <v>Herramientas</v>
          </cell>
        </row>
        <row r="71">
          <cell r="B71" t="str">
            <v>Instrumentos</v>
          </cell>
        </row>
        <row r="72">
          <cell r="B72" t="str">
            <v>Materiales</v>
          </cell>
        </row>
        <row r="73">
          <cell r="B73" t="str">
            <v>Gastos de Personal</v>
          </cell>
        </row>
      </sheetData>
      <sheetData sheetId="10" refreshError="1"/>
      <sheetData sheetId="11"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JERARQUICO"/>
      <sheetName val="PP YACIMIENTO"/>
      <sheetName val="PP REFINERIA"/>
      <sheetName val="UOCRA PETROLERO"/>
      <sheetName val="UOCRA REFINERIA"/>
      <sheetName val="BD_ESCALAS.PETROLERO"/>
      <sheetName val="BD_ADICIONALES.PETROLERO"/>
      <sheetName val="BD_ESCALAS.UOCRA"/>
      <sheetName val="BD_ADICIONALES.FC"/>
      <sheetName val="BD_ZONAS"/>
      <sheetName val="IVA"/>
    </sheetNames>
    <sheetDataSet>
      <sheetData sheetId="0" refreshError="1"/>
      <sheetData sheetId="1">
        <row r="8">
          <cell r="D8">
            <v>43497</v>
          </cell>
        </row>
      </sheetData>
      <sheetData sheetId="2"/>
      <sheetData sheetId="3" refreshError="1"/>
      <sheetData sheetId="4" refreshError="1"/>
      <sheetData sheetId="5">
        <row r="8">
          <cell r="D8">
            <v>43405</v>
          </cell>
        </row>
      </sheetData>
      <sheetData sheetId="6" refreshError="1"/>
      <sheetData sheetId="7">
        <row r="7">
          <cell r="C7" t="str">
            <v>PETROLERO CHUBUT (605/10)</v>
          </cell>
        </row>
      </sheetData>
      <sheetData sheetId="8">
        <row r="6">
          <cell r="B6" t="str">
            <v>ASIG. VIANDA COMP. NO REM.</v>
          </cell>
        </row>
      </sheetData>
      <sheetData sheetId="9">
        <row r="103">
          <cell r="B103" t="str">
            <v>AYUDANTE</v>
          </cell>
        </row>
      </sheetData>
      <sheetData sheetId="10">
        <row r="6">
          <cell r="B6">
            <v>42917</v>
          </cell>
        </row>
      </sheetData>
      <sheetData sheetId="11" refreshError="1"/>
      <sheetData sheetId="12">
        <row r="6">
          <cell r="C6">
            <v>2018</v>
          </cell>
          <cell r="D6">
            <v>2019</v>
          </cell>
          <cell r="E6">
            <v>2020</v>
          </cell>
          <cell r="F6">
            <v>2021</v>
          </cell>
          <cell r="G6">
            <v>2022</v>
          </cell>
        </row>
        <row r="7">
          <cell r="B7" t="str">
            <v>Seleccionar Jurisdicción</v>
          </cell>
          <cell r="C7">
            <v>0</v>
          </cell>
          <cell r="D7">
            <v>0</v>
          </cell>
          <cell r="E7">
            <v>0</v>
          </cell>
          <cell r="F7">
            <v>0</v>
          </cell>
          <cell r="G7">
            <v>0</v>
          </cell>
        </row>
        <row r="8">
          <cell r="B8" t="str">
            <v>Ciudad Autónoma de Buenos Aires</v>
          </cell>
          <cell r="C8">
            <v>0</v>
          </cell>
          <cell r="D8">
            <v>0</v>
          </cell>
          <cell r="E8">
            <v>0</v>
          </cell>
          <cell r="F8">
            <v>0</v>
          </cell>
          <cell r="G8">
            <v>0</v>
          </cell>
        </row>
        <row r="9">
          <cell r="B9" t="str">
            <v>Gran Buenos Aires</v>
          </cell>
          <cell r="C9">
            <v>0</v>
          </cell>
          <cell r="D9">
            <v>0</v>
          </cell>
          <cell r="E9">
            <v>0</v>
          </cell>
          <cell r="F9">
            <v>0</v>
          </cell>
          <cell r="G9">
            <v>0</v>
          </cell>
        </row>
        <row r="10">
          <cell r="B10" t="str">
            <v>Tercer Cinturón del G.B.A.</v>
          </cell>
          <cell r="C10">
            <v>-8.5000000000000006E-3</v>
          </cell>
          <cell r="D10">
            <v>-6.4999999999999997E-3</v>
          </cell>
          <cell r="E10">
            <v>-4.4999999999999997E-3</v>
          </cell>
          <cell r="F10">
            <v>-2E-3</v>
          </cell>
          <cell r="G10">
            <v>0</v>
          </cell>
        </row>
        <row r="11">
          <cell r="B11" t="str">
            <v>Resto de Buenos Aires</v>
          </cell>
          <cell r="C11">
            <v>-1.9E-2</v>
          </cell>
          <cell r="D11">
            <v>-1.4500000000000001E-2</v>
          </cell>
          <cell r="E11">
            <v>-9.4999999999999998E-3</v>
          </cell>
          <cell r="F11">
            <v>-5.0000000000000001E-3</v>
          </cell>
          <cell r="G11">
            <v>0</v>
          </cell>
        </row>
        <row r="12">
          <cell r="B12" t="str">
            <v>Buenos Aires - Patagones</v>
          </cell>
          <cell r="C12">
            <v>-2.9499999999999998E-2</v>
          </cell>
          <cell r="D12">
            <v>-2.1999999999999999E-2</v>
          </cell>
          <cell r="E12">
            <v>-1.4999999999999999E-2</v>
          </cell>
          <cell r="F12">
            <v>-7.4999999999999997E-3</v>
          </cell>
          <cell r="G12">
            <v>0</v>
          </cell>
        </row>
        <row r="13">
          <cell r="B13" t="str">
            <v>Buenos Aires - Carmen de Patagones</v>
          </cell>
          <cell r="C13">
            <v>-0.04</v>
          </cell>
          <cell r="D13">
            <v>-0.03</v>
          </cell>
          <cell r="E13">
            <v>-0.02</v>
          </cell>
          <cell r="F13">
            <v>-0.01</v>
          </cell>
          <cell r="G13">
            <v>0</v>
          </cell>
        </row>
        <row r="14">
          <cell r="B14" t="str">
            <v>Córdoba - Cruz del Eje</v>
          </cell>
          <cell r="C14">
            <v>-5.0500000000000003E-2</v>
          </cell>
          <cell r="D14">
            <v>-3.7999999999999999E-2</v>
          </cell>
          <cell r="E14">
            <v>-2.5499999999999998E-2</v>
          </cell>
          <cell r="F14">
            <v>-1.2500000000000001E-2</v>
          </cell>
          <cell r="G14">
            <v>0</v>
          </cell>
        </row>
        <row r="15">
          <cell r="B15" t="str">
            <v>Buenos Aires - Villarino</v>
          </cell>
          <cell r="C15">
            <v>-2.9499999999999998E-2</v>
          </cell>
          <cell r="D15">
            <v>-2.1999999999999999E-2</v>
          </cell>
          <cell r="E15">
            <v>-1.4999999999999999E-2</v>
          </cell>
          <cell r="F15">
            <v>-7.4999999999999997E-3</v>
          </cell>
          <cell r="G15">
            <v>0</v>
          </cell>
        </row>
        <row r="16">
          <cell r="B16" t="str">
            <v>Gran Catamarca</v>
          </cell>
          <cell r="C16">
            <v>-7.5999999999999998E-2</v>
          </cell>
          <cell r="D16">
            <v>-5.7000000000000002E-2</v>
          </cell>
          <cell r="E16">
            <v>-3.7999999999999999E-2</v>
          </cell>
          <cell r="F16">
            <v>-1.9E-2</v>
          </cell>
          <cell r="G16">
            <v>0</v>
          </cell>
        </row>
        <row r="17">
          <cell r="B17" t="str">
            <v>Resto de Catamarca</v>
          </cell>
          <cell r="C17">
            <v>-8.6499999999999994E-2</v>
          </cell>
          <cell r="D17">
            <v>-6.5000000000000002E-2</v>
          </cell>
          <cell r="E17">
            <v>-4.2999999999999997E-2</v>
          </cell>
          <cell r="F17">
            <v>-2.1499999999999998E-2</v>
          </cell>
          <cell r="G17">
            <v>0</v>
          </cell>
        </row>
        <row r="18">
          <cell r="B18" t="str">
            <v>Ciudad de Corrientes</v>
          </cell>
          <cell r="C18">
            <v>-9.7000000000000003E-2</v>
          </cell>
          <cell r="D18">
            <v>-7.2999999999999995E-2</v>
          </cell>
          <cell r="E18">
            <v>-4.8500000000000001E-2</v>
          </cell>
          <cell r="F18">
            <v>-2.4500000000000001E-2</v>
          </cell>
          <cell r="G18">
            <v>0</v>
          </cell>
        </row>
        <row r="19">
          <cell r="B19" t="str">
            <v>Formosa - Ciudad de Formosa</v>
          </cell>
          <cell r="C19">
            <v>-0.1075</v>
          </cell>
          <cell r="D19">
            <v>-8.0500000000000002E-2</v>
          </cell>
          <cell r="E19">
            <v>-5.3999999999999999E-2</v>
          </cell>
          <cell r="F19">
            <v>-2.7E-2</v>
          </cell>
          <cell r="G19">
            <v>0</v>
          </cell>
        </row>
        <row r="20">
          <cell r="B20" t="str">
            <v>Córdoba - Sobremonte</v>
          </cell>
          <cell r="C20">
            <v>-7.5999999999999998E-2</v>
          </cell>
          <cell r="D20">
            <v>-5.7000000000000002E-2</v>
          </cell>
          <cell r="E20">
            <v>-3.7999999999999999E-2</v>
          </cell>
          <cell r="F20">
            <v>-1.9E-2</v>
          </cell>
          <cell r="G20">
            <v>0</v>
          </cell>
        </row>
        <row r="21">
          <cell r="B21" t="str">
            <v>Resto de Chaco</v>
          </cell>
          <cell r="C21">
            <v>-0.11799999999999999</v>
          </cell>
          <cell r="D21">
            <v>-8.8499999999999995E-2</v>
          </cell>
          <cell r="E21">
            <v>-5.8999999999999997E-2</v>
          </cell>
          <cell r="F21">
            <v>-2.9499999999999998E-2</v>
          </cell>
          <cell r="G21">
            <v>0</v>
          </cell>
        </row>
        <row r="22">
          <cell r="B22" t="str">
            <v>Córdoba - Río Seco</v>
          </cell>
          <cell r="C22">
            <v>-7.5999999999999998E-2</v>
          </cell>
          <cell r="D22">
            <v>-5.7000000000000002E-2</v>
          </cell>
          <cell r="E22">
            <v>-3.7999999999999999E-2</v>
          </cell>
          <cell r="F22">
            <v>-1.9E-2</v>
          </cell>
          <cell r="G22">
            <v>0</v>
          </cell>
        </row>
        <row r="23">
          <cell r="B23" t="str">
            <v>Córdoba - Tulumba</v>
          </cell>
          <cell r="C23">
            <v>-7.5999999999999998E-2</v>
          </cell>
          <cell r="D23">
            <v>-5.7000000000000002E-2</v>
          </cell>
          <cell r="E23">
            <v>-3.7999999999999999E-2</v>
          </cell>
          <cell r="F23">
            <v>-1.9E-2</v>
          </cell>
          <cell r="G23">
            <v>0</v>
          </cell>
        </row>
        <row r="24">
          <cell r="B24" t="str">
            <v>Córdoba - Minas</v>
          </cell>
          <cell r="C24">
            <v>-5.0500000000000003E-2</v>
          </cell>
          <cell r="D24">
            <v>-3.7999999999999999E-2</v>
          </cell>
          <cell r="E24">
            <v>-2.5499999999999998E-2</v>
          </cell>
          <cell r="F24">
            <v>-1.2500000000000001E-2</v>
          </cell>
          <cell r="G24">
            <v>0</v>
          </cell>
        </row>
        <row r="25">
          <cell r="B25" t="str">
            <v>Córdoba - Pocho</v>
          </cell>
          <cell r="C25">
            <v>-5.0500000000000003E-2</v>
          </cell>
          <cell r="D25">
            <v>-3.7999999999999999E-2</v>
          </cell>
          <cell r="E25">
            <v>-2.5499999999999998E-2</v>
          </cell>
          <cell r="F25">
            <v>-1.2500000000000001E-2</v>
          </cell>
          <cell r="G25">
            <v>0</v>
          </cell>
        </row>
        <row r="26">
          <cell r="B26" t="str">
            <v>Córdoba - San Alberto</v>
          </cell>
          <cell r="C26">
            <v>-5.0500000000000003E-2</v>
          </cell>
          <cell r="D26">
            <v>-3.7999999999999999E-2</v>
          </cell>
          <cell r="E26">
            <v>-2.5499999999999998E-2</v>
          </cell>
          <cell r="F26">
            <v>-1.2500000000000001E-2</v>
          </cell>
          <cell r="G26">
            <v>0</v>
          </cell>
        </row>
        <row r="27">
          <cell r="B27" t="str">
            <v>Córdoba - San Javier</v>
          </cell>
          <cell r="C27">
            <v>-5.0500000000000003E-2</v>
          </cell>
          <cell r="D27">
            <v>-3.7999999999999999E-2</v>
          </cell>
          <cell r="E27">
            <v>-2.5499999999999998E-2</v>
          </cell>
          <cell r="F27">
            <v>-1.2500000000000001E-2</v>
          </cell>
          <cell r="G27">
            <v>0</v>
          </cell>
        </row>
        <row r="28">
          <cell r="B28" t="str">
            <v>Gran Córdoba</v>
          </cell>
          <cell r="C28">
            <v>-1.9E-2</v>
          </cell>
          <cell r="D28">
            <v>-1.4500000000000001E-2</v>
          </cell>
          <cell r="E28">
            <v>-9.4999999999999998E-3</v>
          </cell>
          <cell r="F28">
            <v>-5.0000000000000001E-3</v>
          </cell>
          <cell r="G28">
            <v>0</v>
          </cell>
        </row>
        <row r="29">
          <cell r="B29" t="str">
            <v>Resto de Córdoba</v>
          </cell>
          <cell r="C29">
            <v>-2.9499999999999998E-2</v>
          </cell>
          <cell r="D29">
            <v>-2.1999999999999999E-2</v>
          </cell>
          <cell r="E29">
            <v>-1.4999999999999999E-2</v>
          </cell>
          <cell r="F29">
            <v>-7.4999999999999997E-3</v>
          </cell>
          <cell r="G29">
            <v>0</v>
          </cell>
        </row>
        <row r="30">
          <cell r="B30" t="str">
            <v>Corrientes - Esquina</v>
          </cell>
          <cell r="C30">
            <v>-7.5999999999999998E-2</v>
          </cell>
          <cell r="D30">
            <v>-5.7000000000000002E-2</v>
          </cell>
          <cell r="E30">
            <v>-3.7999999999999999E-2</v>
          </cell>
          <cell r="F30">
            <v>-1.9E-2</v>
          </cell>
          <cell r="G30">
            <v>0</v>
          </cell>
        </row>
        <row r="31">
          <cell r="B31" t="str">
            <v>Corrientes - Sauce</v>
          </cell>
          <cell r="C31">
            <v>-7.5999999999999998E-2</v>
          </cell>
          <cell r="D31">
            <v>-5.7000000000000002E-2</v>
          </cell>
          <cell r="E31">
            <v>-3.7999999999999999E-2</v>
          </cell>
          <cell r="F31">
            <v>-1.9E-2</v>
          </cell>
          <cell r="G31">
            <v>0</v>
          </cell>
        </row>
        <row r="32">
          <cell r="B32" t="str">
            <v>Corrientes - Curuzú Cuatiá</v>
          </cell>
          <cell r="C32">
            <v>-7.5999999999999998E-2</v>
          </cell>
          <cell r="D32">
            <v>-5.7000000000000002E-2</v>
          </cell>
          <cell r="E32">
            <v>-3.7999999999999999E-2</v>
          </cell>
          <cell r="F32">
            <v>-1.9E-2</v>
          </cell>
          <cell r="G32">
            <v>0</v>
          </cell>
        </row>
        <row r="33">
          <cell r="B33" t="str">
            <v>Corrientes - Monte Caseros</v>
          </cell>
          <cell r="C33">
            <v>-7.5999999999999998E-2</v>
          </cell>
          <cell r="D33">
            <v>-5.7000000000000002E-2</v>
          </cell>
          <cell r="E33">
            <v>-3.7999999999999999E-2</v>
          </cell>
          <cell r="F33">
            <v>-1.9E-2</v>
          </cell>
          <cell r="G33">
            <v>0</v>
          </cell>
        </row>
        <row r="34">
          <cell r="B34" t="str">
            <v>Resto de Corrientes</v>
          </cell>
          <cell r="C34">
            <v>-9.7000000000000003E-2</v>
          </cell>
          <cell r="D34">
            <v>-7.2999999999999995E-2</v>
          </cell>
          <cell r="E34">
            <v>-4.8500000000000001E-2</v>
          </cell>
          <cell r="F34">
            <v>-2.4500000000000001E-2</v>
          </cell>
          <cell r="G34">
            <v>0</v>
          </cell>
        </row>
        <row r="35">
          <cell r="B35" t="str">
            <v>Gran Resistencia</v>
          </cell>
          <cell r="C35">
            <v>-9.7000000000000003E-2</v>
          </cell>
          <cell r="D35">
            <v>-7.2999999999999995E-2</v>
          </cell>
          <cell r="E35">
            <v>-4.8500000000000001E-2</v>
          </cell>
          <cell r="F35">
            <v>-2.4500000000000001E-2</v>
          </cell>
          <cell r="G35">
            <v>0</v>
          </cell>
        </row>
        <row r="36">
          <cell r="B36" t="str">
            <v>Chubut - Rawson Trelew</v>
          </cell>
          <cell r="C36">
            <v>-7.5999999999999998E-2</v>
          </cell>
          <cell r="D36">
            <v>-5.7000000000000002E-2</v>
          </cell>
          <cell r="E36">
            <v>-3.7999999999999999E-2</v>
          </cell>
          <cell r="F36">
            <v>-1.9E-2</v>
          </cell>
          <cell r="G36">
            <v>0</v>
          </cell>
        </row>
        <row r="37">
          <cell r="B37" t="str">
            <v>Resto de Chubut</v>
          </cell>
          <cell r="C37">
            <v>-8.6499999999999994E-2</v>
          </cell>
          <cell r="D37">
            <v>-6.5000000000000002E-2</v>
          </cell>
          <cell r="E37">
            <v>-4.2999999999999997E-2</v>
          </cell>
          <cell r="F37">
            <v>-2.1499999999999998E-2</v>
          </cell>
          <cell r="G37">
            <v>0</v>
          </cell>
        </row>
        <row r="38">
          <cell r="B38" t="str">
            <v>Entre Ríos - Federación</v>
          </cell>
          <cell r="C38">
            <v>-7.5999999999999998E-2</v>
          </cell>
          <cell r="D38">
            <v>-5.7000000000000002E-2</v>
          </cell>
          <cell r="E38">
            <v>-3.7999999999999999E-2</v>
          </cell>
          <cell r="F38">
            <v>-1.9E-2</v>
          </cell>
          <cell r="G38">
            <v>0</v>
          </cell>
        </row>
        <row r="39">
          <cell r="B39" t="str">
            <v>Entre Ríos - Feliciano</v>
          </cell>
          <cell r="C39">
            <v>-7.5999999999999998E-2</v>
          </cell>
          <cell r="D39">
            <v>-5.7000000000000002E-2</v>
          </cell>
          <cell r="E39">
            <v>-3.7999999999999999E-2</v>
          </cell>
          <cell r="F39">
            <v>-1.9E-2</v>
          </cell>
          <cell r="G39">
            <v>0</v>
          </cell>
        </row>
        <row r="40">
          <cell r="B40" t="str">
            <v>Entre Ríos - Paraná</v>
          </cell>
          <cell r="C40">
            <v>-2.9499999999999998E-2</v>
          </cell>
          <cell r="D40">
            <v>-2.1999999999999999E-2</v>
          </cell>
          <cell r="E40">
            <v>-1.4999999999999999E-2</v>
          </cell>
          <cell r="F40">
            <v>-7.4999999999999997E-3</v>
          </cell>
          <cell r="G40">
            <v>0</v>
          </cell>
        </row>
        <row r="41">
          <cell r="B41" t="str">
            <v>Resto de Entre Ríos</v>
          </cell>
          <cell r="C41">
            <v>-0.04</v>
          </cell>
          <cell r="D41">
            <v>-0.03</v>
          </cell>
          <cell r="E41">
            <v>-0.02</v>
          </cell>
          <cell r="F41">
            <v>-0.01</v>
          </cell>
          <cell r="G41">
            <v>0</v>
          </cell>
        </row>
        <row r="42">
          <cell r="B42" t="str">
            <v>Jujuy - Ciudad de Jujuy</v>
          </cell>
          <cell r="C42">
            <v>-9.7000000000000003E-2</v>
          </cell>
          <cell r="D42">
            <v>-7.2999999999999995E-2</v>
          </cell>
          <cell r="E42">
            <v>-4.8500000000000001E-2</v>
          </cell>
          <cell r="F42">
            <v>-2.4500000000000001E-2</v>
          </cell>
          <cell r="G42">
            <v>0</v>
          </cell>
        </row>
        <row r="43">
          <cell r="B43" t="str">
            <v>Resto de Jujuy</v>
          </cell>
          <cell r="C43">
            <v>-0.1075</v>
          </cell>
          <cell r="D43">
            <v>-8.0500000000000002E-2</v>
          </cell>
          <cell r="E43">
            <v>-5.3999999999999999E-2</v>
          </cell>
          <cell r="F43">
            <v>-2.7E-2</v>
          </cell>
          <cell r="G43">
            <v>0</v>
          </cell>
        </row>
        <row r="44">
          <cell r="B44" t="str">
            <v>La Pampa - Chicalco</v>
          </cell>
          <cell r="C44">
            <v>-5.0500000000000003E-2</v>
          </cell>
          <cell r="D44">
            <v>-3.7999999999999999E-2</v>
          </cell>
          <cell r="E44">
            <v>-2.5499999999999998E-2</v>
          </cell>
          <cell r="F44">
            <v>-1.2500000000000001E-2</v>
          </cell>
          <cell r="G44">
            <v>0</v>
          </cell>
        </row>
        <row r="45">
          <cell r="B45" t="str">
            <v>La Pampa - Chalileo</v>
          </cell>
          <cell r="C45">
            <v>-5.0500000000000003E-2</v>
          </cell>
          <cell r="D45">
            <v>-3.7999999999999999E-2</v>
          </cell>
          <cell r="E45">
            <v>-2.5499999999999998E-2</v>
          </cell>
          <cell r="F45">
            <v>-1.2500000000000001E-2</v>
          </cell>
          <cell r="G45">
            <v>0</v>
          </cell>
        </row>
        <row r="46">
          <cell r="B46" t="str">
            <v>La Pampa - Puelén</v>
          </cell>
          <cell r="C46">
            <v>-5.0500000000000003E-2</v>
          </cell>
          <cell r="D46">
            <v>-3.7999999999999999E-2</v>
          </cell>
          <cell r="E46">
            <v>-2.5499999999999998E-2</v>
          </cell>
          <cell r="F46">
            <v>-1.2500000000000001E-2</v>
          </cell>
          <cell r="G46">
            <v>0</v>
          </cell>
        </row>
        <row r="47">
          <cell r="B47" t="str">
            <v>La Pampa - Limay Mauhida</v>
          </cell>
          <cell r="C47">
            <v>-5.0500000000000003E-2</v>
          </cell>
          <cell r="D47">
            <v>-3.7999999999999999E-2</v>
          </cell>
          <cell r="E47">
            <v>-2.5499999999999998E-2</v>
          </cell>
          <cell r="F47">
            <v>-1.2500000000000001E-2</v>
          </cell>
          <cell r="G47">
            <v>0</v>
          </cell>
        </row>
        <row r="48">
          <cell r="B48" t="str">
            <v>La Pampa - Curacó</v>
          </cell>
          <cell r="C48">
            <v>-5.0500000000000003E-2</v>
          </cell>
          <cell r="D48">
            <v>-3.7999999999999999E-2</v>
          </cell>
          <cell r="E48">
            <v>-2.5499999999999998E-2</v>
          </cell>
          <cell r="F48">
            <v>-1.2500000000000001E-2</v>
          </cell>
          <cell r="G48">
            <v>0</v>
          </cell>
        </row>
        <row r="49">
          <cell r="B49" t="str">
            <v>La Pampa - Lihuel Calel</v>
          </cell>
          <cell r="C49">
            <v>-5.0500000000000003E-2</v>
          </cell>
          <cell r="D49">
            <v>-3.7999999999999999E-2</v>
          </cell>
          <cell r="E49">
            <v>-2.5499999999999998E-2</v>
          </cell>
          <cell r="F49">
            <v>-1.2500000000000001E-2</v>
          </cell>
          <cell r="G49">
            <v>0</v>
          </cell>
        </row>
        <row r="50">
          <cell r="B50" t="str">
            <v>La Pampa - Santa Rosa y Toay</v>
          </cell>
          <cell r="C50">
            <v>-2.9499999999999998E-2</v>
          </cell>
          <cell r="D50">
            <v>-2.1999999999999999E-2</v>
          </cell>
          <cell r="E50">
            <v>-1.4999999999999999E-2</v>
          </cell>
          <cell r="F50">
            <v>-7.4999999999999997E-3</v>
          </cell>
          <cell r="G50">
            <v>0</v>
          </cell>
        </row>
        <row r="51">
          <cell r="B51" t="str">
            <v>Resto de La Pampa</v>
          </cell>
          <cell r="C51">
            <v>-0.04</v>
          </cell>
          <cell r="D51">
            <v>-0.03</v>
          </cell>
          <cell r="E51">
            <v>-0.02</v>
          </cell>
          <cell r="F51">
            <v>-0.01</v>
          </cell>
          <cell r="G51">
            <v>0</v>
          </cell>
        </row>
        <row r="52">
          <cell r="B52" t="str">
            <v>Ciudad de La Rioja</v>
          </cell>
          <cell r="C52">
            <v>-7.5999999999999998E-2</v>
          </cell>
          <cell r="D52">
            <v>-5.7000000000000002E-2</v>
          </cell>
          <cell r="E52">
            <v>-3.7999999999999999E-2</v>
          </cell>
          <cell r="F52">
            <v>-1.9E-2</v>
          </cell>
          <cell r="G52">
            <v>0</v>
          </cell>
        </row>
        <row r="53">
          <cell r="B53" t="str">
            <v>Resto de La Rioja</v>
          </cell>
          <cell r="C53">
            <v>-8.6499999999999994E-2</v>
          </cell>
          <cell r="D53">
            <v>-6.5000000000000002E-2</v>
          </cell>
          <cell r="E53">
            <v>-4.2999999999999997E-2</v>
          </cell>
          <cell r="F53">
            <v>-2.1499999999999998E-2</v>
          </cell>
          <cell r="G53">
            <v>0</v>
          </cell>
        </row>
        <row r="54">
          <cell r="B54" t="str">
            <v>Gran Mendoza</v>
          </cell>
          <cell r="C54">
            <v>-0.04</v>
          </cell>
          <cell r="D54">
            <v>-0.03</v>
          </cell>
          <cell r="E54">
            <v>-0.02</v>
          </cell>
          <cell r="F54">
            <v>-0.01</v>
          </cell>
          <cell r="G54">
            <v>0</v>
          </cell>
        </row>
        <row r="55">
          <cell r="B55" t="str">
            <v>Resto de Mendoza</v>
          </cell>
          <cell r="C55">
            <v>-5.0500000000000003E-2</v>
          </cell>
          <cell r="D55">
            <v>-3.7999999999999999E-2</v>
          </cell>
          <cell r="E55">
            <v>-2.5499999999999998E-2</v>
          </cell>
          <cell r="F55">
            <v>-1.2500000000000001E-2</v>
          </cell>
          <cell r="G55">
            <v>0</v>
          </cell>
        </row>
        <row r="56">
          <cell r="B56" t="str">
            <v>Misiones - Posadas</v>
          </cell>
          <cell r="C56">
            <v>-9.7000000000000003E-2</v>
          </cell>
          <cell r="D56">
            <v>-7.2999999999999995E-2</v>
          </cell>
          <cell r="E56">
            <v>-4.8500000000000001E-2</v>
          </cell>
          <cell r="F56">
            <v>-2.4500000000000001E-2</v>
          </cell>
          <cell r="G56">
            <v>0</v>
          </cell>
        </row>
        <row r="57">
          <cell r="B57" t="str">
            <v>Resto de Misiones</v>
          </cell>
          <cell r="C57">
            <v>-0.1075</v>
          </cell>
          <cell r="D57">
            <v>-8.0500000000000002E-2</v>
          </cell>
          <cell r="E57">
            <v>-5.3999999999999999E-2</v>
          </cell>
          <cell r="F57">
            <v>-2.7E-2</v>
          </cell>
          <cell r="G57">
            <v>0</v>
          </cell>
        </row>
        <row r="58">
          <cell r="B58" t="str">
            <v>Ciudad Neuquén/Plottier</v>
          </cell>
          <cell r="C58">
            <v>-0.04</v>
          </cell>
          <cell r="D58">
            <v>-0.03</v>
          </cell>
          <cell r="E58">
            <v>-0.02</v>
          </cell>
          <cell r="F58">
            <v>-0.01</v>
          </cell>
          <cell r="G58">
            <v>0</v>
          </cell>
        </row>
        <row r="59">
          <cell r="B59" t="str">
            <v>Neuquén - Centenario</v>
          </cell>
          <cell r="C59">
            <v>-0.04</v>
          </cell>
          <cell r="D59">
            <v>-0.03</v>
          </cell>
          <cell r="E59">
            <v>-0.02</v>
          </cell>
          <cell r="F59">
            <v>-0.01</v>
          </cell>
          <cell r="G59">
            <v>0</v>
          </cell>
        </row>
        <row r="60">
          <cell r="B60" t="str">
            <v>Neuquén - Cutralcó</v>
          </cell>
          <cell r="C60">
            <v>-8.6499999999999994E-2</v>
          </cell>
          <cell r="D60">
            <v>-6.5000000000000002E-2</v>
          </cell>
          <cell r="E60">
            <v>-4.2999999999999997E-2</v>
          </cell>
          <cell r="F60">
            <v>-2.1499999999999998E-2</v>
          </cell>
          <cell r="G60">
            <v>0</v>
          </cell>
        </row>
        <row r="61">
          <cell r="B61" t="str">
            <v>Neuquén - Plaza Huincul</v>
          </cell>
          <cell r="C61">
            <v>-8.6499999999999994E-2</v>
          </cell>
          <cell r="D61">
            <v>-6.5000000000000002E-2</v>
          </cell>
          <cell r="E61">
            <v>-4.2999999999999997E-2</v>
          </cell>
          <cell r="F61">
            <v>-2.1499999999999998E-2</v>
          </cell>
          <cell r="G61">
            <v>0</v>
          </cell>
        </row>
        <row r="62">
          <cell r="B62" t="str">
            <v>Resto de Neuquén</v>
          </cell>
          <cell r="C62">
            <v>-5.0500000000000003E-2</v>
          </cell>
          <cell r="D62">
            <v>-3.7999999999999999E-2</v>
          </cell>
          <cell r="E62">
            <v>-2.5499999999999998E-2</v>
          </cell>
          <cell r="F62">
            <v>-1.2500000000000001E-2</v>
          </cell>
          <cell r="G62">
            <v>0</v>
          </cell>
        </row>
        <row r="63">
          <cell r="B63" t="str">
            <v>Río Negro sur hasta Paralelo 42</v>
          </cell>
          <cell r="C63">
            <v>-8.6499999999999994E-2</v>
          </cell>
          <cell r="D63">
            <v>-6.5000000000000002E-2</v>
          </cell>
          <cell r="E63">
            <v>-4.2999999999999997E-2</v>
          </cell>
          <cell r="F63">
            <v>-2.1499999999999998E-2</v>
          </cell>
          <cell r="G63">
            <v>0</v>
          </cell>
        </row>
        <row r="64">
          <cell r="B64" t="str">
            <v>Río Negro - Viedma</v>
          </cell>
          <cell r="C64">
            <v>-0.04</v>
          </cell>
          <cell r="D64">
            <v>-0.03</v>
          </cell>
          <cell r="E64">
            <v>-0.02</v>
          </cell>
          <cell r="F64">
            <v>-0.01</v>
          </cell>
          <cell r="G64">
            <v>0</v>
          </cell>
        </row>
        <row r="65">
          <cell r="B65" t="str">
            <v>Río Negro - Alto Valle</v>
          </cell>
          <cell r="C65">
            <v>-0.04</v>
          </cell>
          <cell r="D65">
            <v>-0.03</v>
          </cell>
          <cell r="E65">
            <v>-0.02</v>
          </cell>
          <cell r="F65">
            <v>-0.01</v>
          </cell>
          <cell r="G65">
            <v>0</v>
          </cell>
        </row>
        <row r="66">
          <cell r="B66" t="str">
            <v>Resto de Río Negro</v>
          </cell>
          <cell r="C66">
            <v>-5.0500000000000003E-2</v>
          </cell>
          <cell r="D66">
            <v>-3.7999999999999999E-2</v>
          </cell>
          <cell r="E66">
            <v>-2.5499999999999998E-2</v>
          </cell>
          <cell r="F66">
            <v>-1.2500000000000001E-2</v>
          </cell>
          <cell r="G66">
            <v>0</v>
          </cell>
        </row>
        <row r="67">
          <cell r="B67" t="str">
            <v>Gran Salta</v>
          </cell>
          <cell r="C67">
            <v>-9.7000000000000003E-2</v>
          </cell>
          <cell r="D67">
            <v>-7.2999999999999995E-2</v>
          </cell>
          <cell r="E67">
            <v>-4.8500000000000001E-2</v>
          </cell>
          <cell r="F67">
            <v>-2.4500000000000001E-2</v>
          </cell>
          <cell r="G67">
            <v>0</v>
          </cell>
        </row>
        <row r="68">
          <cell r="B68" t="str">
            <v>Resto de Salta</v>
          </cell>
          <cell r="C68">
            <v>-0.1075</v>
          </cell>
          <cell r="D68">
            <v>-8.0500000000000002E-2</v>
          </cell>
          <cell r="E68">
            <v>-5.3999999999999999E-2</v>
          </cell>
          <cell r="F68">
            <v>-2.7E-2</v>
          </cell>
          <cell r="G68">
            <v>0</v>
          </cell>
        </row>
        <row r="69">
          <cell r="B69" t="str">
            <v>Gran San Juan</v>
          </cell>
          <cell r="C69">
            <v>-5.0500000000000003E-2</v>
          </cell>
          <cell r="D69">
            <v>-3.7999999999999999E-2</v>
          </cell>
          <cell r="E69">
            <v>-2.5499999999999998E-2</v>
          </cell>
          <cell r="F69">
            <v>-1.2500000000000001E-2</v>
          </cell>
          <cell r="G69">
            <v>0</v>
          </cell>
        </row>
        <row r="70">
          <cell r="B70" t="str">
            <v>Resto de San Juan</v>
          </cell>
          <cell r="C70">
            <v>-7.5999999999999998E-2</v>
          </cell>
          <cell r="D70">
            <v>-5.7000000000000002E-2</v>
          </cell>
          <cell r="E70">
            <v>-3.7999999999999999E-2</v>
          </cell>
          <cell r="F70">
            <v>-1.9E-2</v>
          </cell>
          <cell r="G70">
            <v>0</v>
          </cell>
        </row>
        <row r="71">
          <cell r="B71" t="str">
            <v>Ciudad de San Luis</v>
          </cell>
          <cell r="C71">
            <v>-0.04</v>
          </cell>
          <cell r="D71">
            <v>-0.03</v>
          </cell>
          <cell r="E71">
            <v>-0.02</v>
          </cell>
          <cell r="F71">
            <v>-0.01</v>
          </cell>
          <cell r="G71">
            <v>0</v>
          </cell>
        </row>
        <row r="72">
          <cell r="B72" t="str">
            <v>Resto de San Luis</v>
          </cell>
          <cell r="C72">
            <v>-5.0500000000000003E-2</v>
          </cell>
          <cell r="D72">
            <v>-3.7999999999999999E-2</v>
          </cell>
          <cell r="E72">
            <v>-2.5499999999999998E-2</v>
          </cell>
          <cell r="F72">
            <v>-1.2500000000000001E-2</v>
          </cell>
          <cell r="G72">
            <v>0</v>
          </cell>
        </row>
        <row r="73">
          <cell r="B73" t="str">
            <v>Santa Cruz - Caleta Olivia</v>
          </cell>
          <cell r="C73">
            <v>-8.6499999999999994E-2</v>
          </cell>
          <cell r="D73">
            <v>-6.5000000000000002E-2</v>
          </cell>
          <cell r="E73">
            <v>-4.2999999999999997E-2</v>
          </cell>
          <cell r="F73">
            <v>-2.1499999999999998E-2</v>
          </cell>
          <cell r="G73">
            <v>0</v>
          </cell>
        </row>
        <row r="74">
          <cell r="B74" t="str">
            <v>Santa Cruz - Río Gallegos</v>
          </cell>
          <cell r="C74">
            <v>-8.6499999999999994E-2</v>
          </cell>
          <cell r="D74">
            <v>-6.5000000000000002E-2</v>
          </cell>
          <cell r="E74">
            <v>-4.2999999999999997E-2</v>
          </cell>
          <cell r="F74">
            <v>-2.1499999999999998E-2</v>
          </cell>
          <cell r="G74">
            <v>0</v>
          </cell>
        </row>
        <row r="75">
          <cell r="B75" t="str">
            <v>Resto de Santa Cruz</v>
          </cell>
          <cell r="C75">
            <v>-9.7000000000000003E-2</v>
          </cell>
          <cell r="D75">
            <v>-7.2999999999999995E-2</v>
          </cell>
          <cell r="E75">
            <v>-4.8500000000000001E-2</v>
          </cell>
          <cell r="F75">
            <v>-2.4500000000000001E-2</v>
          </cell>
          <cell r="G75">
            <v>0</v>
          </cell>
        </row>
        <row r="76">
          <cell r="B76" t="str">
            <v>Santa Fe - General Obligado</v>
          </cell>
          <cell r="C76">
            <v>-7.5999999999999998E-2</v>
          </cell>
          <cell r="D76">
            <v>-5.7000000000000002E-2</v>
          </cell>
          <cell r="E76">
            <v>-3.7999999999999999E-2</v>
          </cell>
          <cell r="F76">
            <v>-1.9E-2</v>
          </cell>
          <cell r="G76">
            <v>0</v>
          </cell>
        </row>
        <row r="77">
          <cell r="B77" t="str">
            <v>Santa Fe - San Javier</v>
          </cell>
          <cell r="C77">
            <v>-7.5999999999999998E-2</v>
          </cell>
          <cell r="D77">
            <v>-5.7000000000000002E-2</v>
          </cell>
          <cell r="E77">
            <v>-3.7999999999999999E-2</v>
          </cell>
          <cell r="F77">
            <v>-1.9E-2</v>
          </cell>
          <cell r="G77">
            <v>0</v>
          </cell>
        </row>
        <row r="78">
          <cell r="B78" t="str">
            <v>Santa Fe y Santo Tomé</v>
          </cell>
          <cell r="C78">
            <v>-2.9499999999999998E-2</v>
          </cell>
          <cell r="D78">
            <v>-2.1999999999999999E-2</v>
          </cell>
          <cell r="E78">
            <v>-1.4999999999999999E-2</v>
          </cell>
          <cell r="F78">
            <v>-7.4999999999999997E-3</v>
          </cell>
          <cell r="G78">
            <v>0</v>
          </cell>
        </row>
        <row r="79">
          <cell r="B79" t="str">
            <v>Santa Fe - 9 de Julio</v>
          </cell>
          <cell r="C79">
            <v>-7.5999999999999998E-2</v>
          </cell>
          <cell r="D79">
            <v>-5.7000000000000002E-2</v>
          </cell>
          <cell r="E79">
            <v>-3.7999999999999999E-2</v>
          </cell>
          <cell r="F79">
            <v>-1.9E-2</v>
          </cell>
          <cell r="G79">
            <v>0</v>
          </cell>
        </row>
        <row r="80">
          <cell r="B80" t="str">
            <v>Santa Fe - Vera</v>
          </cell>
          <cell r="C80">
            <v>-7.5999999999999998E-2</v>
          </cell>
          <cell r="D80">
            <v>-5.7000000000000002E-2</v>
          </cell>
          <cell r="E80">
            <v>-3.7999999999999999E-2</v>
          </cell>
          <cell r="F80">
            <v>-1.9E-2</v>
          </cell>
          <cell r="G80">
            <v>0</v>
          </cell>
        </row>
        <row r="81">
          <cell r="B81" t="str">
            <v>Resto de Santa Fe</v>
          </cell>
          <cell r="C81">
            <v>-2.9499999999999998E-2</v>
          </cell>
          <cell r="D81">
            <v>-2.1999999999999999E-2</v>
          </cell>
          <cell r="E81">
            <v>-1.4999999999999999E-2</v>
          </cell>
          <cell r="F81">
            <v>-7.4999999999999997E-3</v>
          </cell>
          <cell r="G81">
            <v>0</v>
          </cell>
        </row>
        <row r="82">
          <cell r="B82" t="str">
            <v>Ciudad de Santiago del Estero y La Banda</v>
          </cell>
          <cell r="C82">
            <v>-0.1075</v>
          </cell>
          <cell r="D82">
            <v>-8.0500000000000002E-2</v>
          </cell>
          <cell r="E82">
            <v>-5.3999999999999999E-2</v>
          </cell>
          <cell r="F82">
            <v>-2.7E-2</v>
          </cell>
          <cell r="G82">
            <v>0</v>
          </cell>
        </row>
        <row r="83">
          <cell r="B83" t="str">
            <v>Santiago del Estero - Ojo de Agua</v>
          </cell>
          <cell r="C83">
            <v>-7.5999999999999998E-2</v>
          </cell>
          <cell r="D83">
            <v>-5.7000000000000002E-2</v>
          </cell>
          <cell r="E83">
            <v>-3.7999999999999999E-2</v>
          </cell>
          <cell r="F83">
            <v>-1.9E-2</v>
          </cell>
          <cell r="G83">
            <v>0</v>
          </cell>
        </row>
        <row r="84">
          <cell r="B84" t="str">
            <v>Santiago del Estero - Quebrachos</v>
          </cell>
          <cell r="C84">
            <v>-7.5999999999999998E-2</v>
          </cell>
          <cell r="D84">
            <v>-5.7000000000000002E-2</v>
          </cell>
          <cell r="E84">
            <v>-3.7999999999999999E-2</v>
          </cell>
          <cell r="F84">
            <v>-1.9E-2</v>
          </cell>
          <cell r="G84">
            <v>0</v>
          </cell>
        </row>
        <row r="85">
          <cell r="B85" t="str">
            <v>Santiago del Estero - Rivadavia</v>
          </cell>
          <cell r="C85">
            <v>-7.5999999999999998E-2</v>
          </cell>
          <cell r="D85">
            <v>-5.7000000000000002E-2</v>
          </cell>
          <cell r="E85">
            <v>-3.7999999999999999E-2</v>
          </cell>
          <cell r="F85">
            <v>-1.9E-2</v>
          </cell>
          <cell r="G85">
            <v>0</v>
          </cell>
        </row>
        <row r="86">
          <cell r="B86" t="str">
            <v>Tierra del Fuego - Río Grande</v>
          </cell>
          <cell r="C86">
            <v>-8.6499999999999994E-2</v>
          </cell>
          <cell r="D86">
            <v>-6.5000000000000002E-2</v>
          </cell>
          <cell r="E86">
            <v>-4.2999999999999997E-2</v>
          </cell>
          <cell r="F86">
            <v>-2.1499999999999998E-2</v>
          </cell>
          <cell r="G86">
            <v>0</v>
          </cell>
        </row>
        <row r="87">
          <cell r="B87" t="str">
            <v>Tierra del Fuego - Ushuaia</v>
          </cell>
          <cell r="C87">
            <v>-8.6499999999999994E-2</v>
          </cell>
          <cell r="D87">
            <v>-6.5000000000000002E-2</v>
          </cell>
          <cell r="E87">
            <v>-4.2999999999999997E-2</v>
          </cell>
          <cell r="F87">
            <v>-2.1499999999999998E-2</v>
          </cell>
          <cell r="G87">
            <v>0</v>
          </cell>
        </row>
        <row r="88">
          <cell r="B88" t="str">
            <v>Resto de Tierra del Fuego</v>
          </cell>
          <cell r="C88">
            <v>-9.7000000000000003E-2</v>
          </cell>
          <cell r="D88">
            <v>-7.2999999999999995E-2</v>
          </cell>
          <cell r="E88">
            <v>-4.8500000000000001E-2</v>
          </cell>
          <cell r="F88">
            <v>-2.4500000000000001E-2</v>
          </cell>
          <cell r="G88">
            <v>0</v>
          </cell>
        </row>
        <row r="89">
          <cell r="B89" t="str">
            <v>Gran Tucumán</v>
          </cell>
          <cell r="C89">
            <v>-7.5999999999999998E-2</v>
          </cell>
          <cell r="D89">
            <v>-5.7000000000000002E-2</v>
          </cell>
          <cell r="E89">
            <v>-3.7999999999999999E-2</v>
          </cell>
          <cell r="F89">
            <v>-1.9E-2</v>
          </cell>
          <cell r="G89">
            <v>0</v>
          </cell>
        </row>
        <row r="90">
          <cell r="B90" t="str">
            <v>Resto de Tucumán</v>
          </cell>
          <cell r="C90">
            <v>-8.6499999999999994E-2</v>
          </cell>
          <cell r="D90">
            <v>-6.5000000000000002E-2</v>
          </cell>
          <cell r="E90">
            <v>-4.2999999999999997E-2</v>
          </cell>
          <cell r="F90">
            <v>-2.1499999999999998E-2</v>
          </cell>
          <cell r="G90">
            <v>0</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ciones"/>
      <sheetName val="Resumen"/>
      <sheetName val="Tiempos y Costos por Fase"/>
      <sheetName val="Tiempos"/>
      <sheetName val="Gráficos"/>
      <sheetName val="Costos"/>
      <sheetName val="Resultados"/>
      <sheetName val="Dat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6">
          <cell r="G6" t="str">
            <v>ACONDICIONAR EL POZO</v>
          </cell>
          <cell r="K6" t="str">
            <v>Horas</v>
          </cell>
        </row>
        <row r="7">
          <cell r="G7" t="str">
            <v>BAJAR INSTALACION</v>
          </cell>
          <cell r="K7" t="str">
            <v>Dias</v>
          </cell>
        </row>
        <row r="8">
          <cell r="G8" t="str">
            <v>CASING / CEMENTACION</v>
          </cell>
          <cell r="K8" t="str">
            <v>mts/hrs</v>
          </cell>
        </row>
        <row r="9">
          <cell r="G9" t="str">
            <v>CONECTAR / DESCONECTAR RISER</v>
          </cell>
          <cell r="K9" t="str">
            <v>mts/dia</v>
          </cell>
        </row>
        <row r="10">
          <cell r="G10" t="str">
            <v>ENSAYOS DE POZO</v>
          </cell>
          <cell r="K10" t="str">
            <v>hrs/mts</v>
          </cell>
        </row>
        <row r="11">
          <cell r="G11" t="str">
            <v>ESTIMULACION</v>
          </cell>
        </row>
        <row r="12">
          <cell r="G12" t="str">
            <v>EVALUACION DE FORMACION</v>
          </cell>
        </row>
        <row r="13">
          <cell r="G13" t="str">
            <v>LOGGING P/ DIAGNOSTICO</v>
          </cell>
        </row>
        <row r="14">
          <cell r="G14" t="str">
            <v>MODIFICACIONES O REPARACIONES DE EQUIPO</v>
          </cell>
        </row>
        <row r="15">
          <cell r="G15" t="str">
            <v>MONTA / DESMONTA / TRANSPORTA / DESLIZA</v>
          </cell>
        </row>
        <row r="16">
          <cell r="G16" t="str">
            <v>PERFORACION</v>
          </cell>
        </row>
        <row r="17">
          <cell r="G17" t="str">
            <v>PREPARACION DE LOCACION</v>
          </cell>
        </row>
        <row r="18">
          <cell r="G18" t="str">
            <v>PROBLEMAS APRISIONAMIENTO Y PESCA</v>
          </cell>
        </row>
        <row r="19">
          <cell r="G19" t="str">
            <v>PROBLEMAS CONTROL DE POZO</v>
          </cell>
        </row>
        <row r="20">
          <cell r="G20" t="str">
            <v>PROBLEMAS DE SIDETRACK</v>
          </cell>
        </row>
        <row r="21">
          <cell r="G21" t="str">
            <v>PROBLEMAS ENTUB,CEMENT Y LOGGING</v>
          </cell>
        </row>
        <row r="22">
          <cell r="G22" t="str">
            <v>PROBLEMAS PERDIDA DE CIRCULACION</v>
          </cell>
        </row>
        <row r="23">
          <cell r="G23" t="str">
            <v>PROBLEMAS, ACONDICIONAR EL POZO</v>
          </cell>
        </row>
        <row r="24">
          <cell r="G24" t="str">
            <v>PUNZADOS</v>
          </cell>
        </row>
        <row r="25">
          <cell r="G25" t="str">
            <v>RESTAURAR LOCACION</v>
          </cell>
        </row>
        <row r="26">
          <cell r="G26" t="str">
            <v>SACAR INSTALACION EXISTENTE</v>
          </cell>
        </row>
        <row r="27">
          <cell r="G27" t="str">
            <v>SALUD, SEGURIDAD Y MEDIO AMBIENTE</v>
          </cell>
        </row>
        <row r="28">
          <cell r="G28" t="str">
            <v>TAPONAR Y ABANDONAR / ABANDONO TEMPORAL</v>
          </cell>
        </row>
        <row r="29">
          <cell r="G29" t="str">
            <v>TRABAJOS DE PRODUCCION</v>
          </cell>
        </row>
      </sheetData>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DAT"/>
      <sheetName val="BASE-API"/>
      <sheetName val="BD NUEVA"/>
      <sheetName val="ESPARRAGOS - RJ"/>
      <sheetName val="PESO CAÑERIA"/>
      <sheetName val="VOL.AGUA"/>
      <sheetName val="Datos"/>
      <sheetName val="RESUMEN GRAL"/>
      <sheetName val="#¡REF"/>
      <sheetName val="AC.CO.#150"/>
      <sheetName val="3"/>
    </sheetNames>
    <sheetDataSet>
      <sheetData sheetId="0"/>
      <sheetData sheetId="1"/>
      <sheetData sheetId="2"/>
      <sheetData sheetId="3"/>
      <sheetData sheetId="4"/>
      <sheetData sheetId="5"/>
      <sheetData sheetId="6"/>
      <sheetData sheetId="7"/>
      <sheetData sheetId="8"/>
      <sheetData sheetId="9" refreshError="1"/>
      <sheetData sheetId="10"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Acelerated"/>
      <sheetName val="Planilla"/>
      <sheetName val="Output"/>
      <sheetName val="Sens"/>
    </sheetNames>
    <sheetDataSet>
      <sheetData sheetId="0" refreshError="1">
        <row r="48">
          <cell r="F48">
            <v>1</v>
          </cell>
        </row>
      </sheetData>
      <sheetData sheetId="1" refreshError="1"/>
      <sheetData sheetId="2" refreshError="1"/>
      <sheetData sheetId="3" refreshError="1"/>
      <sheetData sheetId="4" refreshError="1"/>
      <sheetData sheetId="5"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Releases Details"/>
      <sheetName val="Macro1"/>
    </sheetNames>
    <sheetDataSet>
      <sheetData sheetId="0"/>
      <sheetData sheetId="1"/>
      <sheetData sheetId="2">
        <row r="314">
          <cell r="A314" t="str">
            <v>Recover</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Output"/>
      <sheetName val="Planilla"/>
      <sheetName val="Resumen Sensibilidad"/>
      <sheetName val="Calcwti"/>
      <sheetName val="Sens Inv"/>
      <sheetName val="Sens Costos"/>
      <sheetName val="Sens Precio"/>
      <sheetName val="Sens Prod"/>
      <sheetName val="Instructivo"/>
    </sheetNames>
    <sheetDataSet>
      <sheetData sheetId="0" refreshError="1">
        <row r="42">
          <cell r="Q42">
            <v>0.15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FE00"/>
      <sheetName val="Conversion to Injector-AFE"/>
      <sheetName val="ce23"/>
      <sheetName val="programa4-8-04"/>
      <sheetName val="InfConv"/>
      <sheetName val="WO2008"/>
      <sheetName val="Caratula AFE2008"/>
      <sheetName val="Conversion to Injector-AFE004"/>
      <sheetName val="InfPull_10_08"/>
      <sheetName val="WO2009"/>
      <sheetName val="Caratula AFE2009"/>
      <sheetName val="Conversion to Injector-AFE-2009"/>
      <sheetName val="InfTer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ontroles1"/>
      <sheetName val="Controles2"/>
      <sheetName val="Promedio"/>
      <sheetName val="General"/>
      <sheetName val="COSTOS Catriel ZONA I y II"/>
      <sheetName val="Certificación ZONA I y II"/>
      <sheetName val="COSTOS Zona VAM"/>
      <sheetName val="Certificación Zona VAM"/>
      <sheetName val="CM 4900053155 (Zona Sur) "/>
      <sheetName val="CM 4900053155 (Zona Norte) "/>
      <sheetName val="ENERO 2016"/>
      <sheetName val="COSTOS"/>
      <sheetName val="Tarifas"/>
      <sheetName val="Informe Mensu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ontroles1"/>
      <sheetName val="Controles2"/>
      <sheetName val="Promedio"/>
      <sheetName val="General"/>
      <sheetName val="COSTOS Catriel ZONA I y II"/>
      <sheetName val="Certificación ZONA I y II"/>
      <sheetName val="COSTOS Zona VAM"/>
      <sheetName val="Certificación Zona VAM"/>
      <sheetName val="CM 4900053155 (Zona Sur) "/>
      <sheetName val="CM 4900053155 (Zona Norte) "/>
      <sheetName val="Abril 2014"/>
      <sheetName val="COSTOS"/>
      <sheetName val="Tarifas"/>
      <sheetName val="Informe Mensu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Cuadros EFirma"/>
      <sheetName val="INMUEBLES EQUIPOS Y RODADOS"/>
      <sheetName val="MANO DE OBRA DICIEMBRE-11"/>
      <sheetName val="MANO DE OBRA"/>
      <sheetName val="MATERIALES-INSUMOS"/>
      <sheetName val="COMB-LUB-NEUM-MANT"/>
      <sheetName val="RESUMEN"/>
      <sheetName val="APROPIACION A TARIFAS"/>
      <sheetName val="Análisis"/>
      <sheetName val="Analisis Ajustes"/>
      <sheetName val="Aplicación Indices"/>
      <sheetName val="Directos - Indirectos"/>
      <sheetName val="Validaciones"/>
      <sheetName val="Datos Indic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4">
          <cell r="B4" t="str">
            <v>Geofísica</v>
          </cell>
        </row>
        <row r="46">
          <cell r="B46" t="str">
            <v>Liso</v>
          </cell>
        </row>
        <row r="47">
          <cell r="B47" t="str">
            <v>Taco</v>
          </cell>
        </row>
      </sheetData>
      <sheetData sheetId="14"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Cuadros EFirma"/>
      <sheetName val="INMUEBLES EQUIPOS Y RODADOS"/>
      <sheetName val="MANO DE OBRA DICIEMBRE-11"/>
      <sheetName val="MANO DE OBRA"/>
      <sheetName val="MATERIALES-INSUMOS"/>
      <sheetName val="COMB-LUB-NEUM-MANT"/>
      <sheetName val="RESUMEN"/>
      <sheetName val="APROPIACION A TARIFAS"/>
      <sheetName val="Análisis"/>
      <sheetName val="Analisis Ajustes"/>
      <sheetName val="Aplicación Indices"/>
      <sheetName val="Directos - Indirectos"/>
      <sheetName val="Validaciones"/>
      <sheetName val="Datos Indic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46">
          <cell r="B46" t="str">
            <v>Liso</v>
          </cell>
        </row>
        <row r="47">
          <cell r="B47" t="str">
            <v>Taco</v>
          </cell>
        </row>
      </sheetData>
      <sheetData sheetId="14"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UOCRA"/>
      <sheetName val="P. PRIVADO"/>
      <sheetName val="P. JERARQUICO"/>
      <sheetName val="BD_ESCALAS.PETROLERO"/>
      <sheetName val="BD_ADICIONALES.PETROLERO"/>
      <sheetName val="BD_ESCALAS.UOCRA"/>
      <sheetName val="BD_ADICIONALES.FC"/>
      <sheetName val="BD_ZONAS"/>
      <sheetName val="IVA"/>
    </sheetNames>
    <sheetDataSet>
      <sheetData sheetId="0"/>
      <sheetData sheetId="1">
        <row r="8">
          <cell r="D8">
            <v>43405</v>
          </cell>
        </row>
      </sheetData>
      <sheetData sheetId="2">
        <row r="8">
          <cell r="D8">
            <v>43374</v>
          </cell>
        </row>
      </sheetData>
      <sheetData sheetId="3"/>
      <sheetData sheetId="4"/>
      <sheetData sheetId="5">
        <row r="7">
          <cell r="BA7" t="str">
            <v>PETROLERO CHUBUT (605/10)</v>
          </cell>
        </row>
      </sheetData>
      <sheetData sheetId="6">
        <row r="6">
          <cell r="BE6" t="str">
            <v>ASIG. VIANDA COMP. NO REM.</v>
          </cell>
        </row>
      </sheetData>
      <sheetData sheetId="7">
        <row r="103">
          <cell r="B103" t="str">
            <v>AYUDANTE</v>
          </cell>
          <cell r="C103">
            <v>42736</v>
          </cell>
          <cell r="D103" t="str">
            <v>Zona 1</v>
          </cell>
          <cell r="E103">
            <v>39.01</v>
          </cell>
          <cell r="F103">
            <v>0</v>
          </cell>
          <cell r="G103">
            <v>68.12</v>
          </cell>
          <cell r="H103">
            <v>179.4</v>
          </cell>
          <cell r="I103">
            <v>0</v>
          </cell>
          <cell r="J103">
            <v>226.58</v>
          </cell>
          <cell r="K103">
            <v>3206.15</v>
          </cell>
        </row>
        <row r="104">
          <cell r="B104" t="str">
            <v>MEDIO OFICIAL</v>
          </cell>
          <cell r="C104">
            <v>42736</v>
          </cell>
          <cell r="D104" t="str">
            <v>Zona 1</v>
          </cell>
          <cell r="E104">
            <v>42.39</v>
          </cell>
          <cell r="F104">
            <v>0</v>
          </cell>
          <cell r="G104">
            <v>68.12</v>
          </cell>
          <cell r="H104">
            <v>179.4</v>
          </cell>
          <cell r="I104">
            <v>0</v>
          </cell>
          <cell r="J104">
            <v>226.58</v>
          </cell>
          <cell r="K104">
            <v>3206.15</v>
          </cell>
        </row>
        <row r="105">
          <cell r="B105" t="str">
            <v>OFICIAL</v>
          </cell>
          <cell r="C105">
            <v>42736</v>
          </cell>
          <cell r="D105" t="str">
            <v>Zona 1</v>
          </cell>
          <cell r="E105">
            <v>45.99</v>
          </cell>
          <cell r="F105">
            <v>0</v>
          </cell>
          <cell r="G105">
            <v>68.12</v>
          </cell>
          <cell r="H105">
            <v>179.4</v>
          </cell>
          <cell r="I105">
            <v>0</v>
          </cell>
          <cell r="J105">
            <v>226.58</v>
          </cell>
          <cell r="K105">
            <v>3206.15</v>
          </cell>
        </row>
        <row r="106">
          <cell r="B106" t="str">
            <v>OFICIAL BOLLAND</v>
          </cell>
          <cell r="C106">
            <v>42736</v>
          </cell>
          <cell r="D106" t="str">
            <v>Zona 1</v>
          </cell>
          <cell r="E106">
            <v>54</v>
          </cell>
          <cell r="F106">
            <v>0</v>
          </cell>
          <cell r="G106">
            <v>68.12</v>
          </cell>
          <cell r="H106">
            <v>179.4</v>
          </cell>
          <cell r="I106">
            <v>0</v>
          </cell>
          <cell r="J106">
            <v>226.58</v>
          </cell>
          <cell r="K106">
            <v>3206.15</v>
          </cell>
        </row>
        <row r="107">
          <cell r="B107" t="str">
            <v>OFICIAL ESPECIALIZADO</v>
          </cell>
          <cell r="C107">
            <v>42736</v>
          </cell>
          <cell r="D107" t="str">
            <v>Zona 1</v>
          </cell>
          <cell r="E107">
            <v>54</v>
          </cell>
          <cell r="F107">
            <v>0</v>
          </cell>
          <cell r="G107">
            <v>68.12</v>
          </cell>
          <cell r="H107">
            <v>179.4</v>
          </cell>
          <cell r="I107">
            <v>0</v>
          </cell>
          <cell r="J107">
            <v>226.58</v>
          </cell>
          <cell r="K107">
            <v>3206.15</v>
          </cell>
        </row>
        <row r="108">
          <cell r="B108" t="str">
            <v>AYUDANTE</v>
          </cell>
          <cell r="C108">
            <v>42736</v>
          </cell>
          <cell r="D108" t="str">
            <v>Zona 2</v>
          </cell>
          <cell r="E108">
            <v>39.01</v>
          </cell>
          <cell r="F108">
            <v>6.63</v>
          </cell>
          <cell r="G108">
            <v>76.430000000000007</v>
          </cell>
          <cell r="H108">
            <v>179.4</v>
          </cell>
          <cell r="I108">
            <v>74.75</v>
          </cell>
          <cell r="J108">
            <v>226.58</v>
          </cell>
          <cell r="K108">
            <v>3206.15</v>
          </cell>
        </row>
        <row r="109">
          <cell r="B109" t="str">
            <v>MEDIO OFICIAL</v>
          </cell>
          <cell r="C109">
            <v>42736</v>
          </cell>
          <cell r="D109" t="str">
            <v>Zona 2</v>
          </cell>
          <cell r="E109">
            <v>42.39</v>
          </cell>
          <cell r="F109">
            <v>7.22</v>
          </cell>
          <cell r="G109">
            <v>76.430000000000007</v>
          </cell>
          <cell r="H109">
            <v>179.4</v>
          </cell>
          <cell r="I109">
            <v>74.75</v>
          </cell>
          <cell r="J109">
            <v>226.58</v>
          </cell>
          <cell r="K109">
            <v>3206.15</v>
          </cell>
        </row>
        <row r="110">
          <cell r="B110" t="str">
            <v>OFICIAL</v>
          </cell>
          <cell r="C110">
            <v>42736</v>
          </cell>
          <cell r="D110" t="str">
            <v>Zona 2</v>
          </cell>
          <cell r="E110">
            <v>45.99</v>
          </cell>
          <cell r="F110">
            <v>7.83</v>
          </cell>
          <cell r="G110">
            <v>76.430000000000007</v>
          </cell>
          <cell r="H110">
            <v>179.4</v>
          </cell>
          <cell r="I110">
            <v>74.75</v>
          </cell>
          <cell r="J110">
            <v>226.58</v>
          </cell>
          <cell r="K110">
            <v>3206.15</v>
          </cell>
        </row>
        <row r="111">
          <cell r="B111" t="str">
            <v>OFICIAL BOLLAND</v>
          </cell>
          <cell r="C111">
            <v>42736</v>
          </cell>
          <cell r="D111" t="str">
            <v>Zona 2</v>
          </cell>
          <cell r="E111">
            <v>54</v>
          </cell>
          <cell r="F111">
            <v>9.19</v>
          </cell>
          <cell r="G111">
            <v>76.430000000000007</v>
          </cell>
          <cell r="H111">
            <v>179.4</v>
          </cell>
          <cell r="I111">
            <v>74.75</v>
          </cell>
          <cell r="J111">
            <v>226.58</v>
          </cell>
          <cell r="K111">
            <v>3206.15</v>
          </cell>
        </row>
        <row r="112">
          <cell r="B112" t="str">
            <v>OFICIAL ESPECIALIZADO</v>
          </cell>
          <cell r="C112">
            <v>42736</v>
          </cell>
          <cell r="D112" t="str">
            <v>Zona 2</v>
          </cell>
          <cell r="E112">
            <v>54</v>
          </cell>
          <cell r="F112">
            <v>9.19</v>
          </cell>
          <cell r="G112">
            <v>76.430000000000007</v>
          </cell>
          <cell r="H112">
            <v>179.4</v>
          </cell>
          <cell r="I112">
            <v>74.75</v>
          </cell>
          <cell r="J112">
            <v>226.58</v>
          </cell>
          <cell r="K112">
            <v>3206.15</v>
          </cell>
        </row>
        <row r="113">
          <cell r="B113" t="str">
            <v>AYUDANTE</v>
          </cell>
          <cell r="C113">
            <v>42736</v>
          </cell>
          <cell r="D113" t="str">
            <v>Zona 3</v>
          </cell>
          <cell r="E113">
            <v>39.01</v>
          </cell>
          <cell r="F113">
            <v>31.98</v>
          </cell>
          <cell r="G113">
            <v>76.430000000000007</v>
          </cell>
          <cell r="H113">
            <v>179.4</v>
          </cell>
          <cell r="I113">
            <v>74.75</v>
          </cell>
          <cell r="J113">
            <v>320.63</v>
          </cell>
          <cell r="K113">
            <v>3206.15</v>
          </cell>
        </row>
        <row r="114">
          <cell r="B114" t="str">
            <v>MEDIO OFICIAL</v>
          </cell>
          <cell r="C114">
            <v>42736</v>
          </cell>
          <cell r="D114" t="str">
            <v>Zona 3</v>
          </cell>
          <cell r="E114">
            <v>42.39</v>
          </cell>
          <cell r="F114">
            <v>34.76</v>
          </cell>
          <cell r="G114">
            <v>76.430000000000007</v>
          </cell>
          <cell r="H114">
            <v>179.4</v>
          </cell>
          <cell r="I114">
            <v>74.75</v>
          </cell>
          <cell r="J114">
            <v>320.63</v>
          </cell>
          <cell r="K114">
            <v>3206.15</v>
          </cell>
        </row>
        <row r="115">
          <cell r="B115" t="str">
            <v>OFICIAL</v>
          </cell>
          <cell r="C115">
            <v>42736</v>
          </cell>
          <cell r="D115" t="str">
            <v>Zona 3</v>
          </cell>
          <cell r="E115">
            <v>45.99</v>
          </cell>
          <cell r="F115">
            <v>37.71</v>
          </cell>
          <cell r="G115">
            <v>76.430000000000007</v>
          </cell>
          <cell r="H115">
            <v>179.4</v>
          </cell>
          <cell r="I115">
            <v>74.75</v>
          </cell>
          <cell r="J115">
            <v>320.63</v>
          </cell>
          <cell r="K115">
            <v>3206.15</v>
          </cell>
        </row>
        <row r="116">
          <cell r="B116" t="str">
            <v>OFICIAL BOLLAND</v>
          </cell>
          <cell r="C116">
            <v>42736</v>
          </cell>
          <cell r="D116" t="str">
            <v>Zona 3</v>
          </cell>
          <cell r="E116">
            <v>54</v>
          </cell>
          <cell r="F116">
            <v>44.28</v>
          </cell>
          <cell r="G116">
            <v>76.430000000000007</v>
          </cell>
          <cell r="H116">
            <v>179.4</v>
          </cell>
          <cell r="I116">
            <v>74.75</v>
          </cell>
          <cell r="J116">
            <v>320.63</v>
          </cell>
          <cell r="K116">
            <v>3206.15</v>
          </cell>
        </row>
        <row r="117">
          <cell r="B117" t="str">
            <v>OFICIAL ESPECIALIZADO</v>
          </cell>
          <cell r="C117">
            <v>42736</v>
          </cell>
          <cell r="D117" t="str">
            <v>Zona 3</v>
          </cell>
          <cell r="E117">
            <v>54</v>
          </cell>
          <cell r="F117">
            <v>44.28</v>
          </cell>
          <cell r="G117">
            <v>76.430000000000007</v>
          </cell>
          <cell r="H117">
            <v>179.4</v>
          </cell>
          <cell r="I117">
            <v>74.75</v>
          </cell>
          <cell r="J117">
            <v>320.63</v>
          </cell>
          <cell r="K117">
            <v>3206.15</v>
          </cell>
        </row>
        <row r="118">
          <cell r="B118" t="str">
            <v>AYUDANTE</v>
          </cell>
          <cell r="C118">
            <v>42736</v>
          </cell>
          <cell r="D118" t="str">
            <v>Zona 4</v>
          </cell>
          <cell r="E118">
            <v>39.01</v>
          </cell>
          <cell r="F118">
            <v>39.01</v>
          </cell>
          <cell r="G118">
            <v>76.430000000000007</v>
          </cell>
          <cell r="H118">
            <v>179.4</v>
          </cell>
          <cell r="I118">
            <v>74.75</v>
          </cell>
          <cell r="J118">
            <v>270.14</v>
          </cell>
          <cell r="K118">
            <v>3206.15</v>
          </cell>
        </row>
        <row r="119">
          <cell r="B119" t="str">
            <v>MEDIO OFICIAL</v>
          </cell>
          <cell r="C119">
            <v>42736</v>
          </cell>
          <cell r="D119" t="str">
            <v>Zona 4</v>
          </cell>
          <cell r="E119">
            <v>42.39</v>
          </cell>
          <cell r="F119">
            <v>42.39</v>
          </cell>
          <cell r="G119">
            <v>76.430000000000007</v>
          </cell>
          <cell r="H119">
            <v>179.4</v>
          </cell>
          <cell r="I119">
            <v>74.75</v>
          </cell>
          <cell r="J119">
            <v>270.14</v>
          </cell>
          <cell r="K119">
            <v>3206.15</v>
          </cell>
        </row>
        <row r="120">
          <cell r="B120" t="str">
            <v>OFICIAL</v>
          </cell>
          <cell r="C120">
            <v>42736</v>
          </cell>
          <cell r="D120" t="str">
            <v>Zona 4</v>
          </cell>
          <cell r="E120">
            <v>45.99</v>
          </cell>
          <cell r="F120">
            <v>45.99</v>
          </cell>
          <cell r="G120">
            <v>76.430000000000007</v>
          </cell>
          <cell r="H120">
            <v>179.4</v>
          </cell>
          <cell r="I120">
            <v>74.75</v>
          </cell>
          <cell r="J120">
            <v>270.14</v>
          </cell>
          <cell r="K120">
            <v>3206.15</v>
          </cell>
        </row>
        <row r="121">
          <cell r="B121" t="str">
            <v>OFICIAL BOLLAND</v>
          </cell>
          <cell r="C121">
            <v>42736</v>
          </cell>
          <cell r="D121" t="str">
            <v>Zona 4</v>
          </cell>
          <cell r="E121">
            <v>54</v>
          </cell>
          <cell r="F121">
            <v>54</v>
          </cell>
          <cell r="G121">
            <v>76.430000000000007</v>
          </cell>
          <cell r="H121">
            <v>179.4</v>
          </cell>
          <cell r="I121">
            <v>74.75</v>
          </cell>
          <cell r="J121">
            <v>270.14</v>
          </cell>
          <cell r="K121">
            <v>3206.15</v>
          </cell>
        </row>
        <row r="122">
          <cell r="B122" t="str">
            <v>OFICIAL ESPECIALIZADO</v>
          </cell>
          <cell r="C122">
            <v>42736</v>
          </cell>
          <cell r="D122" t="str">
            <v>Zona 4</v>
          </cell>
          <cell r="E122">
            <v>54</v>
          </cell>
          <cell r="F122">
            <v>54</v>
          </cell>
          <cell r="G122">
            <v>76.430000000000007</v>
          </cell>
          <cell r="H122">
            <v>179.4</v>
          </cell>
          <cell r="I122">
            <v>74.75</v>
          </cell>
          <cell r="J122">
            <v>270.14</v>
          </cell>
          <cell r="K122">
            <v>3206.15</v>
          </cell>
        </row>
        <row r="123">
          <cell r="B123" t="str">
            <v>AYUDANTE</v>
          </cell>
          <cell r="C123">
            <v>42917</v>
          </cell>
          <cell r="D123" t="str">
            <v>Zona 1</v>
          </cell>
          <cell r="E123">
            <v>42.91</v>
          </cell>
          <cell r="F123">
            <v>0</v>
          </cell>
          <cell r="G123">
            <v>74.930000000000007</v>
          </cell>
          <cell r="H123">
            <v>197.34</v>
          </cell>
          <cell r="I123">
            <v>0</v>
          </cell>
          <cell r="J123">
            <v>249.24</v>
          </cell>
          <cell r="K123">
            <v>3526.77</v>
          </cell>
        </row>
        <row r="124">
          <cell r="B124" t="str">
            <v>MEDIO OFICIAL</v>
          </cell>
          <cell r="C124">
            <v>42917</v>
          </cell>
          <cell r="D124" t="str">
            <v>Zona 1</v>
          </cell>
          <cell r="E124">
            <v>46.63</v>
          </cell>
          <cell r="F124">
            <v>0</v>
          </cell>
          <cell r="G124">
            <v>74.930000000000007</v>
          </cell>
          <cell r="H124">
            <v>197.34</v>
          </cell>
          <cell r="I124">
            <v>0</v>
          </cell>
          <cell r="J124">
            <v>249.24</v>
          </cell>
          <cell r="K124">
            <v>3526.77</v>
          </cell>
        </row>
        <row r="125">
          <cell r="B125" t="str">
            <v>OFICIAL</v>
          </cell>
          <cell r="C125">
            <v>42917</v>
          </cell>
          <cell r="D125" t="str">
            <v>Zona 1</v>
          </cell>
          <cell r="E125">
            <v>50.59</v>
          </cell>
          <cell r="F125">
            <v>0</v>
          </cell>
          <cell r="G125">
            <v>74.930000000000007</v>
          </cell>
          <cell r="H125">
            <v>197.34</v>
          </cell>
          <cell r="I125">
            <v>0</v>
          </cell>
          <cell r="J125">
            <v>249.24</v>
          </cell>
          <cell r="K125">
            <v>3526.77</v>
          </cell>
        </row>
        <row r="126">
          <cell r="B126" t="str">
            <v>OFICIAL BOLLAND</v>
          </cell>
          <cell r="C126">
            <v>42917</v>
          </cell>
          <cell r="D126" t="str">
            <v>Zona 1</v>
          </cell>
          <cell r="E126">
            <v>59.4</v>
          </cell>
          <cell r="F126">
            <v>0</v>
          </cell>
          <cell r="G126">
            <v>74.930000000000007</v>
          </cell>
          <cell r="H126">
            <v>197.34</v>
          </cell>
          <cell r="I126">
            <v>0</v>
          </cell>
          <cell r="J126">
            <v>249.24</v>
          </cell>
          <cell r="K126">
            <v>3526.77</v>
          </cell>
        </row>
        <row r="127">
          <cell r="B127" t="str">
            <v>OFICIAL ESPECIALIZADO</v>
          </cell>
          <cell r="C127">
            <v>42917</v>
          </cell>
          <cell r="D127" t="str">
            <v>Zona 1</v>
          </cell>
          <cell r="E127">
            <v>59.4</v>
          </cell>
          <cell r="F127">
            <v>0</v>
          </cell>
          <cell r="G127">
            <v>74.930000000000007</v>
          </cell>
          <cell r="H127">
            <v>197.34</v>
          </cell>
          <cell r="I127">
            <v>0</v>
          </cell>
          <cell r="J127">
            <v>249.24</v>
          </cell>
          <cell r="K127">
            <v>3526.77</v>
          </cell>
        </row>
        <row r="128">
          <cell r="B128" t="str">
            <v>AYUDANTE</v>
          </cell>
          <cell r="C128">
            <v>42917</v>
          </cell>
          <cell r="D128" t="str">
            <v>Zona 2</v>
          </cell>
          <cell r="E128">
            <v>42.91</v>
          </cell>
          <cell r="F128">
            <v>7.29</v>
          </cell>
          <cell r="G128">
            <v>84.07</v>
          </cell>
          <cell r="H128">
            <v>197.34</v>
          </cell>
          <cell r="I128">
            <v>82.23</v>
          </cell>
          <cell r="J128">
            <v>249.24</v>
          </cell>
          <cell r="K128">
            <v>3526.77</v>
          </cell>
        </row>
        <row r="129">
          <cell r="B129" t="str">
            <v>MEDIO OFICIAL</v>
          </cell>
          <cell r="C129">
            <v>42917</v>
          </cell>
          <cell r="D129" t="str">
            <v>Zona 2</v>
          </cell>
          <cell r="E129">
            <v>46.63</v>
          </cell>
          <cell r="F129">
            <v>7.94</v>
          </cell>
          <cell r="G129">
            <v>84.07</v>
          </cell>
          <cell r="H129">
            <v>197.34</v>
          </cell>
          <cell r="I129">
            <v>82.23</v>
          </cell>
          <cell r="J129">
            <v>249.24</v>
          </cell>
          <cell r="K129">
            <v>3526.77</v>
          </cell>
        </row>
        <row r="130">
          <cell r="B130" t="str">
            <v>OFICIAL</v>
          </cell>
          <cell r="C130">
            <v>42917</v>
          </cell>
          <cell r="D130" t="str">
            <v>Zona 2</v>
          </cell>
          <cell r="E130">
            <v>50.59</v>
          </cell>
          <cell r="F130">
            <v>8.61</v>
          </cell>
          <cell r="G130">
            <v>84.07</v>
          </cell>
          <cell r="H130">
            <v>197.34</v>
          </cell>
          <cell r="I130">
            <v>82.23</v>
          </cell>
          <cell r="J130">
            <v>249.24</v>
          </cell>
          <cell r="K130">
            <v>3526.77</v>
          </cell>
        </row>
        <row r="131">
          <cell r="B131" t="str">
            <v>OFICIAL BOLLAND</v>
          </cell>
          <cell r="C131">
            <v>42917</v>
          </cell>
          <cell r="D131" t="str">
            <v>Zona 2</v>
          </cell>
          <cell r="E131">
            <v>59.4</v>
          </cell>
          <cell r="F131">
            <v>10.11</v>
          </cell>
          <cell r="G131">
            <v>84.07</v>
          </cell>
          <cell r="H131">
            <v>197.34</v>
          </cell>
          <cell r="I131">
            <v>82.23</v>
          </cell>
          <cell r="J131">
            <v>249.24</v>
          </cell>
          <cell r="K131">
            <v>3526.77</v>
          </cell>
        </row>
        <row r="132">
          <cell r="B132" t="str">
            <v>OFICIAL ESPECIALIZADO</v>
          </cell>
          <cell r="C132">
            <v>42917</v>
          </cell>
          <cell r="D132" t="str">
            <v>Zona 2</v>
          </cell>
          <cell r="E132">
            <v>59.4</v>
          </cell>
          <cell r="F132">
            <v>10.11</v>
          </cell>
          <cell r="G132">
            <v>84.07</v>
          </cell>
          <cell r="H132">
            <v>197.34</v>
          </cell>
          <cell r="I132">
            <v>82.23</v>
          </cell>
          <cell r="J132">
            <v>249.24</v>
          </cell>
          <cell r="K132">
            <v>3526.77</v>
          </cell>
        </row>
        <row r="133">
          <cell r="B133" t="str">
            <v>AYUDANTE</v>
          </cell>
          <cell r="C133">
            <v>42917</v>
          </cell>
          <cell r="D133" t="str">
            <v>Zona 3</v>
          </cell>
          <cell r="E133">
            <v>42.91</v>
          </cell>
          <cell r="F133">
            <v>35.18</v>
          </cell>
          <cell r="G133">
            <v>84.07</v>
          </cell>
          <cell r="H133">
            <v>197.34</v>
          </cell>
          <cell r="I133">
            <v>82.23</v>
          </cell>
          <cell r="J133">
            <v>352.69</v>
          </cell>
          <cell r="K133">
            <v>3526.77</v>
          </cell>
        </row>
        <row r="134">
          <cell r="B134" t="str">
            <v>MEDIO OFICIAL</v>
          </cell>
          <cell r="C134">
            <v>42917</v>
          </cell>
          <cell r="D134" t="str">
            <v>Zona 3</v>
          </cell>
          <cell r="E134">
            <v>46.63</v>
          </cell>
          <cell r="F134">
            <v>38.24</v>
          </cell>
          <cell r="G134">
            <v>84.07</v>
          </cell>
          <cell r="H134">
            <v>197.34</v>
          </cell>
          <cell r="I134">
            <v>82.23</v>
          </cell>
          <cell r="J134">
            <v>352.69</v>
          </cell>
          <cell r="K134">
            <v>3526.77</v>
          </cell>
        </row>
        <row r="135">
          <cell r="B135" t="str">
            <v>OFICIAL</v>
          </cell>
          <cell r="C135">
            <v>42917</v>
          </cell>
          <cell r="D135" t="str">
            <v>Zona 3</v>
          </cell>
          <cell r="E135">
            <v>50.59</v>
          </cell>
          <cell r="F135">
            <v>41.48</v>
          </cell>
          <cell r="G135">
            <v>84.07</v>
          </cell>
          <cell r="H135">
            <v>197.34</v>
          </cell>
          <cell r="I135">
            <v>82.23</v>
          </cell>
          <cell r="J135">
            <v>352.69</v>
          </cell>
          <cell r="K135">
            <v>3526.77</v>
          </cell>
        </row>
        <row r="136">
          <cell r="B136" t="str">
            <v>OFICIAL BOLLAND</v>
          </cell>
          <cell r="C136">
            <v>42917</v>
          </cell>
          <cell r="D136" t="str">
            <v>Zona 3</v>
          </cell>
          <cell r="E136">
            <v>59.4</v>
          </cell>
          <cell r="F136">
            <v>48.71</v>
          </cell>
          <cell r="G136">
            <v>84.07</v>
          </cell>
          <cell r="H136">
            <v>197.34</v>
          </cell>
          <cell r="I136">
            <v>82.23</v>
          </cell>
          <cell r="J136">
            <v>352.69</v>
          </cell>
          <cell r="K136">
            <v>3526.77</v>
          </cell>
        </row>
        <row r="137">
          <cell r="B137" t="str">
            <v>OFICIAL ESPECIALIZADO</v>
          </cell>
          <cell r="C137">
            <v>42917</v>
          </cell>
          <cell r="D137" t="str">
            <v>Zona 3</v>
          </cell>
          <cell r="E137">
            <v>59.4</v>
          </cell>
          <cell r="F137">
            <v>48.71</v>
          </cell>
          <cell r="G137">
            <v>84.07</v>
          </cell>
          <cell r="H137">
            <v>197.34</v>
          </cell>
          <cell r="I137">
            <v>82.23</v>
          </cell>
          <cell r="J137">
            <v>352.69</v>
          </cell>
          <cell r="K137">
            <v>3526.77</v>
          </cell>
        </row>
        <row r="138">
          <cell r="B138" t="str">
            <v>AYUDANTE</v>
          </cell>
          <cell r="C138">
            <v>42917</v>
          </cell>
          <cell r="D138" t="str">
            <v>Zona 4</v>
          </cell>
          <cell r="E138">
            <v>42.91</v>
          </cell>
          <cell r="F138">
            <v>42.91</v>
          </cell>
          <cell r="G138">
            <v>84.07</v>
          </cell>
          <cell r="H138">
            <v>197.34</v>
          </cell>
          <cell r="I138">
            <v>82.23</v>
          </cell>
          <cell r="J138">
            <v>297.14999999999998</v>
          </cell>
          <cell r="K138">
            <v>3526.77</v>
          </cell>
        </row>
        <row r="139">
          <cell r="B139" t="str">
            <v>MEDIO OFICIAL</v>
          </cell>
          <cell r="C139">
            <v>42917</v>
          </cell>
          <cell r="D139" t="str">
            <v>Zona 4</v>
          </cell>
          <cell r="E139">
            <v>46.63</v>
          </cell>
          <cell r="F139">
            <v>46.63</v>
          </cell>
          <cell r="G139">
            <v>84.07</v>
          </cell>
          <cell r="H139">
            <v>197.34</v>
          </cell>
          <cell r="I139">
            <v>82.23</v>
          </cell>
          <cell r="J139">
            <v>297.14999999999998</v>
          </cell>
          <cell r="K139">
            <v>3526.77</v>
          </cell>
        </row>
        <row r="140">
          <cell r="B140" t="str">
            <v>OFICIAL</v>
          </cell>
          <cell r="C140">
            <v>42917</v>
          </cell>
          <cell r="D140" t="str">
            <v>Zona 4</v>
          </cell>
          <cell r="E140">
            <v>50.59</v>
          </cell>
          <cell r="F140">
            <v>50.59</v>
          </cell>
          <cell r="G140">
            <v>84.07</v>
          </cell>
          <cell r="H140">
            <v>197.34</v>
          </cell>
          <cell r="I140">
            <v>82.23</v>
          </cell>
          <cell r="J140">
            <v>297.14999999999998</v>
          </cell>
          <cell r="K140">
            <v>3526.77</v>
          </cell>
        </row>
        <row r="141">
          <cell r="B141" t="str">
            <v>OFICIAL BOLLAND</v>
          </cell>
          <cell r="C141">
            <v>42917</v>
          </cell>
          <cell r="D141" t="str">
            <v>Zona 4</v>
          </cell>
          <cell r="E141">
            <v>59.4</v>
          </cell>
          <cell r="F141">
            <v>59.4</v>
          </cell>
          <cell r="G141">
            <v>84.07</v>
          </cell>
          <cell r="H141">
            <v>197.34</v>
          </cell>
          <cell r="I141">
            <v>82.23</v>
          </cell>
          <cell r="J141">
            <v>297.14999999999998</v>
          </cell>
          <cell r="K141">
            <v>3526.77</v>
          </cell>
        </row>
        <row r="142">
          <cell r="B142" t="str">
            <v>OFICIAL ESPECIALIZADO</v>
          </cell>
          <cell r="C142">
            <v>42917</v>
          </cell>
          <cell r="D142" t="str">
            <v>Zona 4</v>
          </cell>
          <cell r="E142">
            <v>59.4</v>
          </cell>
          <cell r="F142">
            <v>59.4</v>
          </cell>
          <cell r="G142">
            <v>84.07</v>
          </cell>
          <cell r="H142">
            <v>197.34</v>
          </cell>
          <cell r="I142">
            <v>82.23</v>
          </cell>
          <cell r="J142">
            <v>297.14999999999998</v>
          </cell>
          <cell r="K142">
            <v>3526.77</v>
          </cell>
        </row>
        <row r="143">
          <cell r="B143" t="str">
            <v>AYUDANTE</v>
          </cell>
          <cell r="C143">
            <v>43009</v>
          </cell>
          <cell r="D143" t="str">
            <v>Zona 1</v>
          </cell>
          <cell r="E143">
            <v>46.81</v>
          </cell>
          <cell r="F143">
            <v>0</v>
          </cell>
          <cell r="G143">
            <v>81.739999999999995</v>
          </cell>
          <cell r="H143">
            <v>215.28</v>
          </cell>
          <cell r="I143">
            <v>0</v>
          </cell>
          <cell r="J143">
            <v>271.89999999999998</v>
          </cell>
          <cell r="K143">
            <v>3847.38</v>
          </cell>
        </row>
        <row r="144">
          <cell r="B144" t="str">
            <v>MEDIO OFICIAL</v>
          </cell>
          <cell r="C144">
            <v>43009</v>
          </cell>
          <cell r="D144" t="str">
            <v>Zona 1</v>
          </cell>
          <cell r="E144">
            <v>50.87</v>
          </cell>
          <cell r="F144">
            <v>0</v>
          </cell>
          <cell r="G144">
            <v>81.739999999999995</v>
          </cell>
          <cell r="H144">
            <v>215.28</v>
          </cell>
          <cell r="I144">
            <v>0</v>
          </cell>
          <cell r="J144">
            <v>271.89999999999998</v>
          </cell>
          <cell r="K144">
            <v>3847.38</v>
          </cell>
        </row>
        <row r="145">
          <cell r="B145" t="str">
            <v>OFICIAL</v>
          </cell>
          <cell r="C145">
            <v>43009</v>
          </cell>
          <cell r="D145" t="str">
            <v>Zona 1</v>
          </cell>
          <cell r="E145">
            <v>55.19</v>
          </cell>
          <cell r="F145">
            <v>0</v>
          </cell>
          <cell r="G145">
            <v>81.739999999999995</v>
          </cell>
          <cell r="H145">
            <v>215.28</v>
          </cell>
          <cell r="I145">
            <v>0</v>
          </cell>
          <cell r="J145">
            <v>271.89999999999998</v>
          </cell>
          <cell r="K145">
            <v>3847.38</v>
          </cell>
        </row>
        <row r="146">
          <cell r="B146" t="str">
            <v>OFICIAL BOLLAND</v>
          </cell>
          <cell r="C146">
            <v>43009</v>
          </cell>
          <cell r="D146" t="str">
            <v>Zona 1</v>
          </cell>
          <cell r="E146">
            <v>64.8</v>
          </cell>
          <cell r="F146">
            <v>0</v>
          </cell>
          <cell r="G146">
            <v>81.739999999999995</v>
          </cell>
          <cell r="H146">
            <v>215.28</v>
          </cell>
          <cell r="I146">
            <v>0</v>
          </cell>
          <cell r="J146">
            <v>271.89999999999998</v>
          </cell>
          <cell r="K146">
            <v>3847.38</v>
          </cell>
        </row>
        <row r="147">
          <cell r="B147" t="str">
            <v>OFICIAL ESPECIALIZADO</v>
          </cell>
          <cell r="C147">
            <v>43009</v>
          </cell>
          <cell r="D147" t="str">
            <v>Zona 1</v>
          </cell>
          <cell r="E147">
            <v>64.8</v>
          </cell>
          <cell r="F147">
            <v>0</v>
          </cell>
          <cell r="G147">
            <v>81.739999999999995</v>
          </cell>
          <cell r="H147">
            <v>215.28</v>
          </cell>
          <cell r="I147">
            <v>0</v>
          </cell>
          <cell r="J147">
            <v>271.89999999999998</v>
          </cell>
          <cell r="K147">
            <v>3847.38</v>
          </cell>
        </row>
        <row r="148">
          <cell r="B148" t="str">
            <v>SERENO</v>
          </cell>
          <cell r="C148">
            <v>43009</v>
          </cell>
          <cell r="D148" t="str">
            <v>Zona 1</v>
          </cell>
          <cell r="E148">
            <v>8521.5499999999993</v>
          </cell>
          <cell r="G148">
            <v>81.739999999999995</v>
          </cell>
          <cell r="H148">
            <v>215.28</v>
          </cell>
          <cell r="I148">
            <v>0</v>
          </cell>
          <cell r="J148">
            <v>271.89999999999998</v>
          </cell>
          <cell r="K148">
            <v>3847.38</v>
          </cell>
        </row>
        <row r="149">
          <cell r="B149" t="str">
            <v>AYUDANTE</v>
          </cell>
          <cell r="C149">
            <v>43009</v>
          </cell>
          <cell r="D149" t="str">
            <v>Zona 2</v>
          </cell>
          <cell r="E149">
            <v>46.81</v>
          </cell>
          <cell r="F149">
            <v>7.96</v>
          </cell>
          <cell r="G149">
            <v>91.72</v>
          </cell>
          <cell r="H149">
            <v>215.28</v>
          </cell>
          <cell r="I149">
            <v>89.7</v>
          </cell>
          <cell r="J149">
            <v>271.89999999999998</v>
          </cell>
          <cell r="K149">
            <v>3847.38</v>
          </cell>
        </row>
        <row r="150">
          <cell r="B150" t="str">
            <v>MEDIO OFICIAL</v>
          </cell>
          <cell r="C150">
            <v>43009</v>
          </cell>
          <cell r="D150" t="str">
            <v>Zona 2</v>
          </cell>
          <cell r="E150">
            <v>50.87</v>
          </cell>
          <cell r="F150">
            <v>8.66</v>
          </cell>
          <cell r="G150">
            <v>91.72</v>
          </cell>
          <cell r="H150">
            <v>215.28</v>
          </cell>
          <cell r="I150">
            <v>89.7</v>
          </cell>
          <cell r="J150">
            <v>271.89999999999998</v>
          </cell>
          <cell r="K150">
            <v>3847.38</v>
          </cell>
        </row>
        <row r="151">
          <cell r="B151" t="str">
            <v>OFICIAL</v>
          </cell>
          <cell r="C151">
            <v>43009</v>
          </cell>
          <cell r="D151" t="str">
            <v>Zona 2</v>
          </cell>
          <cell r="E151">
            <v>55.19</v>
          </cell>
          <cell r="F151">
            <v>9.4</v>
          </cell>
          <cell r="G151">
            <v>91.72</v>
          </cell>
          <cell r="H151">
            <v>215.28</v>
          </cell>
          <cell r="I151">
            <v>89.7</v>
          </cell>
          <cell r="J151">
            <v>271.89999999999998</v>
          </cell>
          <cell r="K151">
            <v>3847.38</v>
          </cell>
        </row>
        <row r="152">
          <cell r="B152" t="str">
            <v>OFICIAL BOLLAND</v>
          </cell>
          <cell r="C152">
            <v>43009</v>
          </cell>
          <cell r="D152" t="str">
            <v>Zona 2</v>
          </cell>
          <cell r="E152">
            <v>64.8</v>
          </cell>
          <cell r="F152">
            <v>11.03</v>
          </cell>
          <cell r="G152">
            <v>91.72</v>
          </cell>
          <cell r="H152">
            <v>215.28</v>
          </cell>
          <cell r="I152">
            <v>89.7</v>
          </cell>
          <cell r="J152">
            <v>271.89999999999998</v>
          </cell>
          <cell r="K152">
            <v>3847.38</v>
          </cell>
        </row>
        <row r="153">
          <cell r="B153" t="str">
            <v>OFICIAL ESPECIALIZADO</v>
          </cell>
          <cell r="C153">
            <v>43009</v>
          </cell>
          <cell r="D153" t="str">
            <v>Zona 2</v>
          </cell>
          <cell r="E153">
            <v>64.8</v>
          </cell>
          <cell r="F153">
            <v>11.03</v>
          </cell>
          <cell r="G153">
            <v>91.72</v>
          </cell>
          <cell r="H153">
            <v>215.28</v>
          </cell>
          <cell r="I153">
            <v>89.7</v>
          </cell>
          <cell r="J153">
            <v>271.89999999999998</v>
          </cell>
          <cell r="K153">
            <v>3847.38</v>
          </cell>
        </row>
        <row r="154">
          <cell r="B154" t="str">
            <v>SERENO</v>
          </cell>
          <cell r="C154">
            <v>43009</v>
          </cell>
          <cell r="D154" t="str">
            <v>Zona 2</v>
          </cell>
          <cell r="E154">
            <v>8521.5499999999993</v>
          </cell>
          <cell r="F154">
            <v>1448.7</v>
          </cell>
          <cell r="G154">
            <v>91.72</v>
          </cell>
          <cell r="H154">
            <v>215.28</v>
          </cell>
          <cell r="I154">
            <v>89.7</v>
          </cell>
          <cell r="J154">
            <v>271.89999999999998</v>
          </cell>
          <cell r="K154">
            <v>3847.38</v>
          </cell>
        </row>
        <row r="155">
          <cell r="B155" t="str">
            <v>AYUDANTE</v>
          </cell>
          <cell r="C155">
            <v>43009</v>
          </cell>
          <cell r="D155" t="str">
            <v>Zona 3</v>
          </cell>
          <cell r="E155">
            <v>46.81</v>
          </cell>
          <cell r="F155">
            <v>38.380000000000003</v>
          </cell>
          <cell r="G155">
            <v>91.72</v>
          </cell>
          <cell r="H155">
            <v>215.28</v>
          </cell>
          <cell r="I155">
            <v>89.7</v>
          </cell>
          <cell r="J155">
            <v>384.76</v>
          </cell>
          <cell r="K155">
            <v>3847.38</v>
          </cell>
        </row>
        <row r="156">
          <cell r="B156" t="str">
            <v>MEDIO OFICIAL</v>
          </cell>
          <cell r="C156">
            <v>43009</v>
          </cell>
          <cell r="D156" t="str">
            <v>Zona 3</v>
          </cell>
          <cell r="E156">
            <v>50.87</v>
          </cell>
          <cell r="F156">
            <v>41.71</v>
          </cell>
          <cell r="G156">
            <v>91.72</v>
          </cell>
          <cell r="H156">
            <v>215.28</v>
          </cell>
          <cell r="I156">
            <v>89.7</v>
          </cell>
          <cell r="J156">
            <v>384.76</v>
          </cell>
          <cell r="K156">
            <v>3847.38</v>
          </cell>
        </row>
        <row r="157">
          <cell r="B157" t="str">
            <v>OFICIAL</v>
          </cell>
          <cell r="C157">
            <v>43009</v>
          </cell>
          <cell r="D157" t="str">
            <v>Zona 3</v>
          </cell>
          <cell r="E157">
            <v>55.19</v>
          </cell>
          <cell r="F157">
            <v>45.25</v>
          </cell>
          <cell r="G157">
            <v>91.72</v>
          </cell>
          <cell r="H157">
            <v>215.28</v>
          </cell>
          <cell r="I157">
            <v>89.7</v>
          </cell>
          <cell r="J157">
            <v>384.76</v>
          </cell>
          <cell r="K157">
            <v>3847.38</v>
          </cell>
        </row>
        <row r="158">
          <cell r="B158" t="str">
            <v>OFICIAL BOLLAND</v>
          </cell>
          <cell r="C158">
            <v>43009</v>
          </cell>
          <cell r="D158" t="str">
            <v>Zona 3</v>
          </cell>
          <cell r="E158">
            <v>64.8</v>
          </cell>
          <cell r="F158">
            <v>53.14</v>
          </cell>
          <cell r="G158">
            <v>91.72</v>
          </cell>
          <cell r="H158">
            <v>215.28</v>
          </cell>
          <cell r="I158">
            <v>89.7</v>
          </cell>
          <cell r="J158">
            <v>384.76</v>
          </cell>
          <cell r="K158">
            <v>3847.38</v>
          </cell>
        </row>
        <row r="159">
          <cell r="B159" t="str">
            <v>OFICIAL ESPECIALIZADO</v>
          </cell>
          <cell r="C159">
            <v>43009</v>
          </cell>
          <cell r="D159" t="str">
            <v>Zona 3</v>
          </cell>
          <cell r="E159">
            <v>64.8</v>
          </cell>
          <cell r="F159">
            <v>53.14</v>
          </cell>
          <cell r="G159">
            <v>91.72</v>
          </cell>
          <cell r="H159">
            <v>215.28</v>
          </cell>
          <cell r="I159">
            <v>89.7</v>
          </cell>
          <cell r="J159">
            <v>384.76</v>
          </cell>
          <cell r="K159">
            <v>3847.38</v>
          </cell>
        </row>
        <row r="160">
          <cell r="B160" t="str">
            <v>SERENO</v>
          </cell>
          <cell r="C160">
            <v>43009</v>
          </cell>
          <cell r="D160" t="str">
            <v>Zona 3</v>
          </cell>
          <cell r="E160">
            <v>8521.5499999999993</v>
          </cell>
          <cell r="F160">
            <v>6987.7</v>
          </cell>
          <cell r="G160">
            <v>91.72</v>
          </cell>
          <cell r="H160">
            <v>215.28</v>
          </cell>
          <cell r="I160">
            <v>89.7</v>
          </cell>
          <cell r="J160">
            <v>384.76</v>
          </cell>
          <cell r="K160">
            <v>3847.38</v>
          </cell>
        </row>
        <row r="161">
          <cell r="B161" t="str">
            <v>AYUDANTE</v>
          </cell>
          <cell r="C161">
            <v>43009</v>
          </cell>
          <cell r="D161" t="str">
            <v>Zona 4</v>
          </cell>
          <cell r="E161">
            <v>46.81</v>
          </cell>
          <cell r="F161">
            <v>46.81</v>
          </cell>
          <cell r="G161">
            <v>91.72</v>
          </cell>
          <cell r="H161">
            <v>215.28</v>
          </cell>
          <cell r="I161">
            <v>89.7</v>
          </cell>
          <cell r="J161">
            <v>324.17</v>
          </cell>
          <cell r="K161">
            <v>3847.38</v>
          </cell>
        </row>
        <row r="162">
          <cell r="B162" t="str">
            <v>MEDIO OFICIAL</v>
          </cell>
          <cell r="C162">
            <v>43009</v>
          </cell>
          <cell r="D162" t="str">
            <v>Zona 4</v>
          </cell>
          <cell r="E162">
            <v>50.87</v>
          </cell>
          <cell r="F162">
            <v>50.87</v>
          </cell>
          <cell r="G162">
            <v>91.72</v>
          </cell>
          <cell r="H162">
            <v>215.28</v>
          </cell>
          <cell r="I162">
            <v>89.7</v>
          </cell>
          <cell r="J162">
            <v>324.17</v>
          </cell>
          <cell r="K162">
            <v>3847.38</v>
          </cell>
        </row>
        <row r="163">
          <cell r="B163" t="str">
            <v>OFICIAL</v>
          </cell>
          <cell r="C163">
            <v>43009</v>
          </cell>
          <cell r="D163" t="str">
            <v>Zona 4</v>
          </cell>
          <cell r="E163">
            <v>55.19</v>
          </cell>
          <cell r="F163">
            <v>55.19</v>
          </cell>
          <cell r="G163">
            <v>91.72</v>
          </cell>
          <cell r="H163">
            <v>215.28</v>
          </cell>
          <cell r="I163">
            <v>89.7</v>
          </cell>
          <cell r="J163">
            <v>324.17</v>
          </cell>
          <cell r="K163">
            <v>3847.38</v>
          </cell>
        </row>
        <row r="164">
          <cell r="B164" t="str">
            <v>OFICIAL BOLLAND</v>
          </cell>
          <cell r="C164">
            <v>43009</v>
          </cell>
          <cell r="D164" t="str">
            <v>Zona 4</v>
          </cell>
          <cell r="E164">
            <v>64.8</v>
          </cell>
          <cell r="F164">
            <v>64.8</v>
          </cell>
          <cell r="G164">
            <v>91.72</v>
          </cell>
          <cell r="H164">
            <v>215.28</v>
          </cell>
          <cell r="I164">
            <v>89.7</v>
          </cell>
          <cell r="J164">
            <v>324.17</v>
          </cell>
          <cell r="K164">
            <v>3847.38</v>
          </cell>
        </row>
        <row r="165">
          <cell r="B165" t="str">
            <v>OFICIAL ESPECIALIZADO</v>
          </cell>
          <cell r="C165">
            <v>43009</v>
          </cell>
          <cell r="D165" t="str">
            <v>Zona 4</v>
          </cell>
          <cell r="E165">
            <v>64.8</v>
          </cell>
          <cell r="F165">
            <v>64.8</v>
          </cell>
          <cell r="G165">
            <v>91.72</v>
          </cell>
          <cell r="H165">
            <v>215.28</v>
          </cell>
          <cell r="I165">
            <v>89.7</v>
          </cell>
          <cell r="J165">
            <v>324.17</v>
          </cell>
          <cell r="K165">
            <v>3847.38</v>
          </cell>
        </row>
        <row r="166">
          <cell r="B166" t="str">
            <v>SERENO</v>
          </cell>
          <cell r="C166">
            <v>43009</v>
          </cell>
          <cell r="D166" t="str">
            <v>Zona 4</v>
          </cell>
          <cell r="E166">
            <v>8521.5499999999993</v>
          </cell>
          <cell r="F166">
            <v>8521.5499999999993</v>
          </cell>
          <cell r="G166">
            <v>91.72</v>
          </cell>
          <cell r="H166">
            <v>215.28</v>
          </cell>
          <cell r="I166">
            <v>89.7</v>
          </cell>
          <cell r="J166">
            <v>324.17</v>
          </cell>
          <cell r="K166">
            <v>3847.38</v>
          </cell>
        </row>
        <row r="167">
          <cell r="B167" t="str">
            <v>AYUDANTE</v>
          </cell>
          <cell r="C167">
            <v>43160</v>
          </cell>
          <cell r="D167" t="str">
            <v>Zona 1</v>
          </cell>
          <cell r="E167">
            <v>48.92</v>
          </cell>
          <cell r="F167">
            <v>0</v>
          </cell>
          <cell r="G167">
            <v>85.42</v>
          </cell>
          <cell r="H167">
            <v>224.97</v>
          </cell>
          <cell r="I167">
            <v>0</v>
          </cell>
          <cell r="J167">
            <v>284.14</v>
          </cell>
          <cell r="K167">
            <v>4020.5</v>
          </cell>
        </row>
        <row r="168">
          <cell r="B168" t="str">
            <v>MEDIO OFICIAL</v>
          </cell>
          <cell r="C168">
            <v>43160</v>
          </cell>
          <cell r="D168" t="str">
            <v>Zona 1</v>
          </cell>
          <cell r="E168">
            <v>53.17</v>
          </cell>
          <cell r="F168">
            <v>0</v>
          </cell>
          <cell r="G168">
            <v>85.42</v>
          </cell>
          <cell r="H168">
            <v>224.97</v>
          </cell>
          <cell r="I168">
            <v>0</v>
          </cell>
          <cell r="J168">
            <v>284.14</v>
          </cell>
          <cell r="K168">
            <v>4020.5</v>
          </cell>
        </row>
        <row r="169">
          <cell r="B169" t="str">
            <v>OFICIAL</v>
          </cell>
          <cell r="C169">
            <v>43160</v>
          </cell>
          <cell r="D169" t="str">
            <v>Zona 1</v>
          </cell>
          <cell r="E169">
            <v>57.66</v>
          </cell>
          <cell r="F169">
            <v>0</v>
          </cell>
          <cell r="G169">
            <v>85.42</v>
          </cell>
          <cell r="H169">
            <v>224.97</v>
          </cell>
          <cell r="I169">
            <v>0</v>
          </cell>
          <cell r="J169">
            <v>284.14</v>
          </cell>
          <cell r="K169">
            <v>4020.5</v>
          </cell>
        </row>
        <row r="170">
          <cell r="B170" t="str">
            <v>OFICIAL BOLLAND</v>
          </cell>
          <cell r="C170">
            <v>43160</v>
          </cell>
          <cell r="D170" t="str">
            <v>Zona 1</v>
          </cell>
          <cell r="E170">
            <v>67.72</v>
          </cell>
          <cell r="F170">
            <v>0</v>
          </cell>
          <cell r="G170">
            <v>85.42</v>
          </cell>
          <cell r="H170">
            <v>224.97</v>
          </cell>
          <cell r="I170">
            <v>0</v>
          </cell>
          <cell r="J170">
            <v>284.14</v>
          </cell>
          <cell r="K170">
            <v>4020.5</v>
          </cell>
        </row>
        <row r="171">
          <cell r="B171" t="str">
            <v>OFICIAL ESPECIALIZADO</v>
          </cell>
          <cell r="C171">
            <v>43160</v>
          </cell>
          <cell r="D171" t="str">
            <v>Zona 1</v>
          </cell>
          <cell r="E171">
            <v>67.72</v>
          </cell>
          <cell r="F171">
            <v>0</v>
          </cell>
          <cell r="G171">
            <v>85.42</v>
          </cell>
          <cell r="H171">
            <v>224.97</v>
          </cell>
          <cell r="I171">
            <v>0</v>
          </cell>
          <cell r="J171">
            <v>284.14</v>
          </cell>
          <cell r="K171">
            <v>4020.5</v>
          </cell>
        </row>
        <row r="172">
          <cell r="B172" t="str">
            <v>SERENO</v>
          </cell>
          <cell r="C172">
            <v>43160</v>
          </cell>
          <cell r="D172" t="str">
            <v>Zona 1</v>
          </cell>
          <cell r="E172">
            <v>8905.02</v>
          </cell>
          <cell r="F172">
            <v>0</v>
          </cell>
          <cell r="G172">
            <v>85.42</v>
          </cell>
          <cell r="H172">
            <v>224.97</v>
          </cell>
          <cell r="I172">
            <v>0</v>
          </cell>
          <cell r="J172">
            <v>284.14</v>
          </cell>
          <cell r="K172">
            <v>4020.5</v>
          </cell>
        </row>
        <row r="173">
          <cell r="B173" t="str">
            <v>AYUDANTE</v>
          </cell>
          <cell r="C173">
            <v>43160</v>
          </cell>
          <cell r="D173" t="str">
            <v>Zona 2</v>
          </cell>
          <cell r="E173">
            <v>48.92</v>
          </cell>
          <cell r="F173">
            <v>8.31</v>
          </cell>
          <cell r="G173">
            <v>95.83</v>
          </cell>
          <cell r="H173">
            <v>224.97</v>
          </cell>
          <cell r="I173">
            <v>93.74</v>
          </cell>
          <cell r="J173">
            <v>284.14</v>
          </cell>
          <cell r="K173">
            <v>4020.5</v>
          </cell>
        </row>
        <row r="174">
          <cell r="B174" t="str">
            <v>MEDIO OFICIAL</v>
          </cell>
          <cell r="C174">
            <v>43160</v>
          </cell>
          <cell r="D174" t="str">
            <v>Zona 2</v>
          </cell>
          <cell r="E174">
            <v>53.17</v>
          </cell>
          <cell r="F174">
            <v>9.0399999999999991</v>
          </cell>
          <cell r="G174">
            <v>95.83</v>
          </cell>
          <cell r="H174">
            <v>224.97</v>
          </cell>
          <cell r="I174">
            <v>93.74</v>
          </cell>
          <cell r="J174">
            <v>284.14</v>
          </cell>
          <cell r="K174">
            <v>4020.5</v>
          </cell>
        </row>
        <row r="175">
          <cell r="B175" t="str">
            <v>OFICIAL</v>
          </cell>
          <cell r="C175">
            <v>43160</v>
          </cell>
          <cell r="D175" t="str">
            <v>Zona 2</v>
          </cell>
          <cell r="E175">
            <v>57.66</v>
          </cell>
          <cell r="F175">
            <v>9.81</v>
          </cell>
          <cell r="G175">
            <v>95.83</v>
          </cell>
          <cell r="H175">
            <v>224.97</v>
          </cell>
          <cell r="I175">
            <v>93.74</v>
          </cell>
          <cell r="J175">
            <v>284.14</v>
          </cell>
          <cell r="K175">
            <v>4020.5</v>
          </cell>
        </row>
        <row r="176">
          <cell r="B176" t="str">
            <v>OFICIAL BOLLAND</v>
          </cell>
          <cell r="C176">
            <v>43160</v>
          </cell>
          <cell r="D176" t="str">
            <v>Zona 2</v>
          </cell>
          <cell r="E176">
            <v>67.72</v>
          </cell>
          <cell r="F176">
            <v>11.51</v>
          </cell>
          <cell r="G176">
            <v>95.83</v>
          </cell>
          <cell r="H176">
            <v>224.97</v>
          </cell>
          <cell r="I176">
            <v>93.74</v>
          </cell>
          <cell r="J176">
            <v>284.14</v>
          </cell>
          <cell r="K176">
            <v>4020.5</v>
          </cell>
        </row>
        <row r="177">
          <cell r="B177" t="str">
            <v>OFICIAL ESPECIALIZADO</v>
          </cell>
          <cell r="C177">
            <v>43160</v>
          </cell>
          <cell r="D177" t="str">
            <v>Zona 2</v>
          </cell>
          <cell r="E177">
            <v>67.72</v>
          </cell>
          <cell r="F177">
            <v>11.51</v>
          </cell>
          <cell r="G177">
            <v>95.83</v>
          </cell>
          <cell r="H177">
            <v>224.97</v>
          </cell>
          <cell r="I177">
            <v>93.74</v>
          </cell>
          <cell r="J177">
            <v>284.14</v>
          </cell>
          <cell r="K177">
            <v>4020.5</v>
          </cell>
        </row>
        <row r="178">
          <cell r="B178" t="str">
            <v>SERENO</v>
          </cell>
          <cell r="C178">
            <v>43160</v>
          </cell>
          <cell r="D178" t="str">
            <v>Zona 2</v>
          </cell>
          <cell r="E178">
            <v>8905.02</v>
          </cell>
          <cell r="F178">
            <v>1513.87</v>
          </cell>
          <cell r="G178">
            <v>95.83</v>
          </cell>
          <cell r="H178">
            <v>224.97</v>
          </cell>
          <cell r="I178">
            <v>93.74</v>
          </cell>
          <cell r="J178">
            <v>284.14</v>
          </cell>
          <cell r="K178">
            <v>4020.5</v>
          </cell>
        </row>
        <row r="179">
          <cell r="B179" t="str">
            <v>AYUDANTE</v>
          </cell>
          <cell r="C179">
            <v>43160</v>
          </cell>
          <cell r="D179" t="str">
            <v>Zona 3</v>
          </cell>
          <cell r="E179">
            <v>48.92</v>
          </cell>
          <cell r="F179">
            <v>40.119999999999997</v>
          </cell>
          <cell r="G179">
            <v>95.83</v>
          </cell>
          <cell r="H179">
            <v>224.97</v>
          </cell>
          <cell r="I179">
            <v>93.74</v>
          </cell>
          <cell r="J179">
            <v>402.07</v>
          </cell>
          <cell r="K179">
            <v>4020.5</v>
          </cell>
        </row>
        <row r="180">
          <cell r="B180" t="str">
            <v>MEDIO OFICIAL</v>
          </cell>
          <cell r="C180">
            <v>43160</v>
          </cell>
          <cell r="D180" t="str">
            <v>Zona 3</v>
          </cell>
          <cell r="E180">
            <v>53.17</v>
          </cell>
          <cell r="F180">
            <v>43.58</v>
          </cell>
          <cell r="G180">
            <v>95.83</v>
          </cell>
          <cell r="H180">
            <v>224.97</v>
          </cell>
          <cell r="I180">
            <v>93.74</v>
          </cell>
          <cell r="J180">
            <v>402.07</v>
          </cell>
          <cell r="K180">
            <v>4020.5</v>
          </cell>
        </row>
        <row r="181">
          <cell r="B181" t="str">
            <v>OFICIAL</v>
          </cell>
          <cell r="C181">
            <v>43160</v>
          </cell>
          <cell r="D181" t="str">
            <v>Zona 3</v>
          </cell>
          <cell r="E181">
            <v>57.66</v>
          </cell>
          <cell r="F181">
            <v>47.29</v>
          </cell>
          <cell r="G181">
            <v>95.83</v>
          </cell>
          <cell r="H181">
            <v>224.97</v>
          </cell>
          <cell r="I181">
            <v>93.74</v>
          </cell>
          <cell r="J181">
            <v>402.07</v>
          </cell>
          <cell r="K181">
            <v>4020.5</v>
          </cell>
        </row>
        <row r="182">
          <cell r="B182" t="str">
            <v>OFICIAL BOLLAND</v>
          </cell>
          <cell r="C182">
            <v>43160</v>
          </cell>
          <cell r="D182" t="str">
            <v>Zona 3</v>
          </cell>
          <cell r="E182">
            <v>67.72</v>
          </cell>
          <cell r="F182">
            <v>55.53</v>
          </cell>
          <cell r="G182">
            <v>95.83</v>
          </cell>
          <cell r="H182">
            <v>224.97</v>
          </cell>
          <cell r="I182">
            <v>93.74</v>
          </cell>
          <cell r="J182">
            <v>402.07</v>
          </cell>
          <cell r="K182">
            <v>4020.5</v>
          </cell>
        </row>
        <row r="183">
          <cell r="B183" t="str">
            <v>OFICIAL ESPECIALIZADO</v>
          </cell>
          <cell r="C183">
            <v>43160</v>
          </cell>
          <cell r="D183" t="str">
            <v>Zona 3</v>
          </cell>
          <cell r="E183">
            <v>67.72</v>
          </cell>
          <cell r="F183">
            <v>55.53</v>
          </cell>
          <cell r="G183">
            <v>95.83</v>
          </cell>
          <cell r="H183">
            <v>224.97</v>
          </cell>
          <cell r="I183">
            <v>93.74</v>
          </cell>
          <cell r="J183">
            <v>402.07</v>
          </cell>
          <cell r="K183">
            <v>4020.5</v>
          </cell>
        </row>
        <row r="184">
          <cell r="B184" t="str">
            <v>SERENO</v>
          </cell>
          <cell r="C184">
            <v>43160</v>
          </cell>
          <cell r="D184" t="str">
            <v>Zona 3</v>
          </cell>
          <cell r="E184">
            <v>8905.02</v>
          </cell>
          <cell r="F184">
            <v>7302.13</v>
          </cell>
          <cell r="G184">
            <v>95.83</v>
          </cell>
          <cell r="H184">
            <v>224.97</v>
          </cell>
          <cell r="I184">
            <v>93.74</v>
          </cell>
          <cell r="J184">
            <v>402.07</v>
          </cell>
          <cell r="K184">
            <v>4020.5</v>
          </cell>
        </row>
        <row r="185">
          <cell r="B185" t="str">
            <v>AYUDANTE</v>
          </cell>
          <cell r="C185">
            <v>43160</v>
          </cell>
          <cell r="D185" t="str">
            <v>Zona 4</v>
          </cell>
          <cell r="E185">
            <v>48.92</v>
          </cell>
          <cell r="F185">
            <v>48.92</v>
          </cell>
          <cell r="G185">
            <v>95.83</v>
          </cell>
          <cell r="H185">
            <v>224.97</v>
          </cell>
          <cell r="I185">
            <v>93.74</v>
          </cell>
          <cell r="J185">
            <v>338.77</v>
          </cell>
          <cell r="K185">
            <v>4020.5</v>
          </cell>
        </row>
        <row r="186">
          <cell r="B186" t="str">
            <v>MEDIO OFICIAL</v>
          </cell>
          <cell r="C186">
            <v>43160</v>
          </cell>
          <cell r="D186" t="str">
            <v>Zona 4</v>
          </cell>
          <cell r="E186">
            <v>53.17</v>
          </cell>
          <cell r="F186">
            <v>53.17</v>
          </cell>
          <cell r="G186">
            <v>95.83</v>
          </cell>
          <cell r="H186">
            <v>224.97</v>
          </cell>
          <cell r="I186">
            <v>93.74</v>
          </cell>
          <cell r="J186">
            <v>338.77</v>
          </cell>
          <cell r="K186">
            <v>4020.5</v>
          </cell>
        </row>
        <row r="187">
          <cell r="B187" t="str">
            <v>OFICIAL</v>
          </cell>
          <cell r="C187">
            <v>43160</v>
          </cell>
          <cell r="D187" t="str">
            <v>Zona 4</v>
          </cell>
          <cell r="E187">
            <v>57.66</v>
          </cell>
          <cell r="F187">
            <v>57.66</v>
          </cell>
          <cell r="G187">
            <v>95.83</v>
          </cell>
          <cell r="H187">
            <v>224.97</v>
          </cell>
          <cell r="I187">
            <v>93.74</v>
          </cell>
          <cell r="J187">
            <v>338.77</v>
          </cell>
          <cell r="K187">
            <v>4020.5</v>
          </cell>
        </row>
        <row r="188">
          <cell r="B188" t="str">
            <v>OFICIAL BOLLAND</v>
          </cell>
          <cell r="C188">
            <v>43160</v>
          </cell>
          <cell r="D188" t="str">
            <v>Zona 4</v>
          </cell>
          <cell r="E188">
            <v>67.72</v>
          </cell>
          <cell r="F188">
            <v>67.72</v>
          </cell>
          <cell r="G188">
            <v>95.83</v>
          </cell>
          <cell r="H188">
            <v>224.97</v>
          </cell>
          <cell r="I188">
            <v>93.74</v>
          </cell>
          <cell r="J188">
            <v>338.77</v>
          </cell>
          <cell r="K188">
            <v>4020.5</v>
          </cell>
        </row>
        <row r="189">
          <cell r="B189" t="str">
            <v>OFICIAL ESPECIALIZADO</v>
          </cell>
          <cell r="C189">
            <v>43160</v>
          </cell>
          <cell r="D189" t="str">
            <v>Zona 4</v>
          </cell>
          <cell r="E189">
            <v>67.72</v>
          </cell>
          <cell r="F189">
            <v>67.72</v>
          </cell>
          <cell r="G189">
            <v>95.83</v>
          </cell>
          <cell r="H189">
            <v>224.97</v>
          </cell>
          <cell r="I189">
            <v>93.74</v>
          </cell>
          <cell r="J189">
            <v>338.77</v>
          </cell>
          <cell r="K189">
            <v>4020.5</v>
          </cell>
        </row>
        <row r="190">
          <cell r="B190" t="str">
            <v>SERENO</v>
          </cell>
          <cell r="C190">
            <v>43160</v>
          </cell>
          <cell r="D190" t="str">
            <v>Zona 4</v>
          </cell>
          <cell r="E190">
            <v>8905.02</v>
          </cell>
          <cell r="F190">
            <v>8905.02</v>
          </cell>
          <cell r="G190">
            <v>95.83</v>
          </cell>
          <cell r="H190">
            <v>224.97</v>
          </cell>
          <cell r="I190">
            <v>93.74</v>
          </cell>
          <cell r="J190">
            <v>338.77</v>
          </cell>
          <cell r="K190">
            <v>4020.5</v>
          </cell>
        </row>
        <row r="191">
          <cell r="B191" t="str">
            <v>AYUDANTE</v>
          </cell>
          <cell r="C191">
            <v>43191</v>
          </cell>
          <cell r="D191" t="str">
            <v>Zona 1</v>
          </cell>
          <cell r="E191">
            <v>56.26</v>
          </cell>
          <cell r="F191">
            <v>0</v>
          </cell>
          <cell r="G191">
            <v>98.24</v>
          </cell>
          <cell r="H191">
            <v>258.70999999999998</v>
          </cell>
          <cell r="I191">
            <v>0</v>
          </cell>
          <cell r="J191">
            <v>326.77</v>
          </cell>
          <cell r="K191">
            <v>4623.57</v>
          </cell>
        </row>
        <row r="192">
          <cell r="B192" t="str">
            <v>MEDIO OFICIAL</v>
          </cell>
          <cell r="C192">
            <v>43191</v>
          </cell>
          <cell r="D192" t="str">
            <v>Zona 1</v>
          </cell>
          <cell r="E192">
            <v>61.15</v>
          </cell>
          <cell r="F192">
            <v>0</v>
          </cell>
          <cell r="G192">
            <v>98.24</v>
          </cell>
          <cell r="H192">
            <v>258.70999999999998</v>
          </cell>
          <cell r="I192">
            <v>0</v>
          </cell>
          <cell r="J192">
            <v>326.77</v>
          </cell>
          <cell r="K192">
            <v>4623.57</v>
          </cell>
        </row>
        <row r="193">
          <cell r="B193" t="str">
            <v>OFICIAL</v>
          </cell>
          <cell r="C193">
            <v>43191</v>
          </cell>
          <cell r="D193" t="str">
            <v>Zona 1</v>
          </cell>
          <cell r="E193">
            <v>66.31</v>
          </cell>
          <cell r="F193">
            <v>0</v>
          </cell>
          <cell r="G193">
            <v>98.24</v>
          </cell>
          <cell r="H193">
            <v>258.70999999999998</v>
          </cell>
          <cell r="I193">
            <v>0</v>
          </cell>
          <cell r="J193">
            <v>326.77</v>
          </cell>
          <cell r="K193">
            <v>4623.57</v>
          </cell>
        </row>
        <row r="194">
          <cell r="B194" t="str">
            <v>OFICIAL BOLLAND</v>
          </cell>
          <cell r="C194">
            <v>43191</v>
          </cell>
          <cell r="D194" t="str">
            <v>Zona 1</v>
          </cell>
          <cell r="E194">
            <v>66.31</v>
          </cell>
          <cell r="G194">
            <v>98.24</v>
          </cell>
          <cell r="H194">
            <v>258.70999999999998</v>
          </cell>
          <cell r="I194">
            <v>0</v>
          </cell>
          <cell r="J194">
            <v>326.77</v>
          </cell>
          <cell r="K194">
            <v>4623.57</v>
          </cell>
        </row>
        <row r="195">
          <cell r="B195" t="str">
            <v>OFICIAL ESPECIALIZADO</v>
          </cell>
          <cell r="C195">
            <v>43191</v>
          </cell>
          <cell r="D195" t="str">
            <v>Zona 1</v>
          </cell>
          <cell r="E195">
            <v>77.87</v>
          </cell>
          <cell r="F195">
            <v>0</v>
          </cell>
          <cell r="G195">
            <v>98.24</v>
          </cell>
          <cell r="H195">
            <v>258.70999999999998</v>
          </cell>
          <cell r="I195">
            <v>0</v>
          </cell>
          <cell r="J195">
            <v>326.77</v>
          </cell>
          <cell r="K195">
            <v>4623.57</v>
          </cell>
        </row>
        <row r="196">
          <cell r="B196" t="str">
            <v>SERENO</v>
          </cell>
          <cell r="C196">
            <v>43191</v>
          </cell>
          <cell r="D196" t="str">
            <v>Zona 1</v>
          </cell>
          <cell r="E196">
            <v>10240</v>
          </cell>
          <cell r="F196">
            <v>0</v>
          </cell>
          <cell r="G196">
            <v>98.24</v>
          </cell>
          <cell r="H196">
            <v>258.70999999999998</v>
          </cell>
          <cell r="I196">
            <v>0</v>
          </cell>
          <cell r="J196">
            <v>326.77</v>
          </cell>
          <cell r="K196">
            <v>4623.57</v>
          </cell>
        </row>
        <row r="197">
          <cell r="B197" t="str">
            <v>AYUDANTE</v>
          </cell>
          <cell r="C197">
            <v>43191</v>
          </cell>
          <cell r="D197" t="str">
            <v>Zona 2</v>
          </cell>
          <cell r="E197">
            <v>56.26</v>
          </cell>
          <cell r="F197">
            <v>9.56</v>
          </cell>
          <cell r="G197">
            <v>110.21</v>
          </cell>
          <cell r="H197">
            <v>258.70999999999998</v>
          </cell>
          <cell r="I197">
            <v>107.8</v>
          </cell>
          <cell r="J197">
            <v>326.77</v>
          </cell>
          <cell r="K197">
            <v>4623.57</v>
          </cell>
        </row>
        <row r="198">
          <cell r="B198" t="str">
            <v>MEDIO OFICIAL</v>
          </cell>
          <cell r="C198">
            <v>43191</v>
          </cell>
          <cell r="D198" t="str">
            <v>Zona 2</v>
          </cell>
          <cell r="E198">
            <v>61.15</v>
          </cell>
          <cell r="F198">
            <v>10.4</v>
          </cell>
          <cell r="G198">
            <v>110.21</v>
          </cell>
          <cell r="H198">
            <v>258.70999999999998</v>
          </cell>
          <cell r="I198">
            <v>107.8</v>
          </cell>
          <cell r="J198">
            <v>326.77</v>
          </cell>
          <cell r="K198">
            <v>4623.57</v>
          </cell>
        </row>
        <row r="199">
          <cell r="B199" t="str">
            <v>OFICIAL</v>
          </cell>
          <cell r="C199">
            <v>43191</v>
          </cell>
          <cell r="D199" t="str">
            <v>Zona 2</v>
          </cell>
          <cell r="E199">
            <v>66.31</v>
          </cell>
          <cell r="F199">
            <v>11.28</v>
          </cell>
          <cell r="G199">
            <v>110.21</v>
          </cell>
          <cell r="H199">
            <v>258.70999999999998</v>
          </cell>
          <cell r="I199">
            <v>107.8</v>
          </cell>
          <cell r="J199">
            <v>326.77</v>
          </cell>
          <cell r="K199">
            <v>4623.57</v>
          </cell>
        </row>
        <row r="200">
          <cell r="B200" t="str">
            <v>OFICIAL BOLLAND</v>
          </cell>
          <cell r="C200">
            <v>43191</v>
          </cell>
          <cell r="D200" t="str">
            <v>Zona 2</v>
          </cell>
          <cell r="E200">
            <v>66.31</v>
          </cell>
          <cell r="F200">
            <v>11.28</v>
          </cell>
          <cell r="G200">
            <v>110.21</v>
          </cell>
          <cell r="H200">
            <v>258.70999999999998</v>
          </cell>
          <cell r="I200">
            <v>107.8</v>
          </cell>
          <cell r="J200">
            <v>326.77</v>
          </cell>
          <cell r="K200">
            <v>4623.57</v>
          </cell>
        </row>
        <row r="201">
          <cell r="B201" t="str">
            <v>OFICIAL ESPECIALIZADO</v>
          </cell>
          <cell r="C201">
            <v>43191</v>
          </cell>
          <cell r="D201" t="str">
            <v>Zona 2</v>
          </cell>
          <cell r="E201">
            <v>77.87</v>
          </cell>
          <cell r="F201">
            <v>13.24</v>
          </cell>
          <cell r="G201">
            <v>110.21</v>
          </cell>
          <cell r="H201">
            <v>258.70999999999998</v>
          </cell>
          <cell r="I201">
            <v>107.8</v>
          </cell>
          <cell r="J201">
            <v>326.77</v>
          </cell>
          <cell r="K201">
            <v>4623.57</v>
          </cell>
        </row>
        <row r="202">
          <cell r="B202" t="str">
            <v>SERENO</v>
          </cell>
          <cell r="C202">
            <v>43191</v>
          </cell>
          <cell r="D202" t="str">
            <v>Zona 2</v>
          </cell>
          <cell r="E202">
            <v>10240</v>
          </cell>
          <cell r="F202">
            <v>1740.95</v>
          </cell>
          <cell r="G202">
            <v>110.21</v>
          </cell>
          <cell r="H202">
            <v>258.70999999999998</v>
          </cell>
          <cell r="I202">
            <v>107.8</v>
          </cell>
          <cell r="J202">
            <v>326.77</v>
          </cell>
          <cell r="K202">
            <v>4623.57</v>
          </cell>
        </row>
        <row r="203">
          <cell r="B203" t="str">
            <v>AYUDANTE</v>
          </cell>
          <cell r="C203">
            <v>43191</v>
          </cell>
          <cell r="D203" t="str">
            <v>Zona 3</v>
          </cell>
          <cell r="E203">
            <v>56.26</v>
          </cell>
          <cell r="F203">
            <v>46.13</v>
          </cell>
          <cell r="G203">
            <v>110.21</v>
          </cell>
          <cell r="H203">
            <v>258.70999999999998</v>
          </cell>
          <cell r="I203">
            <v>107.8</v>
          </cell>
          <cell r="J203">
            <v>462.38</v>
          </cell>
          <cell r="K203">
            <v>4623.57</v>
          </cell>
        </row>
        <row r="204">
          <cell r="B204" t="str">
            <v>MEDIO OFICIAL</v>
          </cell>
          <cell r="C204">
            <v>43191</v>
          </cell>
          <cell r="D204" t="str">
            <v>Zona 3</v>
          </cell>
          <cell r="E204">
            <v>61.15</v>
          </cell>
          <cell r="F204">
            <v>50.11</v>
          </cell>
          <cell r="G204">
            <v>110.21</v>
          </cell>
          <cell r="H204">
            <v>258.70999999999998</v>
          </cell>
          <cell r="I204">
            <v>107.8</v>
          </cell>
          <cell r="J204">
            <v>462.38</v>
          </cell>
          <cell r="K204">
            <v>4623.57</v>
          </cell>
        </row>
        <row r="205">
          <cell r="B205" t="str">
            <v>OFICIAL</v>
          </cell>
          <cell r="C205">
            <v>43191</v>
          </cell>
          <cell r="D205" t="str">
            <v>Zona 3</v>
          </cell>
          <cell r="E205">
            <v>66.31</v>
          </cell>
          <cell r="F205">
            <v>54.38</v>
          </cell>
          <cell r="G205">
            <v>110.21</v>
          </cell>
          <cell r="H205">
            <v>258.70999999999998</v>
          </cell>
          <cell r="I205">
            <v>107.8</v>
          </cell>
          <cell r="J205">
            <v>462.38</v>
          </cell>
          <cell r="K205">
            <v>4623.57</v>
          </cell>
        </row>
        <row r="206">
          <cell r="B206" t="str">
            <v>OFICIAL BOLLAND</v>
          </cell>
          <cell r="C206">
            <v>43191</v>
          </cell>
          <cell r="D206" t="str">
            <v>Zona 3</v>
          </cell>
          <cell r="E206">
            <v>66.31</v>
          </cell>
          <cell r="F206">
            <v>54.38</v>
          </cell>
          <cell r="G206">
            <v>110.21</v>
          </cell>
          <cell r="H206">
            <v>258.70999999999998</v>
          </cell>
          <cell r="I206">
            <v>107.8</v>
          </cell>
          <cell r="J206">
            <v>462.38</v>
          </cell>
          <cell r="K206">
            <v>4623.57</v>
          </cell>
        </row>
        <row r="207">
          <cell r="B207" t="str">
            <v>OFICIAL ESPECIALIZADO</v>
          </cell>
          <cell r="C207">
            <v>43191</v>
          </cell>
          <cell r="D207" t="str">
            <v>Zona 3</v>
          </cell>
          <cell r="E207">
            <v>77.87</v>
          </cell>
          <cell r="F207">
            <v>63.86</v>
          </cell>
          <cell r="G207">
            <v>110.21</v>
          </cell>
          <cell r="H207">
            <v>258.70999999999998</v>
          </cell>
          <cell r="I207">
            <v>107.8</v>
          </cell>
          <cell r="J207">
            <v>462.38</v>
          </cell>
          <cell r="K207">
            <v>4623.57</v>
          </cell>
        </row>
        <row r="208">
          <cell r="B208" t="str">
            <v>SERENO</v>
          </cell>
          <cell r="C208">
            <v>43191</v>
          </cell>
          <cell r="D208" t="str">
            <v>Zona 3</v>
          </cell>
          <cell r="E208">
            <v>10240</v>
          </cell>
          <cell r="F208">
            <v>8397.4500000000007</v>
          </cell>
          <cell r="G208">
            <v>110.21</v>
          </cell>
          <cell r="H208">
            <v>258.70999999999998</v>
          </cell>
          <cell r="I208">
            <v>107.8</v>
          </cell>
          <cell r="J208">
            <v>462.38</v>
          </cell>
          <cell r="K208">
            <v>4623.57</v>
          </cell>
        </row>
        <row r="209">
          <cell r="B209" t="str">
            <v>AYUDANTE</v>
          </cell>
          <cell r="C209">
            <v>43191</v>
          </cell>
          <cell r="D209" t="str">
            <v>Zona 4</v>
          </cell>
          <cell r="E209">
            <v>56.26</v>
          </cell>
          <cell r="F209">
            <v>56.26</v>
          </cell>
          <cell r="G209">
            <v>110.21</v>
          </cell>
          <cell r="H209">
            <v>258.70999999999998</v>
          </cell>
          <cell r="I209">
            <v>107.8</v>
          </cell>
          <cell r="J209">
            <v>389.58</v>
          </cell>
          <cell r="K209">
            <v>4623.57</v>
          </cell>
        </row>
        <row r="210">
          <cell r="B210" t="str">
            <v>MEDIO OFICIAL</v>
          </cell>
          <cell r="C210">
            <v>43191</v>
          </cell>
          <cell r="D210" t="str">
            <v>Zona 4</v>
          </cell>
          <cell r="E210">
            <v>61.15</v>
          </cell>
          <cell r="F210">
            <v>61.15</v>
          </cell>
          <cell r="G210">
            <v>110.21</v>
          </cell>
          <cell r="H210">
            <v>258.70999999999998</v>
          </cell>
          <cell r="I210">
            <v>107.8</v>
          </cell>
          <cell r="J210">
            <v>389.58</v>
          </cell>
          <cell r="K210">
            <v>4623.57</v>
          </cell>
        </row>
        <row r="211">
          <cell r="B211" t="str">
            <v>OFICIAL</v>
          </cell>
          <cell r="C211">
            <v>43191</v>
          </cell>
          <cell r="D211" t="str">
            <v>Zona 4</v>
          </cell>
          <cell r="E211">
            <v>66.31</v>
          </cell>
          <cell r="F211">
            <v>66.31</v>
          </cell>
          <cell r="G211">
            <v>110.21</v>
          </cell>
          <cell r="H211">
            <v>258.70999999999998</v>
          </cell>
          <cell r="I211">
            <v>107.8</v>
          </cell>
          <cell r="J211">
            <v>389.58</v>
          </cell>
          <cell r="K211">
            <v>4623.57</v>
          </cell>
        </row>
        <row r="212">
          <cell r="B212" t="str">
            <v>OFICIAL BOLLAND</v>
          </cell>
          <cell r="C212">
            <v>43191</v>
          </cell>
          <cell r="D212" t="str">
            <v>Zona 4</v>
          </cell>
          <cell r="E212">
            <v>66.31</v>
          </cell>
          <cell r="F212">
            <v>66.31</v>
          </cell>
          <cell r="G212">
            <v>110.21</v>
          </cell>
          <cell r="H212">
            <v>258.70999999999998</v>
          </cell>
          <cell r="I212">
            <v>107.8</v>
          </cell>
          <cell r="J212">
            <v>389.58</v>
          </cell>
          <cell r="K212">
            <v>4623.57</v>
          </cell>
        </row>
        <row r="213">
          <cell r="B213" t="str">
            <v>OFICIAL ESPECIALIZADO</v>
          </cell>
          <cell r="C213">
            <v>43191</v>
          </cell>
          <cell r="D213" t="str">
            <v>Zona 4</v>
          </cell>
          <cell r="E213">
            <v>77.87</v>
          </cell>
          <cell r="F213">
            <v>77.87</v>
          </cell>
          <cell r="G213">
            <v>110.21</v>
          </cell>
          <cell r="H213">
            <v>258.70999999999998</v>
          </cell>
          <cell r="I213">
            <v>107.8</v>
          </cell>
          <cell r="J213">
            <v>389.58</v>
          </cell>
          <cell r="K213">
            <v>4623.57</v>
          </cell>
        </row>
        <row r="214">
          <cell r="B214" t="str">
            <v>SERENO</v>
          </cell>
          <cell r="C214">
            <v>43191</v>
          </cell>
          <cell r="D214" t="str">
            <v>Zona 4</v>
          </cell>
          <cell r="E214">
            <v>10240</v>
          </cell>
          <cell r="F214">
            <v>10240.77</v>
          </cell>
          <cell r="G214">
            <v>110.21</v>
          </cell>
          <cell r="H214">
            <v>258.70999999999998</v>
          </cell>
          <cell r="I214">
            <v>107.8</v>
          </cell>
          <cell r="J214">
            <v>389.58</v>
          </cell>
          <cell r="K214">
            <v>4623.57</v>
          </cell>
        </row>
        <row r="215">
          <cell r="B215" t="str">
            <v>AYUDANTE</v>
          </cell>
          <cell r="C215">
            <v>43374</v>
          </cell>
          <cell r="D215" t="str">
            <v>Zona 1</v>
          </cell>
          <cell r="E215">
            <v>58.7</v>
          </cell>
          <cell r="F215">
            <v>0</v>
          </cell>
          <cell r="G215">
            <v>102.5</v>
          </cell>
          <cell r="H215">
            <v>269.95999999999998</v>
          </cell>
          <cell r="I215">
            <v>0</v>
          </cell>
          <cell r="J215">
            <v>340.97</v>
          </cell>
          <cell r="K215">
            <v>4824.6000000000004</v>
          </cell>
        </row>
        <row r="216">
          <cell r="B216" t="str">
            <v>MEDIO OFICIAL</v>
          </cell>
          <cell r="C216">
            <v>43374</v>
          </cell>
          <cell r="D216" t="str">
            <v>Zona 1</v>
          </cell>
          <cell r="E216">
            <v>63.8</v>
          </cell>
          <cell r="F216">
            <v>0</v>
          </cell>
          <cell r="G216">
            <v>102.5</v>
          </cell>
          <cell r="H216">
            <v>269.95999999999998</v>
          </cell>
          <cell r="I216">
            <v>0</v>
          </cell>
          <cell r="J216">
            <v>340.97</v>
          </cell>
          <cell r="K216">
            <v>4824.6000000000004</v>
          </cell>
        </row>
        <row r="217">
          <cell r="B217" t="str">
            <v>OFICIAL</v>
          </cell>
          <cell r="C217">
            <v>43374</v>
          </cell>
          <cell r="D217" t="str">
            <v>Zona 1</v>
          </cell>
          <cell r="E217">
            <v>69.19</v>
          </cell>
          <cell r="F217">
            <v>0</v>
          </cell>
          <cell r="G217">
            <v>102.5</v>
          </cell>
          <cell r="H217">
            <v>269.95999999999998</v>
          </cell>
          <cell r="I217">
            <v>0</v>
          </cell>
          <cell r="J217">
            <v>340.97</v>
          </cell>
          <cell r="K217">
            <v>4824.6000000000004</v>
          </cell>
        </row>
        <row r="218">
          <cell r="B218" t="str">
            <v>OFICIAL BOLLAND</v>
          </cell>
          <cell r="C218">
            <v>43374</v>
          </cell>
          <cell r="D218" t="str">
            <v>Zona 1</v>
          </cell>
          <cell r="E218">
            <v>69.19</v>
          </cell>
          <cell r="F218">
            <v>0</v>
          </cell>
          <cell r="G218">
            <v>102.5</v>
          </cell>
          <cell r="H218">
            <v>269.95999999999998</v>
          </cell>
          <cell r="I218">
            <v>0</v>
          </cell>
          <cell r="J218">
            <v>340.97</v>
          </cell>
          <cell r="K218">
            <v>4824.6000000000004</v>
          </cell>
        </row>
        <row r="219">
          <cell r="B219" t="str">
            <v>OFICIAL ESPECIALIZADO</v>
          </cell>
          <cell r="C219">
            <v>43374</v>
          </cell>
          <cell r="D219" t="str">
            <v>Zona 1</v>
          </cell>
          <cell r="E219">
            <v>81.260000000000005</v>
          </cell>
          <cell r="F219">
            <v>0</v>
          </cell>
          <cell r="G219">
            <v>102.5</v>
          </cell>
          <cell r="H219">
            <v>269.95999999999998</v>
          </cell>
          <cell r="I219">
            <v>0</v>
          </cell>
          <cell r="J219">
            <v>340.97</v>
          </cell>
          <cell r="K219">
            <v>4824.6000000000004</v>
          </cell>
        </row>
        <row r="220">
          <cell r="B220" t="str">
            <v>SERENO</v>
          </cell>
          <cell r="C220">
            <v>43374</v>
          </cell>
          <cell r="D220" t="str">
            <v>Zona 1</v>
          </cell>
          <cell r="E220">
            <v>10686.02</v>
          </cell>
          <cell r="F220">
            <v>0</v>
          </cell>
          <cell r="G220">
            <v>102.5</v>
          </cell>
          <cell r="H220">
            <v>269.95999999999998</v>
          </cell>
          <cell r="I220">
            <v>0</v>
          </cell>
          <cell r="J220">
            <v>340.97</v>
          </cell>
          <cell r="K220">
            <v>4824.6000000000004</v>
          </cell>
        </row>
        <row r="221">
          <cell r="B221" t="str">
            <v>AYUDANTE</v>
          </cell>
          <cell r="C221">
            <v>43374</v>
          </cell>
          <cell r="D221" t="str">
            <v>Zona 2</v>
          </cell>
          <cell r="E221">
            <v>58.7</v>
          </cell>
          <cell r="F221">
            <v>9.9700000000000006</v>
          </cell>
          <cell r="G221">
            <v>115</v>
          </cell>
          <cell r="H221">
            <v>269.95999999999998</v>
          </cell>
          <cell r="I221">
            <v>112.49</v>
          </cell>
          <cell r="J221">
            <v>340.97</v>
          </cell>
          <cell r="K221">
            <v>4824.6000000000004</v>
          </cell>
        </row>
        <row r="222">
          <cell r="B222" t="str">
            <v>MEDIO OFICIAL</v>
          </cell>
          <cell r="C222">
            <v>43374</v>
          </cell>
          <cell r="D222" t="str">
            <v>Zona 2</v>
          </cell>
          <cell r="E222">
            <v>63.8</v>
          </cell>
          <cell r="F222">
            <v>10.85</v>
          </cell>
          <cell r="G222">
            <v>115</v>
          </cell>
          <cell r="H222">
            <v>269.95999999999998</v>
          </cell>
          <cell r="I222">
            <v>112.49</v>
          </cell>
          <cell r="J222">
            <v>340.97</v>
          </cell>
          <cell r="K222">
            <v>4824.6000000000004</v>
          </cell>
        </row>
        <row r="223">
          <cell r="B223" t="str">
            <v>OFICIAL</v>
          </cell>
          <cell r="C223">
            <v>43374</v>
          </cell>
          <cell r="D223" t="str">
            <v>Zona 2</v>
          </cell>
          <cell r="E223">
            <v>69.19</v>
          </cell>
          <cell r="F223">
            <v>11.77</v>
          </cell>
          <cell r="G223">
            <v>115</v>
          </cell>
          <cell r="H223">
            <v>269.95999999999998</v>
          </cell>
          <cell r="I223">
            <v>112.49</v>
          </cell>
          <cell r="J223">
            <v>340.97</v>
          </cell>
          <cell r="K223">
            <v>4824.6000000000004</v>
          </cell>
        </row>
        <row r="224">
          <cell r="B224" t="str">
            <v>OFICIAL BOLLAND</v>
          </cell>
          <cell r="C224">
            <v>43374</v>
          </cell>
          <cell r="D224" t="str">
            <v>Zona 2</v>
          </cell>
          <cell r="E224">
            <v>69.19</v>
          </cell>
          <cell r="F224">
            <v>11.77</v>
          </cell>
          <cell r="G224">
            <v>115</v>
          </cell>
          <cell r="H224">
            <v>269.95999999999998</v>
          </cell>
          <cell r="I224">
            <v>112.49</v>
          </cell>
          <cell r="J224">
            <v>340.97</v>
          </cell>
          <cell r="K224">
            <v>4824.6000000000004</v>
          </cell>
        </row>
        <row r="225">
          <cell r="B225" t="str">
            <v>OFICIAL ESPECIALIZADO</v>
          </cell>
          <cell r="C225">
            <v>43374</v>
          </cell>
          <cell r="D225" t="str">
            <v>Zona 2</v>
          </cell>
          <cell r="E225">
            <v>81.260000000000005</v>
          </cell>
          <cell r="F225">
            <v>13.81</v>
          </cell>
          <cell r="G225">
            <v>115</v>
          </cell>
          <cell r="H225">
            <v>269.95999999999998</v>
          </cell>
          <cell r="I225">
            <v>112.49</v>
          </cell>
          <cell r="J225">
            <v>340.97</v>
          </cell>
          <cell r="K225">
            <v>4824.6000000000004</v>
          </cell>
        </row>
        <row r="226">
          <cell r="B226" t="str">
            <v>SERENO</v>
          </cell>
          <cell r="C226">
            <v>43374</v>
          </cell>
          <cell r="D226" t="str">
            <v>Zona 2</v>
          </cell>
          <cell r="E226">
            <v>10686.02</v>
          </cell>
          <cell r="F226">
            <v>1816.64</v>
          </cell>
          <cell r="G226">
            <v>115</v>
          </cell>
          <cell r="H226">
            <v>269.95999999999998</v>
          </cell>
          <cell r="I226">
            <v>112.49</v>
          </cell>
          <cell r="J226">
            <v>340.97</v>
          </cell>
          <cell r="K226">
            <v>4824.6000000000004</v>
          </cell>
        </row>
        <row r="227">
          <cell r="B227" t="str">
            <v>AYUDANTE</v>
          </cell>
          <cell r="C227">
            <v>43374</v>
          </cell>
          <cell r="D227" t="str">
            <v>Zona 3</v>
          </cell>
          <cell r="E227">
            <v>58.7</v>
          </cell>
          <cell r="F227">
            <v>48.14</v>
          </cell>
          <cell r="G227">
            <v>115</v>
          </cell>
          <cell r="H227">
            <v>269.95999999999998</v>
          </cell>
          <cell r="I227">
            <v>112.49</v>
          </cell>
          <cell r="J227">
            <v>482.48</v>
          </cell>
          <cell r="K227">
            <v>4824.6000000000004</v>
          </cell>
        </row>
        <row r="228">
          <cell r="B228" t="str">
            <v>MEDIO OFICIAL</v>
          </cell>
          <cell r="C228">
            <v>43374</v>
          </cell>
          <cell r="D228" t="str">
            <v>Zona 3</v>
          </cell>
          <cell r="E228">
            <v>63.8</v>
          </cell>
          <cell r="F228">
            <v>52.3</v>
          </cell>
          <cell r="G228">
            <v>115</v>
          </cell>
          <cell r="H228">
            <v>269.95999999999998</v>
          </cell>
          <cell r="I228">
            <v>112.49</v>
          </cell>
          <cell r="J228">
            <v>482.48</v>
          </cell>
          <cell r="K228">
            <v>4824.6000000000004</v>
          </cell>
        </row>
        <row r="229">
          <cell r="B229" t="str">
            <v>OFICIAL</v>
          </cell>
          <cell r="C229">
            <v>43374</v>
          </cell>
          <cell r="D229" t="str">
            <v>Zona 3</v>
          </cell>
          <cell r="E229">
            <v>69.19</v>
          </cell>
          <cell r="F229">
            <v>56.75</v>
          </cell>
          <cell r="G229">
            <v>115</v>
          </cell>
          <cell r="H229">
            <v>269.95999999999998</v>
          </cell>
          <cell r="I229">
            <v>112.49</v>
          </cell>
          <cell r="J229">
            <v>482.48</v>
          </cell>
          <cell r="K229">
            <v>4824.6000000000004</v>
          </cell>
        </row>
        <row r="230">
          <cell r="B230" t="str">
            <v>OFICIAL BOLLAND</v>
          </cell>
          <cell r="C230">
            <v>43374</v>
          </cell>
          <cell r="D230" t="str">
            <v>Zona 3</v>
          </cell>
          <cell r="E230">
            <v>69.19</v>
          </cell>
          <cell r="F230">
            <v>56.75</v>
          </cell>
          <cell r="G230">
            <v>115</v>
          </cell>
          <cell r="H230">
            <v>269.95999999999998</v>
          </cell>
          <cell r="I230">
            <v>112.49</v>
          </cell>
          <cell r="J230">
            <v>482.48</v>
          </cell>
          <cell r="K230">
            <v>4824.6000000000004</v>
          </cell>
        </row>
        <row r="231">
          <cell r="B231" t="str">
            <v>OFICIAL ESPECIALIZADO</v>
          </cell>
          <cell r="C231">
            <v>43374</v>
          </cell>
          <cell r="D231" t="str">
            <v>Zona 3</v>
          </cell>
          <cell r="E231">
            <v>81.260000000000005</v>
          </cell>
          <cell r="F231">
            <v>66.64</v>
          </cell>
          <cell r="G231">
            <v>115</v>
          </cell>
          <cell r="H231">
            <v>269.95999999999998</v>
          </cell>
          <cell r="I231">
            <v>112.49</v>
          </cell>
          <cell r="J231">
            <v>482.48</v>
          </cell>
          <cell r="K231">
            <v>4824.6000000000004</v>
          </cell>
        </row>
        <row r="232">
          <cell r="B232" t="str">
            <v>SERENO</v>
          </cell>
          <cell r="C232">
            <v>43374</v>
          </cell>
          <cell r="D232" t="str">
            <v>Zona 3</v>
          </cell>
          <cell r="E232">
            <v>10686.02</v>
          </cell>
          <cell r="F232">
            <v>8762.56</v>
          </cell>
          <cell r="G232">
            <v>115</v>
          </cell>
          <cell r="H232">
            <v>269.95999999999998</v>
          </cell>
          <cell r="I232">
            <v>112.49</v>
          </cell>
          <cell r="J232">
            <v>482.48</v>
          </cell>
          <cell r="K232">
            <v>4824.6000000000004</v>
          </cell>
        </row>
        <row r="233">
          <cell r="B233" t="str">
            <v>AYUDANTE</v>
          </cell>
          <cell r="C233">
            <v>43374</v>
          </cell>
          <cell r="D233" t="str">
            <v>Zona 4</v>
          </cell>
          <cell r="E233">
            <v>58.7</v>
          </cell>
          <cell r="F233">
            <v>58.7</v>
          </cell>
          <cell r="G233">
            <v>115</v>
          </cell>
          <cell r="H233">
            <v>269.95999999999998</v>
          </cell>
          <cell r="I233">
            <v>112.49</v>
          </cell>
          <cell r="J233">
            <v>406.52</v>
          </cell>
          <cell r="K233">
            <v>4824.6000000000004</v>
          </cell>
        </row>
        <row r="234">
          <cell r="B234" t="str">
            <v>MEDIO OFICIAL</v>
          </cell>
          <cell r="C234">
            <v>43374</v>
          </cell>
          <cell r="D234" t="str">
            <v>Zona 4</v>
          </cell>
          <cell r="E234">
            <v>63.8</v>
          </cell>
          <cell r="F234">
            <v>52.3</v>
          </cell>
          <cell r="G234">
            <v>115</v>
          </cell>
          <cell r="H234">
            <v>269.95999999999998</v>
          </cell>
          <cell r="I234">
            <v>112.49</v>
          </cell>
          <cell r="J234">
            <v>406.52</v>
          </cell>
          <cell r="K234">
            <v>4824.6000000000004</v>
          </cell>
        </row>
        <row r="235">
          <cell r="B235" t="str">
            <v>OFICIAL</v>
          </cell>
          <cell r="C235">
            <v>43374</v>
          </cell>
          <cell r="D235" t="str">
            <v>Zona 4</v>
          </cell>
          <cell r="E235">
            <v>69.19</v>
          </cell>
          <cell r="F235">
            <v>69.19</v>
          </cell>
          <cell r="G235">
            <v>115</v>
          </cell>
          <cell r="H235">
            <v>269.95999999999998</v>
          </cell>
          <cell r="I235">
            <v>112.49</v>
          </cell>
          <cell r="J235">
            <v>406.52</v>
          </cell>
          <cell r="K235">
            <v>4824.6000000000004</v>
          </cell>
        </row>
        <row r="236">
          <cell r="B236" t="str">
            <v>OFICIAL BOLLAND</v>
          </cell>
          <cell r="C236">
            <v>43374</v>
          </cell>
          <cell r="D236" t="str">
            <v>Zona 4</v>
          </cell>
          <cell r="E236">
            <v>69.19</v>
          </cell>
          <cell r="F236">
            <v>69.19</v>
          </cell>
          <cell r="G236">
            <v>115</v>
          </cell>
          <cell r="H236">
            <v>269.95999999999998</v>
          </cell>
          <cell r="I236">
            <v>112.49</v>
          </cell>
          <cell r="J236">
            <v>406.52</v>
          </cell>
          <cell r="K236">
            <v>4824.6000000000004</v>
          </cell>
        </row>
        <row r="237">
          <cell r="B237" t="str">
            <v>OFICIAL ESPECIALIZADO</v>
          </cell>
          <cell r="C237">
            <v>43374</v>
          </cell>
          <cell r="D237" t="str">
            <v>Zona 4</v>
          </cell>
          <cell r="E237">
            <v>81.260000000000005</v>
          </cell>
          <cell r="F237">
            <v>81.260000000000005</v>
          </cell>
          <cell r="G237">
            <v>115</v>
          </cell>
          <cell r="H237">
            <v>269.95999999999998</v>
          </cell>
          <cell r="I237">
            <v>112.49</v>
          </cell>
          <cell r="J237">
            <v>406.52</v>
          </cell>
          <cell r="K237">
            <v>4824.6000000000004</v>
          </cell>
        </row>
        <row r="238">
          <cell r="B238" t="str">
            <v>SERENO</v>
          </cell>
          <cell r="C238">
            <v>43374</v>
          </cell>
          <cell r="D238" t="str">
            <v>Zona 4</v>
          </cell>
          <cell r="E238">
            <v>10686.02</v>
          </cell>
          <cell r="F238">
            <v>10686.02</v>
          </cell>
          <cell r="G238">
            <v>115</v>
          </cell>
          <cell r="H238">
            <v>269.95999999999998</v>
          </cell>
          <cell r="I238">
            <v>112.49</v>
          </cell>
          <cell r="J238">
            <v>406.52</v>
          </cell>
          <cell r="K238">
            <v>4824.6000000000004</v>
          </cell>
        </row>
      </sheetData>
      <sheetData sheetId="8">
        <row r="6">
          <cell r="B6">
            <v>42917</v>
          </cell>
        </row>
      </sheetData>
      <sheetData sheetId="9"/>
      <sheetData sheetId="10">
        <row r="5">
          <cell r="B5" t="str">
            <v>Seleccionar Jurisdicción</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Acelerated"/>
      <sheetName val="Planilla"/>
      <sheetName val="Output"/>
      <sheetName val="Sens"/>
      <sheetName val="Instructivo"/>
    </sheetNames>
    <sheetDataSet>
      <sheetData sheetId="0" refreshError="1">
        <row r="50">
          <cell r="H50" t="str">
            <v>m³/m³</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Laboratorio (2)"/>
      <sheetName val="Solución HCL"/>
      <sheetName val="Seguimiento"/>
      <sheetName val="ER_P"/>
      <sheetName val="Clarifications"/>
      <sheetName val="ER_G"/>
      <sheetName val="RESUMEN "/>
      <sheetName val="Hoja2"/>
      <sheetName val="lista de precios"/>
      <sheetName val="Servicio actual"/>
      <sheetName val="S_"/>
      <sheetName val="Proy_TQ"/>
      <sheetName val="P_A"/>
      <sheetName val="P_B"/>
      <sheetName val="M_"/>
      <sheetName val="Af_"/>
      <sheetName val="Trat actual PQ"/>
      <sheetName val="C_PQ"/>
      <sheetName val="Concentracion PQ ajuste"/>
      <sheetName val="Costo PQ"/>
      <sheetName val="Fletes"/>
      <sheetName val="Inm-Equi-Rod"/>
      <sheetName val="Costo mant. vehiculo"/>
      <sheetName val="Comb-Lub"/>
      <sheetName val="PQ_CR"/>
      <sheetName val="MO_Feb"/>
      <sheetName val="E_D"/>
      <sheetName val="L_C"/>
      <sheetName val="Ins-Mat"/>
      <sheetName val="Mant-Rod"/>
      <sheetName val="A_C"/>
      <sheetName val="ASAN- P. PRIVADO"/>
      <sheetName val="BOBADILLA- P. PRIVADO"/>
      <sheetName val="Ingeniero SSR."/>
      <sheetName val="Tec. CSMA"/>
      <sheetName val="Supervisor Ssr."/>
      <sheetName val="Jefe de Are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
          <cell r="D1">
            <v>87.25</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row r="3">
          <cell r="B3" t="str">
            <v>Inmuebles, Vehiculos y Equipos</v>
          </cell>
        </row>
        <row r="5">
          <cell r="B5" t="str">
            <v>Descripción</v>
          </cell>
          <cell r="C5" t="str">
            <v>Codigo AS400</v>
          </cell>
          <cell r="D5" t="str">
            <v>UM</v>
          </cell>
          <cell r="E5" t="str">
            <v>Costo U$S</v>
          </cell>
          <cell r="F5" t="str">
            <v>Costo AR$</v>
          </cell>
        </row>
        <row r="6">
          <cell r="B6" t="str">
            <v>Inmuevles/Equipos/rodados</v>
          </cell>
        </row>
        <row r="7">
          <cell r="B7" t="str">
            <v>Pick up Ranger 2.2 TDCi 4x4 XL Safety 6MT C/D</v>
          </cell>
          <cell r="D7" t="str">
            <v>Unid.</v>
          </cell>
          <cell r="F7">
            <v>2568000</v>
          </cell>
        </row>
        <row r="8">
          <cell r="B8" t="str">
            <v>Pick up Ranger 2.2 TDCi 4x4 XL Safety 6MT C/S</v>
          </cell>
          <cell r="D8" t="str">
            <v>Unid.</v>
          </cell>
        </row>
        <row r="9">
          <cell r="B9" t="str">
            <v>Camión chasis Iveco Tector 170E28 C/Larga 5670</v>
          </cell>
          <cell r="D9" t="str">
            <v>Unid.</v>
          </cell>
          <cell r="F9">
            <v>5635700</v>
          </cell>
        </row>
        <row r="10">
          <cell r="B10" t="str">
            <v xml:space="preserve">Camión Ford 4000 4x4  </v>
          </cell>
          <cell r="D10" t="str">
            <v>Unid.</v>
          </cell>
        </row>
        <row r="11">
          <cell r="B11" t="str">
            <v>Camión Ford 4000 4x2</v>
          </cell>
        </row>
        <row r="12">
          <cell r="B12" t="str">
            <v>Autoelevador</v>
          </cell>
          <cell r="D12" t="str">
            <v>Unid.</v>
          </cell>
          <cell r="E12">
            <v>30000</v>
          </cell>
          <cell r="F12">
            <v>2617500</v>
          </cell>
        </row>
        <row r="13">
          <cell r="B13" t="str">
            <v>Trailer Vestidor/Oficina 12 mts</v>
          </cell>
          <cell r="D13" t="str">
            <v>Unid.</v>
          </cell>
          <cell r="E13">
            <v>8000</v>
          </cell>
          <cell r="F13">
            <v>698000</v>
          </cell>
        </row>
        <row r="14">
          <cell r="B14" t="str">
            <v>Trailer Vestidor/Oficina 6 mts</v>
          </cell>
          <cell r="D14" t="str">
            <v>Unid.</v>
          </cell>
          <cell r="E14">
            <v>8000</v>
          </cell>
          <cell r="F14">
            <v>698000</v>
          </cell>
        </row>
        <row r="15">
          <cell r="B15" t="str">
            <v>Trailer Laboratorio 12 mts</v>
          </cell>
          <cell r="D15" t="str">
            <v>Unid.</v>
          </cell>
          <cell r="E15">
            <v>31000</v>
          </cell>
          <cell r="F15">
            <v>2704750</v>
          </cell>
        </row>
        <row r="16">
          <cell r="B16" t="str">
            <v xml:space="preserve">Base RDLS (tasación) </v>
          </cell>
          <cell r="D16" t="str">
            <v>Unid.</v>
          </cell>
          <cell r="E16">
            <v>250000</v>
          </cell>
          <cell r="F16">
            <v>21812500</v>
          </cell>
        </row>
        <row r="17">
          <cell r="B17" t="str">
            <v xml:space="preserve">Base CTL (tasación) </v>
          </cell>
          <cell r="D17" t="str">
            <v>Unid.</v>
          </cell>
          <cell r="E17">
            <v>250000</v>
          </cell>
          <cell r="F17">
            <v>21812500</v>
          </cell>
        </row>
        <row r="18">
          <cell r="B18" t="str">
            <v>Equipamiento</v>
          </cell>
        </row>
        <row r="19">
          <cell r="B19" t="str">
            <v>Equipamiento (jaula, matafuego, cobertor, protectores, arrestallama)</v>
          </cell>
          <cell r="D19" t="str">
            <v>Unid.</v>
          </cell>
          <cell r="E19">
            <v>936.68571428571431</v>
          </cell>
          <cell r="F19">
            <v>32784</v>
          </cell>
        </row>
        <row r="20">
          <cell r="B20" t="str">
            <v xml:space="preserve">Alarma </v>
          </cell>
          <cell r="D20" t="str">
            <v>Unid.</v>
          </cell>
          <cell r="E20">
            <v>200</v>
          </cell>
          <cell r="F20">
            <v>7000</v>
          </cell>
        </row>
        <row r="21">
          <cell r="B21" t="str">
            <v>Tacografo (Instalación)</v>
          </cell>
          <cell r="D21" t="str">
            <v>Unid.</v>
          </cell>
          <cell r="E21">
            <v>151</v>
          </cell>
          <cell r="F21">
            <v>13174.75</v>
          </cell>
        </row>
        <row r="22">
          <cell r="B22" t="str">
            <v>Equipo de radio VHF (Instalación)</v>
          </cell>
          <cell r="D22" t="str">
            <v>Unid.</v>
          </cell>
          <cell r="E22">
            <v>120</v>
          </cell>
          <cell r="F22">
            <v>10470</v>
          </cell>
        </row>
        <row r="23">
          <cell r="B23" t="str">
            <v xml:space="preserve">Equipo de mano radio VHF </v>
          </cell>
          <cell r="D23" t="str">
            <v>Unid.</v>
          </cell>
          <cell r="E23">
            <v>139</v>
          </cell>
          <cell r="F23">
            <v>12127.75</v>
          </cell>
        </row>
        <row r="24">
          <cell r="B24" t="str">
            <v>Equipo de medicion de parmetros de inyección</v>
          </cell>
          <cell r="D24" t="str">
            <v>Unid.</v>
          </cell>
          <cell r="E24">
            <v>5253</v>
          </cell>
          <cell r="F24">
            <v>458324.25</v>
          </cell>
        </row>
        <row r="25">
          <cell r="B25" t="str">
            <v>Equipamiento camion de batch y reposición</v>
          </cell>
          <cell r="D25" t="str">
            <v>Unid.</v>
          </cell>
          <cell r="F25">
            <v>1540362.1612903224</v>
          </cell>
        </row>
        <row r="26">
          <cell r="B26" t="str">
            <v>Equipamiento camion de batch y reposición con hidrogua</v>
          </cell>
          <cell r="D26" t="str">
            <v>Unid.</v>
          </cell>
          <cell r="F26">
            <v>5641112.1612903224</v>
          </cell>
        </row>
        <row r="27">
          <cell r="B27" t="str">
            <v>Caja playa (2,60 x 5,40 mt)</v>
          </cell>
          <cell r="D27" t="str">
            <v>Unid.</v>
          </cell>
          <cell r="E27">
            <v>7849.4623655913974</v>
          </cell>
          <cell r="F27">
            <v>684865.59139784938</v>
          </cell>
        </row>
        <row r="28">
          <cell r="B28" t="str">
            <v>Bomba Jacto JP150 450 lbs / 100 l/min</v>
          </cell>
          <cell r="D28" t="str">
            <v>Unid.</v>
          </cell>
          <cell r="E28">
            <v>2473.1182795698924</v>
          </cell>
          <cell r="F28">
            <v>215779.56989247311</v>
          </cell>
        </row>
        <row r="29">
          <cell r="B29" t="str">
            <v>Hidrogrua de 12 TN</v>
          </cell>
          <cell r="D29" t="str">
            <v>Unid.</v>
          </cell>
          <cell r="E29">
            <v>47000</v>
          </cell>
          <cell r="F29">
            <v>4100750</v>
          </cell>
        </row>
        <row r="30">
          <cell r="B30" t="str">
            <v>Caudalimetro a turbina 20 a 200 lpm</v>
          </cell>
          <cell r="D30" t="str">
            <v>Unid.</v>
          </cell>
          <cell r="E30">
            <v>1640</v>
          </cell>
          <cell r="F30">
            <v>143090</v>
          </cell>
        </row>
        <row r="31">
          <cell r="B31" t="str">
            <v>Bomba a piston Pazima 1700 lbs / 110 l/min</v>
          </cell>
          <cell r="D31" t="str">
            <v>Unid.</v>
          </cell>
          <cell r="E31">
            <v>5692</v>
          </cell>
          <cell r="F31">
            <v>496627</v>
          </cell>
        </row>
        <row r="32">
          <cell r="B32" t="str">
            <v>Consumibles /Lubricantes</v>
          </cell>
        </row>
        <row r="33">
          <cell r="B33" t="str">
            <v>Gas oil (infinia diesel ACA NQN)</v>
          </cell>
          <cell r="D33" t="str">
            <v>Unid.</v>
          </cell>
          <cell r="F33">
            <v>68.099999999999994</v>
          </cell>
        </row>
        <row r="34">
          <cell r="B34" t="str">
            <v>Aceite 15 W 40</v>
          </cell>
          <cell r="D34" t="str">
            <v>Unid.</v>
          </cell>
          <cell r="F34">
            <v>550</v>
          </cell>
        </row>
        <row r="35">
          <cell r="B35" t="str">
            <v>Cubierta 255/70/16 ART</v>
          </cell>
          <cell r="D35" t="str">
            <v>Unid.</v>
          </cell>
          <cell r="F35">
            <v>17300</v>
          </cell>
        </row>
        <row r="36">
          <cell r="B36" t="str">
            <v>Cubierta 275/80 R22,5</v>
          </cell>
          <cell r="D36" t="str">
            <v>Unid.</v>
          </cell>
          <cell r="F36">
            <v>57300</v>
          </cell>
        </row>
        <row r="37">
          <cell r="B37" t="str">
            <v>Cubierta 295/80 R22,5</v>
          </cell>
          <cell r="D37" t="str">
            <v>Unid.</v>
          </cell>
          <cell r="F37">
            <v>33200</v>
          </cell>
        </row>
        <row r="38">
          <cell r="B38" t="str">
            <v>Cubierta 275/80 R22,5</v>
          </cell>
          <cell r="D38" t="str">
            <v>Unid.</v>
          </cell>
          <cell r="F38">
            <v>57300</v>
          </cell>
        </row>
        <row r="39">
          <cell r="B39" t="str">
            <v>Mantenimiento Pick up (Repuestos)</v>
          </cell>
          <cell r="D39" t="str">
            <v>Unid.</v>
          </cell>
          <cell r="E39">
            <v>200</v>
          </cell>
          <cell r="F39">
            <v>17450</v>
          </cell>
        </row>
        <row r="40">
          <cell r="B40" t="str">
            <v>Mantenimiento camion (Repuestos)</v>
          </cell>
          <cell r="D40" t="str">
            <v>Unid.</v>
          </cell>
          <cell r="E40">
            <v>400</v>
          </cell>
          <cell r="F40">
            <v>34900</v>
          </cell>
        </row>
        <row r="42">
          <cell r="B42" t="str">
            <v>Servicios contratados</v>
          </cell>
        </row>
        <row r="44">
          <cell r="B44" t="str">
            <v>Descripción</v>
          </cell>
          <cell r="C44" t="str">
            <v>Codigo AS400</v>
          </cell>
          <cell r="D44" t="str">
            <v>UM</v>
          </cell>
          <cell r="E44" t="str">
            <v>Costo U$S</v>
          </cell>
          <cell r="F44" t="str">
            <v>Costo AR$</v>
          </cell>
        </row>
        <row r="45">
          <cell r="B45" t="str">
            <v>Varios</v>
          </cell>
        </row>
        <row r="46">
          <cell r="B46" t="str">
            <v>Tacografo (Mensual)</v>
          </cell>
          <cell r="D46" t="str">
            <v>Unid.</v>
          </cell>
          <cell r="F46">
            <v>600</v>
          </cell>
        </row>
        <row r="47">
          <cell r="B47" t="str">
            <v>Alquiler Equipo de radio VHF (Mensual)</v>
          </cell>
          <cell r="D47" t="str">
            <v>Unid.</v>
          </cell>
          <cell r="F47">
            <v>5500</v>
          </cell>
        </row>
        <row r="48">
          <cell r="B48" t="str">
            <v>Lavadero Pick up</v>
          </cell>
          <cell r="D48" t="str">
            <v>Unid.</v>
          </cell>
          <cell r="F48">
            <v>1500</v>
          </cell>
        </row>
        <row r="49">
          <cell r="B49" t="str">
            <v>Lavadero camion</v>
          </cell>
          <cell r="D49" t="str">
            <v>Unid.</v>
          </cell>
          <cell r="F49">
            <v>2800</v>
          </cell>
        </row>
        <row r="50">
          <cell r="B50" t="str">
            <v>Mantenimiento Pick up (Mano de obra)</v>
          </cell>
          <cell r="D50" t="str">
            <v>Unid.</v>
          </cell>
          <cell r="F50">
            <v>8000</v>
          </cell>
        </row>
        <row r="51">
          <cell r="B51" t="str">
            <v>Mantenimiento camion (Mano de obra)</v>
          </cell>
          <cell r="D51" t="str">
            <v>Unid.</v>
          </cell>
          <cell r="F51">
            <v>14000</v>
          </cell>
        </row>
        <row r="52">
          <cell r="B52" t="str">
            <v>VTV de pick Up</v>
          </cell>
          <cell r="D52" t="str">
            <v>Unid.</v>
          </cell>
          <cell r="F52">
            <v>1658.68</v>
          </cell>
        </row>
        <row r="53">
          <cell r="B53" t="str">
            <v>VTV de Camion un eje</v>
          </cell>
          <cell r="D53" t="str">
            <v>Unid.</v>
          </cell>
          <cell r="F53">
            <v>1919</v>
          </cell>
        </row>
        <row r="54">
          <cell r="B54" t="str">
            <v>Flete PIC - PIN</v>
          </cell>
          <cell r="D54" t="str">
            <v>Unid.</v>
          </cell>
          <cell r="F54">
            <v>82377.45</v>
          </cell>
        </row>
        <row r="55">
          <cell r="B55" t="str">
            <v>Flete PIN - RDLS</v>
          </cell>
          <cell r="D55" t="str">
            <v>Unid.</v>
          </cell>
          <cell r="F55">
            <v>23118.02</v>
          </cell>
        </row>
        <row r="56">
          <cell r="B56" t="str">
            <v>Flete PIN - PHCL</v>
          </cell>
          <cell r="D56" t="str">
            <v>Unid.</v>
          </cell>
          <cell r="F56">
            <v>13870.81</v>
          </cell>
        </row>
        <row r="57">
          <cell r="B57" t="str">
            <v>Flete PIN - CTRL</v>
          </cell>
          <cell r="D57" t="str">
            <v>Unid.</v>
          </cell>
          <cell r="F57">
            <v>13870.81</v>
          </cell>
        </row>
        <row r="58">
          <cell r="B58" t="str">
            <v>Flete PIN - ET</v>
          </cell>
          <cell r="D58" t="str">
            <v>Unid.</v>
          </cell>
          <cell r="F58">
            <v>28118.02</v>
          </cell>
        </row>
        <row r="59">
          <cell r="B59" t="str">
            <v>Flete PIN - ASR</v>
          </cell>
          <cell r="D59" t="str">
            <v>Unid.</v>
          </cell>
          <cell r="F59">
            <v>26816.9</v>
          </cell>
        </row>
        <row r="60">
          <cell r="B60" t="str">
            <v>Flete PIN - AP</v>
          </cell>
          <cell r="D60" t="str">
            <v>Unid.</v>
          </cell>
          <cell r="F60">
            <v>26816.9</v>
          </cell>
        </row>
        <row r="61">
          <cell r="B61" t="str">
            <v>Flete PIC - STA</v>
          </cell>
          <cell r="D61" t="str">
            <v>Unid.</v>
          </cell>
          <cell r="F61">
            <v>283300</v>
          </cell>
        </row>
        <row r="62">
          <cell r="B62" t="str">
            <v>RDLS-Gastos vivienda (Alquiler, limpieza, impuestos)</v>
          </cell>
          <cell r="D62" t="str">
            <v>Unid.</v>
          </cell>
          <cell r="F62">
            <v>25000</v>
          </cell>
        </row>
        <row r="63">
          <cell r="B63" t="str">
            <v>RDLS-Gastos base (Licencia comercial, insumos, maestranza y vigilancia)</v>
          </cell>
          <cell r="D63" t="str">
            <v>Unid.</v>
          </cell>
          <cell r="F63">
            <v>80061.594750000004</v>
          </cell>
        </row>
        <row r="64">
          <cell r="B64" t="str">
            <v>CTRL-Gastos vivienda (Alquiler, limpieza, impuestos)</v>
          </cell>
          <cell r="D64" t="str">
            <v>Unid.</v>
          </cell>
          <cell r="F64">
            <v>19200</v>
          </cell>
        </row>
        <row r="65">
          <cell r="B65" t="str">
            <v>CTRL-Gastos base (Licencia comercial, insumos, maestranza y vigilancia)</v>
          </cell>
          <cell r="D65" t="str">
            <v>Unid.</v>
          </cell>
          <cell r="F65">
            <v>34492</v>
          </cell>
        </row>
        <row r="66">
          <cell r="B66" t="str">
            <v>NQN-Gastos base (Licencia comercial, insumos, maestranza y vigilancia)</v>
          </cell>
          <cell r="D66" t="str">
            <v>Unid.</v>
          </cell>
          <cell r="F66">
            <v>10000</v>
          </cell>
        </row>
        <row r="67">
          <cell r="B67" t="str">
            <v>AÑELO-Gastos base (Licencia comercial, insumos, maestranza y vigilancia)</v>
          </cell>
          <cell r="D67" t="str">
            <v>Mes</v>
          </cell>
          <cell r="F67">
            <v>3672.38</v>
          </cell>
        </row>
        <row r="68">
          <cell r="B68" t="str">
            <v>PHL-Gastos base (Licencia comercial, insumos, maestranza y vigilancia)</v>
          </cell>
          <cell r="D68" t="str">
            <v>Mes</v>
          </cell>
          <cell r="F68">
            <v>32000</v>
          </cell>
        </row>
        <row r="69">
          <cell r="B69" t="str">
            <v>Cromatografía de Gas Natural hasta C8 y superiores según ASTM1945</v>
          </cell>
          <cell r="D69" t="str">
            <v>Mes</v>
          </cell>
          <cell r="E69">
            <v>66.7</v>
          </cell>
          <cell r="F69">
            <v>5819.5749999999998</v>
          </cell>
        </row>
        <row r="70">
          <cell r="B70" t="str">
            <v>Cromatografía de Liquidos</v>
          </cell>
          <cell r="D70" t="str">
            <v>Mes</v>
          </cell>
          <cell r="E70">
            <v>113.1</v>
          </cell>
          <cell r="F70">
            <v>9867.9750000000004</v>
          </cell>
        </row>
        <row r="71">
          <cell r="B71" t="str">
            <v>Calibracion Detector H2S</v>
          </cell>
          <cell r="D71" t="str">
            <v>Unid.</v>
          </cell>
          <cell r="E71">
            <v>73</v>
          </cell>
          <cell r="F71">
            <v>6369.25</v>
          </cell>
        </row>
        <row r="72">
          <cell r="B72" t="str">
            <v>Calibracion Hach</v>
          </cell>
          <cell r="E72">
            <v>305</v>
          </cell>
          <cell r="F72">
            <v>26611.25</v>
          </cell>
        </row>
        <row r="73">
          <cell r="B73" t="str">
            <v>Calibracion Balanza</v>
          </cell>
          <cell r="E73">
            <v>77</v>
          </cell>
          <cell r="F73">
            <v>6718.25</v>
          </cell>
        </row>
        <row r="74">
          <cell r="B74" t="str">
            <v>Calibracion Termometro</v>
          </cell>
          <cell r="E74">
            <v>38</v>
          </cell>
          <cell r="F74">
            <v>3315.5</v>
          </cell>
        </row>
        <row r="75">
          <cell r="B75" t="str">
            <v>Lavandería</v>
          </cell>
          <cell r="D75" t="str">
            <v>Unid.</v>
          </cell>
          <cell r="F75">
            <v>120</v>
          </cell>
        </row>
        <row r="76">
          <cell r="B76" t="str">
            <v>Capacitación</v>
          </cell>
          <cell r="D76" t="str">
            <v>Unid.</v>
          </cell>
          <cell r="F76">
            <v>5760</v>
          </cell>
        </row>
        <row r="77">
          <cell r="B77" t="str">
            <v>Transporte personal</v>
          </cell>
          <cell r="D77" t="str">
            <v>Unid.</v>
          </cell>
          <cell r="F77">
            <v>120</v>
          </cell>
        </row>
        <row r="78">
          <cell r="B78" t="str">
            <v>Exámenes Medicos</v>
          </cell>
          <cell r="D78" t="str">
            <v>Unid.</v>
          </cell>
          <cell r="F78">
            <v>5257.2</v>
          </cell>
        </row>
        <row r="80">
          <cell r="B80" t="str">
            <v>Personal</v>
          </cell>
        </row>
        <row r="82">
          <cell r="B82" t="str">
            <v>Descripción</v>
          </cell>
          <cell r="C82" t="str">
            <v>Codigo AS400</v>
          </cell>
          <cell r="D82" t="str">
            <v>UM</v>
          </cell>
          <cell r="E82" t="str">
            <v>Costo U$S</v>
          </cell>
          <cell r="F82" t="str">
            <v>Costo AR$</v>
          </cell>
        </row>
        <row r="83">
          <cell r="B83" t="str">
            <v>EPP</v>
          </cell>
        </row>
        <row r="84">
          <cell r="B84" t="str">
            <v>Ropa Jerarquicos</v>
          </cell>
          <cell r="D84" t="str">
            <v>Unid.</v>
          </cell>
          <cell r="E84">
            <v>735.64793103448278</v>
          </cell>
          <cell r="F84">
            <v>64185.281982758621</v>
          </cell>
        </row>
        <row r="85">
          <cell r="B85" t="str">
            <v>Ropa SPPNRP</v>
          </cell>
          <cell r="D85" t="str">
            <v>Unid.</v>
          </cell>
          <cell r="E85">
            <v>928.51931034482766</v>
          </cell>
          <cell r="F85">
            <v>81013.309827586214</v>
          </cell>
        </row>
        <row r="86">
          <cell r="B86" t="str">
            <v>Botas</v>
          </cell>
          <cell r="D86" t="str">
            <v>Unid.</v>
          </cell>
          <cell r="E86">
            <v>35.344827586206897</v>
          </cell>
          <cell r="F86">
            <v>3083.8362068965516</v>
          </cell>
        </row>
        <row r="87">
          <cell r="B87" t="str">
            <v>Mameluco Inifugo</v>
          </cell>
          <cell r="D87" t="str">
            <v>Unid.</v>
          </cell>
          <cell r="E87">
            <v>77.896551724137936</v>
          </cell>
          <cell r="F87">
            <v>6796.4741379310353</v>
          </cell>
        </row>
        <row r="88">
          <cell r="B88" t="str">
            <v>Pantalon</v>
          </cell>
          <cell r="D88" t="str">
            <v>Unid.</v>
          </cell>
          <cell r="E88">
            <v>17.775862068965516</v>
          </cell>
          <cell r="F88">
            <v>1550.9439655172412</v>
          </cell>
        </row>
        <row r="89">
          <cell r="B89" t="str">
            <v>Camisa</v>
          </cell>
          <cell r="D89" t="str">
            <v>Unid.</v>
          </cell>
          <cell r="E89">
            <v>17.017241379310345</v>
          </cell>
          <cell r="F89">
            <v>1484.7543103448277</v>
          </cell>
        </row>
        <row r="90">
          <cell r="B90" t="str">
            <v>Campera algodón tipo parka</v>
          </cell>
          <cell r="D90" t="str">
            <v>Unid.</v>
          </cell>
          <cell r="E90">
            <v>68.965517241379317</v>
          </cell>
          <cell r="F90">
            <v>6017.2413793103451</v>
          </cell>
        </row>
        <row r="91">
          <cell r="B91" t="str">
            <v>Casco</v>
          </cell>
          <cell r="D91" t="str">
            <v>Unid.</v>
          </cell>
          <cell r="E91">
            <v>19.551724137931036</v>
          </cell>
          <cell r="F91">
            <v>1705.8879310344828</v>
          </cell>
        </row>
        <row r="92">
          <cell r="B92" t="str">
            <v>Anteojos seguridad</v>
          </cell>
          <cell r="D92" t="str">
            <v>Unid.</v>
          </cell>
          <cell r="E92">
            <v>3.0689655172413794</v>
          </cell>
          <cell r="F92">
            <v>267.76724137931035</v>
          </cell>
        </row>
        <row r="93">
          <cell r="B93" t="str">
            <v>Antiparras</v>
          </cell>
          <cell r="D93" t="str">
            <v>Unid.</v>
          </cell>
          <cell r="E93">
            <v>12</v>
          </cell>
          <cell r="F93">
            <v>1047</v>
          </cell>
        </row>
        <row r="94">
          <cell r="B94" t="str">
            <v>Guantes Vaqueta</v>
          </cell>
          <cell r="D94" t="str">
            <v>Unid.</v>
          </cell>
          <cell r="E94">
            <v>2</v>
          </cell>
          <cell r="F94">
            <v>174.5</v>
          </cell>
        </row>
        <row r="95">
          <cell r="B95" t="str">
            <v xml:space="preserve">Guantes Nitrilo </v>
          </cell>
          <cell r="D95" t="str">
            <v>Unid.</v>
          </cell>
          <cell r="E95">
            <v>2.65</v>
          </cell>
          <cell r="F95">
            <v>231.21250000000001</v>
          </cell>
        </row>
        <row r="96">
          <cell r="B96" t="str">
            <v>Protector auditivo (casco)</v>
          </cell>
          <cell r="D96" t="str">
            <v>Unid.</v>
          </cell>
          <cell r="E96">
            <v>29.71</v>
          </cell>
          <cell r="F96">
            <v>2592.1975000000002</v>
          </cell>
        </row>
        <row r="97">
          <cell r="B97" t="str">
            <v xml:space="preserve">Mascara prot respiratorio </v>
          </cell>
          <cell r="D97" t="str">
            <v>Unid.</v>
          </cell>
          <cell r="E97">
            <v>25</v>
          </cell>
          <cell r="F97">
            <v>2181.25</v>
          </cell>
        </row>
        <row r="98">
          <cell r="B98" t="str">
            <v xml:space="preserve">Filtros gases </v>
          </cell>
          <cell r="D98" t="str">
            <v>Unid.</v>
          </cell>
          <cell r="E98">
            <v>47.63</v>
          </cell>
          <cell r="F98">
            <v>4155.7175000000007</v>
          </cell>
        </row>
        <row r="99">
          <cell r="B99" t="str">
            <v>Detector H2S</v>
          </cell>
          <cell r="D99" t="str">
            <v>Unid.</v>
          </cell>
          <cell r="E99">
            <v>550</v>
          </cell>
          <cell r="F99">
            <v>47987.5</v>
          </cell>
        </row>
        <row r="100">
          <cell r="B100" t="str">
            <v>Notebook</v>
          </cell>
          <cell r="D100" t="str">
            <v>Unid.</v>
          </cell>
          <cell r="E100">
            <v>1500</v>
          </cell>
          <cell r="F100">
            <v>130875</v>
          </cell>
        </row>
        <row r="102">
          <cell r="B102" t="str">
            <v>Equipos de dosificación</v>
          </cell>
        </row>
        <row r="104">
          <cell r="B104" t="str">
            <v>Descripción</v>
          </cell>
          <cell r="C104" t="str">
            <v>Codigo AS400</v>
          </cell>
          <cell r="D104" t="str">
            <v>UM</v>
          </cell>
          <cell r="E104" t="str">
            <v>Costo U$S</v>
          </cell>
          <cell r="F104" t="str">
            <v>Costo AR$</v>
          </cell>
        </row>
        <row r="105">
          <cell r="B105" t="str">
            <v>VARIOS</v>
          </cell>
        </row>
        <row r="106">
          <cell r="B106" t="str">
            <v>Transmisor de nivel</v>
          </cell>
          <cell r="D106" t="str">
            <v>Unid.</v>
          </cell>
          <cell r="F106">
            <v>4500</v>
          </cell>
        </row>
        <row r="107">
          <cell r="B107" t="str">
            <v>Indicador de nivel DOSIVAC</v>
          </cell>
          <cell r="D107" t="str">
            <v>Unid.</v>
          </cell>
          <cell r="F107">
            <v>2208.75</v>
          </cell>
        </row>
        <row r="108">
          <cell r="B108" t="str">
            <v>Caudalimetro Volumétrico DOSIVAC</v>
          </cell>
          <cell r="D108" t="str">
            <v>Unid.</v>
          </cell>
          <cell r="F108">
            <v>5914</v>
          </cell>
        </row>
        <row r="109">
          <cell r="B109" t="str">
            <v>Interruptor de caudal</v>
          </cell>
          <cell r="D109" t="str">
            <v>Unid.</v>
          </cell>
          <cell r="F109">
            <v>2000</v>
          </cell>
        </row>
        <row r="110">
          <cell r="B110" t="str">
            <v>Transmisor de Presión</v>
          </cell>
          <cell r="D110" t="str">
            <v>Unid.</v>
          </cell>
          <cell r="F110">
            <v>3800</v>
          </cell>
        </row>
        <row r="111">
          <cell r="B111" t="str">
            <v>Variador de frecuencia</v>
          </cell>
          <cell r="D111" t="str">
            <v>Unid.</v>
          </cell>
          <cell r="F111">
            <v>5900</v>
          </cell>
        </row>
        <row r="112">
          <cell r="B112" t="str">
            <v>Control total trif 220v ó 380v DOSIVAC</v>
          </cell>
          <cell r="D112" t="str">
            <v>Unid.</v>
          </cell>
          <cell r="F112">
            <v>827</v>
          </cell>
        </row>
        <row r="113">
          <cell r="B113" t="str">
            <v>Válvula de alivio y recirculación 1/2" - SET [100bar]</v>
          </cell>
          <cell r="D113" t="str">
            <v>Unid.</v>
          </cell>
          <cell r="E113">
            <v>315</v>
          </cell>
          <cell r="F113">
            <v>27483.75</v>
          </cell>
        </row>
        <row r="114">
          <cell r="B114" t="str">
            <v>Válvula de alivio  1/4" NPT - gas instrumento 3-13 BAR ABAC</v>
          </cell>
          <cell r="E114">
            <v>170</v>
          </cell>
          <cell r="F114">
            <v>14832.5</v>
          </cell>
        </row>
        <row r="115">
          <cell r="B115" t="str">
            <v xml:space="preserve">Válvula aguja 1/4" AISI316L </v>
          </cell>
          <cell r="D115" t="str">
            <v>Unid.</v>
          </cell>
          <cell r="E115">
            <v>46.39</v>
          </cell>
          <cell r="F115">
            <v>4047.5275000000001</v>
          </cell>
        </row>
        <row r="116">
          <cell r="B116" t="str">
            <v>Válvula esférica 3C bridada 1/2" AISI316L</v>
          </cell>
          <cell r="D116" t="str">
            <v>Unid.</v>
          </cell>
          <cell r="E116">
            <v>89.15</v>
          </cell>
          <cell r="F116">
            <v>7778.3375000000005</v>
          </cell>
        </row>
        <row r="117">
          <cell r="B117" t="str">
            <v xml:space="preserve">Tubo de vidrio de 5/8" de 1 mt </v>
          </cell>
          <cell r="D117" t="str">
            <v>Unid.</v>
          </cell>
          <cell r="E117">
            <v>30</v>
          </cell>
          <cell r="F117">
            <v>2617.5</v>
          </cell>
        </row>
        <row r="118">
          <cell r="B118" t="str">
            <v>Transformador eléctrico 1KVA 480-380V</v>
          </cell>
          <cell r="D118" t="str">
            <v>Unid.</v>
          </cell>
          <cell r="F118">
            <v>4893.75</v>
          </cell>
        </row>
        <row r="119">
          <cell r="B119" t="str">
            <v>Manómetro 2 1/2" c/Glicerina nptm1/2"L</v>
          </cell>
          <cell r="D119" t="str">
            <v>Unid.</v>
          </cell>
          <cell r="E119">
            <v>57</v>
          </cell>
          <cell r="F119">
            <v>4973.25</v>
          </cell>
        </row>
        <row r="120">
          <cell r="B120" t="str">
            <v>Filtro "Y" INOX "GORA" 180 MIC</v>
          </cell>
          <cell r="D120" t="str">
            <v>Unid.</v>
          </cell>
          <cell r="E120">
            <v>160.74</v>
          </cell>
          <cell r="F120">
            <v>14024.565000000001</v>
          </cell>
        </row>
        <row r="121">
          <cell r="B121" t="str">
            <v>Filtro "T" INOX "GORA" 180 MIC</v>
          </cell>
          <cell r="D121" t="str">
            <v>Unid.</v>
          </cell>
          <cell r="E121">
            <v>178.16</v>
          </cell>
          <cell r="F121">
            <v>15544.46</v>
          </cell>
        </row>
        <row r="122">
          <cell r="B122" t="str">
            <v>Válvula esférica NPTH 3 cuerpos roscada 1/4" AISI316L</v>
          </cell>
          <cell r="D122" t="str">
            <v>Unid.</v>
          </cell>
          <cell r="E122">
            <v>52.45</v>
          </cell>
          <cell r="F122">
            <v>4576.2624999999998</v>
          </cell>
        </row>
        <row r="123">
          <cell r="B123" t="str">
            <v>Válvula esférica NPTH 3 cuerpos roscada 1/2" AISI316L</v>
          </cell>
          <cell r="D123" t="str">
            <v>Unid.</v>
          </cell>
          <cell r="E123">
            <v>63.74</v>
          </cell>
          <cell r="F123">
            <v>5561.3150000000005</v>
          </cell>
        </row>
        <row r="124">
          <cell r="B124" t="str">
            <v>Válvula esférica NPTH 3 cuerpos roscada 3/4" AISI316L</v>
          </cell>
          <cell r="D124" t="str">
            <v>Unid.</v>
          </cell>
          <cell r="E124">
            <v>68.16</v>
          </cell>
          <cell r="F124">
            <v>5946.96</v>
          </cell>
        </row>
        <row r="125">
          <cell r="B125" t="str">
            <v>Válvula esférica NPTH 3 cuerpos roscada 1" AISI316L</v>
          </cell>
          <cell r="D125" t="str">
            <v>Unid.</v>
          </cell>
          <cell r="E125">
            <v>70.150000000000006</v>
          </cell>
          <cell r="F125">
            <v>6120.5875000000005</v>
          </cell>
        </row>
        <row r="126">
          <cell r="B126" t="str">
            <v>TRAMPA FT 550 AE 1/2" BSPT</v>
          </cell>
          <cell r="D126" t="str">
            <v>Unid.</v>
          </cell>
          <cell r="E126">
            <v>254.52</v>
          </cell>
          <cell r="F126">
            <v>22206.870000000003</v>
          </cell>
        </row>
        <row r="127">
          <cell r="B127" t="str">
            <v>Válvula Aguja de Bloqueo ABAC 1/2"NPTM x 1/2"NPTH 6.000 psi</v>
          </cell>
          <cell r="D127" t="str">
            <v>Unid.</v>
          </cell>
          <cell r="E127">
            <v>69.14</v>
          </cell>
          <cell r="F127">
            <v>6032.4650000000001</v>
          </cell>
        </row>
        <row r="128">
          <cell r="B128" t="str">
            <v>Válvula Aguja de Bloqueo ABAC 1/2"NPTM x 1/2"NPTH 10.000 psi</v>
          </cell>
          <cell r="D128" t="str">
            <v>Unid.</v>
          </cell>
          <cell r="E128">
            <v>96.26</v>
          </cell>
          <cell r="F128">
            <v>8398.6850000000013</v>
          </cell>
        </row>
        <row r="129">
          <cell r="B129" t="str">
            <v>Válvula Aguja de Bloqueo ABAC 1/4"NPTM x 1/4"NPTH 6.000 psi</v>
          </cell>
          <cell r="D129" t="str">
            <v>Unid.</v>
          </cell>
          <cell r="E129">
            <v>46.34</v>
          </cell>
          <cell r="F129">
            <v>4043.1650000000004</v>
          </cell>
        </row>
        <row r="130">
          <cell r="B130" t="str">
            <v>Válvula Aguja de Bloqueo ABAC 1/4"NPTM x 1/4"NPTH 10.000 psi</v>
          </cell>
          <cell r="D130" t="str">
            <v>Unid.</v>
          </cell>
          <cell r="E130">
            <v>64.903999999999996</v>
          </cell>
          <cell r="F130">
            <v>5662.8739999999998</v>
          </cell>
        </row>
        <row r="131">
          <cell r="B131" t="str">
            <v>CONTENEDORES</v>
          </cell>
        </row>
        <row r="132">
          <cell r="B132" t="str">
            <v>Contenedor de 1000 lts Better reforzado FORMIGPLAS</v>
          </cell>
          <cell r="D132" t="str">
            <v>Unid.</v>
          </cell>
          <cell r="E132">
            <v>878</v>
          </cell>
          <cell r="F132">
            <v>76605.5</v>
          </cell>
        </row>
        <row r="133">
          <cell r="B133" t="str">
            <v>Contenedor de 1000 lts Better descartable FORMIGPLAS</v>
          </cell>
          <cell r="D133" t="str">
            <v>Unid.</v>
          </cell>
          <cell r="E133">
            <v>209</v>
          </cell>
          <cell r="F133">
            <v>18235.25</v>
          </cell>
        </row>
        <row r="134">
          <cell r="B134" t="str">
            <v>Tanque de  240 lts tipo aceitunero</v>
          </cell>
          <cell r="D134" t="str">
            <v>Unid.</v>
          </cell>
          <cell r="E134">
            <v>62</v>
          </cell>
          <cell r="F134">
            <v>5409.5</v>
          </cell>
        </row>
        <row r="135">
          <cell r="B135" t="str">
            <v>Tanque de 189 lts Cónico de alta densidad FORMIGPLAS</v>
          </cell>
          <cell r="D135" t="str">
            <v>Unid.</v>
          </cell>
          <cell r="F135">
            <v>1885</v>
          </cell>
        </row>
        <row r="136">
          <cell r="B136" t="str">
            <v>TABLEROS</v>
          </cell>
        </row>
        <row r="137">
          <cell r="B137" t="str">
            <v>Tablero de arranque STD</v>
          </cell>
          <cell r="D137" t="str">
            <v>Unid.</v>
          </cell>
        </row>
        <row r="138">
          <cell r="B138" t="str">
            <v>Tablero de arranque YPF</v>
          </cell>
          <cell r="D138" t="str">
            <v>Unid.</v>
          </cell>
        </row>
        <row r="139">
          <cell r="B139" t="str">
            <v xml:space="preserve">Tablero de arranque </v>
          </cell>
          <cell r="D139" t="str">
            <v>Unid.</v>
          </cell>
          <cell r="F139">
            <v>67500</v>
          </cell>
        </row>
        <row r="140">
          <cell r="B140" t="str">
            <v>ESTRUCTURAS</v>
          </cell>
        </row>
        <row r="141">
          <cell r="B141" t="str">
            <v>Equipo Dosificador 215lts. eléctrico, líneas inoxidables 3/8 tablero eléctrico con guarda motor y disyuntor línea de inyección con válvula de alivio y retorno a recipiente. Con TB</v>
          </cell>
          <cell r="D141" t="str">
            <v>Unid.</v>
          </cell>
          <cell r="F141">
            <v>103275</v>
          </cell>
        </row>
        <row r="142">
          <cell r="B142" t="str">
            <v>Equipo Dosificador 215lts. Neumático, líneas inoxidables 3/8 con reguladora neumática, línea de inyección con válvula de alivio y retorno a recipiente. Con TB</v>
          </cell>
          <cell r="D142" t="str">
            <v>Unid.</v>
          </cell>
          <cell r="F142">
            <v>88695</v>
          </cell>
        </row>
        <row r="143">
          <cell r="B143" t="str">
            <v>Equipo Dosificador 215lts.solar, líneas inoxidables 3/8, línea de inyección con válvula de alivio y retorno a recipiente, con soporte con caño 2" para pantalla sola. Con TB</v>
          </cell>
          <cell r="D143" t="str">
            <v>Unid.</v>
          </cell>
          <cell r="F143">
            <v>92205</v>
          </cell>
        </row>
        <row r="144">
          <cell r="B144" t="str">
            <v>Equipo Dosificador 410lts. Neumático, líneas inoxidables 3/8 con reguladoras neumática. línea de inyección con válvula de alivio y retorno a recipiente</v>
          </cell>
          <cell r="D144" t="str">
            <v>Unid.</v>
          </cell>
          <cell r="F144">
            <v>104490</v>
          </cell>
        </row>
        <row r="145">
          <cell r="B145" t="str">
            <v>Equipo Dosificador 410lts.electrico, líneas inoxidables 3/8 tablero eléctrico con guarda motor y disyuntor línea de inyección con válvula de alivio y retorno a recipiente.</v>
          </cell>
          <cell r="D145" t="str">
            <v>Unid.</v>
          </cell>
          <cell r="F145">
            <v>134797.5</v>
          </cell>
        </row>
        <row r="146">
          <cell r="B146" t="str">
            <v>Equipo Dosificador 410lts. solar, líneas inoxidables 3/8 línea de inyección con válvula de alivio y retorno a recipiente, con soporte en caño de 2" para pantalla solar.</v>
          </cell>
          <cell r="D146" t="str">
            <v>Unid.</v>
          </cell>
          <cell r="F146">
            <v>112860.00000000001</v>
          </cell>
        </row>
        <row r="147">
          <cell r="B147" t="str">
            <v>Equipo Dosificador 1000lts. neumático, líneas inoxidables 3/8 con reguladora neumática, línea de inyección con válvula de alivio y retorno a contenedor.</v>
          </cell>
          <cell r="D147" t="str">
            <v>Unid.</v>
          </cell>
          <cell r="F147">
            <v>141034.5</v>
          </cell>
        </row>
        <row r="148">
          <cell r="B148" t="str">
            <v xml:space="preserve">Equipo Dosificador 1000lts. eléctrico, líneas inoxidables 3/8, tablero eléctrico con guarda motor y disyuntor línea de inyección con válvula de alivio y retorno a contenedor </v>
          </cell>
          <cell r="D148" t="str">
            <v>Unid.</v>
          </cell>
          <cell r="F148">
            <v>163309.5</v>
          </cell>
        </row>
        <row r="149">
          <cell r="B149" t="str">
            <v>Equipo dosificador 1000lts. solar, líneas inoxidables 3/8 líneas de inyección con válvula de a alivio y retorno contenedor, con soporte en caño de 2" para pantalla solar</v>
          </cell>
          <cell r="D149" t="str">
            <v>Unid.</v>
          </cell>
          <cell r="F149">
            <v>152145</v>
          </cell>
        </row>
        <row r="150">
          <cell r="B150" t="str">
            <v>Separador de Gas en caño EC 40 de 6" con casquetes EC40 6" salidas de 1/2" soporte de apoyo desmontable con Angulo de 11/2x 1/4 $47650.00+iva</v>
          </cell>
          <cell r="D150" t="str">
            <v>Unid.</v>
          </cell>
          <cell r="F150">
            <v>64327.500000000007</v>
          </cell>
        </row>
        <row r="151">
          <cell r="D151" t="str">
            <v>Unid.</v>
          </cell>
        </row>
        <row r="152">
          <cell r="D152" t="str">
            <v>Unid.</v>
          </cell>
        </row>
        <row r="153">
          <cell r="B153" t="str">
            <v>BOMBAS</v>
          </cell>
        </row>
        <row r="154">
          <cell r="B154" t="str">
            <v>DEN/S 10Bombas Dosificadora a Émbolo Buzo de Accionamiento Neumático</v>
          </cell>
          <cell r="D154" t="str">
            <v>Unid.</v>
          </cell>
          <cell r="E154">
            <v>1035</v>
          </cell>
          <cell r="F154">
            <v>90303.75</v>
          </cell>
        </row>
        <row r="155">
          <cell r="B155" t="str">
            <v>DECI 10/70Dosificadora a embolo buzo de accionamiento eléctrico</v>
          </cell>
          <cell r="D155" t="str">
            <v>Unid.</v>
          </cell>
          <cell r="E155">
            <v>1473</v>
          </cell>
          <cell r="F155">
            <v>128519.25</v>
          </cell>
        </row>
        <row r="156">
          <cell r="B156" t="str">
            <v>DECI Caudal [14-192 l/d] Presión [200-120 bar]</v>
          </cell>
          <cell r="E156">
            <v>1112</v>
          </cell>
          <cell r="F156">
            <v>97022</v>
          </cell>
        </row>
        <row r="157">
          <cell r="B157" t="str">
            <v>DOSIVAC DENG 13</v>
          </cell>
          <cell r="D157" t="str">
            <v>Unid.</v>
          </cell>
          <cell r="E157">
            <v>2320</v>
          </cell>
          <cell r="F157">
            <v>202420</v>
          </cell>
        </row>
        <row r="158">
          <cell r="B158" t="str">
            <v>DOSIVAC DEN/S ( Viton® ) - ( Teflón® )</v>
          </cell>
          <cell r="D158" t="str">
            <v>Unid.</v>
          </cell>
          <cell r="E158">
            <v>984</v>
          </cell>
          <cell r="F158">
            <v>85854</v>
          </cell>
        </row>
        <row r="159">
          <cell r="B159" t="str">
            <v>DOSIVAC DEN/E ( Viton® ) - ( Teflón® )</v>
          </cell>
          <cell r="D159" t="str">
            <v>Unid.</v>
          </cell>
          <cell r="E159">
            <v>1224</v>
          </cell>
          <cell r="F159">
            <v>106794</v>
          </cell>
        </row>
        <row r="160">
          <cell r="B160" t="str">
            <v>DEON 06-13. Caudal [80-330 l/d] Presión [260-65 bar]</v>
          </cell>
          <cell r="D160" t="str">
            <v>Unid.</v>
          </cell>
          <cell r="E160">
            <v>728</v>
          </cell>
          <cell r="F160">
            <v>63518</v>
          </cell>
        </row>
        <row r="161">
          <cell r="B161" t="str">
            <v>MIRBLA ISM 225</v>
          </cell>
          <cell r="D161" t="str">
            <v>Unid.</v>
          </cell>
          <cell r="E161">
            <v>1414</v>
          </cell>
          <cell r="F161">
            <v>123371.5</v>
          </cell>
        </row>
        <row r="162">
          <cell r="B162" t="str">
            <v xml:space="preserve">WILDEN P.025 POLI/TEFLON  </v>
          </cell>
          <cell r="D162" t="str">
            <v>Unid.</v>
          </cell>
          <cell r="F162">
            <v>14700</v>
          </cell>
        </row>
        <row r="163">
          <cell r="B163" t="str">
            <v>FITING</v>
          </cell>
        </row>
        <row r="164">
          <cell r="B164" t="str">
            <v>TUBO INOX. 1/4" X 0,89 mm</v>
          </cell>
          <cell r="C164" t="str">
            <v>70-050-025</v>
          </cell>
          <cell r="D164" t="str">
            <v>Mts</v>
          </cell>
          <cell r="E164">
            <v>3.64</v>
          </cell>
          <cell r="F164">
            <v>317.59000000000003</v>
          </cell>
        </row>
        <row r="165">
          <cell r="B165" t="str">
            <v>TUBO INOX. 3/8" X 0,89 mm</v>
          </cell>
          <cell r="C165" t="str">
            <v>70-050-038</v>
          </cell>
          <cell r="D165" t="str">
            <v>Mts</v>
          </cell>
          <cell r="E165">
            <v>5.9</v>
          </cell>
          <cell r="F165">
            <v>514.77499999999998</v>
          </cell>
        </row>
        <row r="166">
          <cell r="B166" t="str">
            <v>TUBO INOX. 1/2" X 0,89 mm</v>
          </cell>
          <cell r="C166" t="str">
            <v>70-050-050</v>
          </cell>
          <cell r="D166" t="str">
            <v>Mts</v>
          </cell>
          <cell r="E166">
            <v>6.14</v>
          </cell>
          <cell r="F166">
            <v>535.71499999999992</v>
          </cell>
        </row>
        <row r="167">
          <cell r="B167" t="str">
            <v>VIROLA Y CONTRAVIROLA DE 1/4"</v>
          </cell>
          <cell r="C167" t="str">
            <v>32-080-025</v>
          </cell>
          <cell r="D167" t="str">
            <v>Unid.</v>
          </cell>
          <cell r="E167">
            <v>1.71</v>
          </cell>
          <cell r="F167">
            <v>149.19749999999999</v>
          </cell>
        </row>
        <row r="168">
          <cell r="B168" t="str">
            <v>VIROLA Y CONTRAVIROLA DE 3/8"</v>
          </cell>
          <cell r="C168" t="str">
            <v>32-080-038</v>
          </cell>
          <cell r="D168" t="str">
            <v>Unid.</v>
          </cell>
          <cell r="E168">
            <v>1.95</v>
          </cell>
          <cell r="F168">
            <v>170.13749999999999</v>
          </cell>
        </row>
        <row r="169">
          <cell r="B169" t="str">
            <v>VIROLA Y CONTRAVIROLA DE 1/2"</v>
          </cell>
          <cell r="C169" t="str">
            <v>32-080-050</v>
          </cell>
          <cell r="D169" t="str">
            <v>Unid.</v>
          </cell>
          <cell r="E169">
            <v>2.92</v>
          </cell>
          <cell r="F169">
            <v>254.76999999999998</v>
          </cell>
        </row>
        <row r="170">
          <cell r="B170" t="str">
            <v>TUERCA, VIROLA Y CONTRAVIROLA DE 1/4"</v>
          </cell>
          <cell r="C170" t="str">
            <v>32-090-025</v>
          </cell>
          <cell r="D170" t="str">
            <v>KIT</v>
          </cell>
          <cell r="E170">
            <v>3.65</v>
          </cell>
          <cell r="F170">
            <v>318.46249999999998</v>
          </cell>
        </row>
        <row r="171">
          <cell r="B171" t="str">
            <v>TUERCA, VIROLA Y CONTRAVIROLA DE 3/8"</v>
          </cell>
          <cell r="C171" t="str">
            <v>32-090-038</v>
          </cell>
          <cell r="D171" t="str">
            <v>KIT</v>
          </cell>
          <cell r="E171">
            <v>5.49</v>
          </cell>
          <cell r="F171">
            <v>479.0025</v>
          </cell>
        </row>
        <row r="172">
          <cell r="B172" t="str">
            <v>TUERCA, VIROLA Y CONTRAVIROLA DE 1/2"</v>
          </cell>
          <cell r="C172" t="str">
            <v>32-090-050</v>
          </cell>
          <cell r="D172" t="str">
            <v>KIT</v>
          </cell>
          <cell r="E172">
            <v>7.53</v>
          </cell>
          <cell r="F172">
            <v>656.99250000000006</v>
          </cell>
        </row>
        <row r="173">
          <cell r="B173" t="str">
            <v>BUJE DE REDUCCIÓN DE 1/2" X 1/4" AISI 316 S-3000</v>
          </cell>
          <cell r="C173" t="str">
            <v>32-100-150</v>
          </cell>
          <cell r="D173" t="str">
            <v>Unid.</v>
          </cell>
          <cell r="E173">
            <v>5.83</v>
          </cell>
          <cell r="F173">
            <v>508.66750000000002</v>
          </cell>
        </row>
        <row r="174">
          <cell r="B174" t="str">
            <v>BUJE DE REDUCCIÓN DE 1" x 1/2" AISI 316 S-3000</v>
          </cell>
          <cell r="C174" t="str">
            <v>32-100-175</v>
          </cell>
          <cell r="D174" t="str">
            <v>Unid.</v>
          </cell>
          <cell r="E174">
            <v>13.56</v>
          </cell>
          <cell r="F174">
            <v>1183.1100000000001</v>
          </cell>
        </row>
        <row r="175">
          <cell r="B175" t="str">
            <v>CODO 90° de 1/4" NPT AISI 316 S-3000</v>
          </cell>
          <cell r="C175" t="str">
            <v>32-200-225</v>
          </cell>
          <cell r="D175" t="str">
            <v>Unid.</v>
          </cell>
          <cell r="E175">
            <v>12.63</v>
          </cell>
          <cell r="F175">
            <v>1101.9675</v>
          </cell>
        </row>
        <row r="176">
          <cell r="B176" t="str">
            <v>CODO 90°  de 1/2" NPT AISI 316 S-3000</v>
          </cell>
          <cell r="C176" t="str">
            <v>32-200-250</v>
          </cell>
          <cell r="D176" t="str">
            <v>Unid.</v>
          </cell>
          <cell r="E176">
            <v>25.302</v>
          </cell>
          <cell r="F176">
            <v>2207.5994999999998</v>
          </cell>
        </row>
        <row r="177">
          <cell r="B177" t="str">
            <v>CUPLA DE 1/4" AISI 316 S-3000</v>
          </cell>
          <cell r="C177" t="str">
            <v>32-300-702</v>
          </cell>
          <cell r="D177" t="str">
            <v>Unid.</v>
          </cell>
          <cell r="E177">
            <v>5.2</v>
          </cell>
          <cell r="F177">
            <v>453.7</v>
          </cell>
        </row>
        <row r="178">
          <cell r="B178" t="str">
            <v>CUPLA DE 3/8" AISI 316 S-3000</v>
          </cell>
          <cell r="C178" t="str">
            <v>32-300-704</v>
          </cell>
          <cell r="D178" t="str">
            <v>Unid.</v>
          </cell>
          <cell r="E178">
            <v>6.22</v>
          </cell>
          <cell r="F178">
            <v>542.69499999999994</v>
          </cell>
        </row>
        <row r="179">
          <cell r="B179" t="str">
            <v>CUPLA DE 1/2" AISI 316 S-3000</v>
          </cell>
          <cell r="C179" t="str">
            <v>32-300-705</v>
          </cell>
          <cell r="D179" t="str">
            <v>Unid.</v>
          </cell>
          <cell r="E179">
            <v>8.7899999999999991</v>
          </cell>
          <cell r="F179">
            <v>766.9274999999999</v>
          </cell>
        </row>
        <row r="180">
          <cell r="B180" t="str">
            <v>ENTRERROSCA DE 3/8" AISI 316 S-3000</v>
          </cell>
          <cell r="C180" t="str">
            <v>32-400-540</v>
          </cell>
          <cell r="D180" t="str">
            <v>Unid.</v>
          </cell>
          <cell r="E180">
            <v>5.97</v>
          </cell>
          <cell r="F180">
            <v>520.88249999999994</v>
          </cell>
        </row>
        <row r="181">
          <cell r="B181" t="str">
            <v>ENTRERROSCA DE 1/2" AISI 316 S-3000</v>
          </cell>
          <cell r="C181" t="str">
            <v>32-400-550</v>
          </cell>
          <cell r="D181" t="str">
            <v>Unid.</v>
          </cell>
          <cell r="E181">
            <v>7.04</v>
          </cell>
          <cell r="F181">
            <v>614.24</v>
          </cell>
        </row>
        <row r="182">
          <cell r="B182" t="str">
            <v>CONECTOR CODO 1/4" OD X 1/4" NPT</v>
          </cell>
          <cell r="C182" t="str">
            <v>32-500-110</v>
          </cell>
          <cell r="D182" t="str">
            <v>Unid.</v>
          </cell>
          <cell r="E182">
            <v>11.34</v>
          </cell>
          <cell r="F182">
            <v>989.41499999999996</v>
          </cell>
        </row>
        <row r="183">
          <cell r="B183" t="str">
            <v>CONECTOR CODO 1/4" OD X 1/2" NPT</v>
          </cell>
          <cell r="C183" t="str">
            <v>32-500-120</v>
          </cell>
          <cell r="D183" t="str">
            <v>Unid.</v>
          </cell>
          <cell r="E183">
            <v>14.86</v>
          </cell>
          <cell r="F183">
            <v>1296.5349999999999</v>
          </cell>
        </row>
        <row r="184">
          <cell r="B184" t="str">
            <v>CONECTOR CODO 3/8" OD A 1/4" NPT</v>
          </cell>
          <cell r="C184" t="str">
            <v>32-500-300</v>
          </cell>
          <cell r="D184" t="str">
            <v>Unid.</v>
          </cell>
          <cell r="E184">
            <v>12.34</v>
          </cell>
          <cell r="F184">
            <v>1076.665</v>
          </cell>
        </row>
        <row r="185">
          <cell r="B185" t="str">
            <v>CONECTOR CODO 3/8" OD A 1/2" NPT</v>
          </cell>
          <cell r="C185" t="str">
            <v>32-500-350</v>
          </cell>
          <cell r="D185" t="str">
            <v>Unid.</v>
          </cell>
          <cell r="E185">
            <v>16.18</v>
          </cell>
          <cell r="F185">
            <v>1411.7049999999999</v>
          </cell>
        </row>
        <row r="186">
          <cell r="B186" t="str">
            <v>CONECTOR CODO 1/2" OD X 1/2" NPT</v>
          </cell>
          <cell r="C186" t="str">
            <v>32-500-380</v>
          </cell>
          <cell r="D186" t="str">
            <v>Unid.</v>
          </cell>
          <cell r="E186">
            <v>18.46</v>
          </cell>
          <cell r="F186">
            <v>1610.635</v>
          </cell>
        </row>
        <row r="187">
          <cell r="B187" t="str">
            <v>CONECTOR RECTO 1/4" OD X 1/4" NPT.</v>
          </cell>
          <cell r="C187" t="str">
            <v>32-600-125</v>
          </cell>
          <cell r="D187" t="str">
            <v>Unid.</v>
          </cell>
          <cell r="E187">
            <v>7.14</v>
          </cell>
          <cell r="F187">
            <v>622.96499999999992</v>
          </cell>
        </row>
        <row r="188">
          <cell r="B188" t="str">
            <v>CONECTOR RECTO 1/4" OD X 1/2" NPT.</v>
          </cell>
          <cell r="C188" t="str">
            <v>32-600-175</v>
          </cell>
          <cell r="D188" t="str">
            <v>Unid.</v>
          </cell>
          <cell r="E188">
            <v>9.92</v>
          </cell>
          <cell r="F188">
            <v>865.52</v>
          </cell>
        </row>
        <row r="189">
          <cell r="B189" t="str">
            <v>CONECTOR RECTO 3/8" OD X 1/2" NPT</v>
          </cell>
          <cell r="C189" t="str">
            <v>32-600-350</v>
          </cell>
          <cell r="D189" t="str">
            <v>Unid.</v>
          </cell>
          <cell r="E189">
            <v>11.38</v>
          </cell>
          <cell r="F189">
            <v>992.90500000000009</v>
          </cell>
        </row>
        <row r="190">
          <cell r="B190" t="str">
            <v>CONECTOR RECTO 1/2" OD X 1/4" NPT.</v>
          </cell>
          <cell r="C190" t="str">
            <v>32-600-405</v>
          </cell>
          <cell r="D190" t="str">
            <v>Unid.</v>
          </cell>
          <cell r="E190">
            <v>13.21</v>
          </cell>
          <cell r="F190">
            <v>1152.5725</v>
          </cell>
        </row>
        <row r="191">
          <cell r="B191" t="str">
            <v>CONECTOR RECTO 1/2" OD X 1/2" NPT</v>
          </cell>
          <cell r="C191" t="str">
            <v>32-600-460</v>
          </cell>
          <cell r="D191" t="str">
            <v>Unid.</v>
          </cell>
          <cell r="E191">
            <v>13.12</v>
          </cell>
          <cell r="F191">
            <v>1144.72</v>
          </cell>
        </row>
        <row r="192">
          <cell r="B192" t="str">
            <v>TAPONES 1/4" NPT AISI 316 S-3000</v>
          </cell>
          <cell r="C192" t="str">
            <v>32-700-025</v>
          </cell>
          <cell r="D192" t="str">
            <v>Unid.</v>
          </cell>
          <cell r="E192">
            <v>2.14</v>
          </cell>
          <cell r="F192">
            <v>186.715</v>
          </cell>
        </row>
        <row r="193">
          <cell r="B193" t="str">
            <v>TAPONES 3/8" NPT AISI 316 S-3000</v>
          </cell>
          <cell r="C193" t="str">
            <v>32-700-038</v>
          </cell>
          <cell r="D193" t="str">
            <v>Unid.</v>
          </cell>
          <cell r="E193">
            <v>3.64</v>
          </cell>
          <cell r="F193">
            <v>317.59000000000003</v>
          </cell>
        </row>
        <row r="194">
          <cell r="B194" t="str">
            <v>TE NORMAL DE 1/4" OD OD OD AISI 316</v>
          </cell>
          <cell r="C194" t="str">
            <v>32-800-225</v>
          </cell>
          <cell r="D194" t="str">
            <v>Unid.</v>
          </cell>
          <cell r="E194">
            <v>20.12</v>
          </cell>
          <cell r="F194">
            <v>1755.47</v>
          </cell>
        </row>
        <row r="195">
          <cell r="B195" t="str">
            <v>TE NORMAL DE  3/8" OD OD OD AISI 316</v>
          </cell>
          <cell r="C195" t="str">
            <v>32-800-258</v>
          </cell>
          <cell r="D195" t="str">
            <v>Unid.</v>
          </cell>
          <cell r="E195">
            <v>25.46</v>
          </cell>
          <cell r="F195">
            <v>2221.3850000000002</v>
          </cell>
        </row>
        <row r="196">
          <cell r="B196" t="str">
            <v>TE NORMAL DE 1/2" HHH NPT. AISI 316 S-3000</v>
          </cell>
          <cell r="C196" t="str">
            <v>32-800-650</v>
          </cell>
          <cell r="D196" t="str">
            <v>Unid.</v>
          </cell>
          <cell r="E196">
            <v>34.630000000000003</v>
          </cell>
          <cell r="F196">
            <v>3021.4675000000002</v>
          </cell>
        </row>
        <row r="197">
          <cell r="B197" t="str">
            <v>UNION CODO 1/4" OD X 1/4" OD AISI 316</v>
          </cell>
          <cell r="C197" t="str">
            <v>32-815-325</v>
          </cell>
          <cell r="D197" t="str">
            <v>Unid.</v>
          </cell>
          <cell r="E197">
            <v>15.69</v>
          </cell>
          <cell r="F197">
            <v>1368.9524999999999</v>
          </cell>
        </row>
        <row r="198">
          <cell r="B198" t="str">
            <v>UNIÓN RECTA 1/4" OD X 1/4" OD AISI 316</v>
          </cell>
          <cell r="C198" t="str">
            <v>32-820-305</v>
          </cell>
          <cell r="D198" t="str">
            <v>Unid.</v>
          </cell>
          <cell r="E198">
            <v>10.45</v>
          </cell>
          <cell r="F198">
            <v>911.76249999999993</v>
          </cell>
        </row>
        <row r="199">
          <cell r="B199" t="str">
            <v>UNIÓN RECTA 3/8" OD X 3/8" OD AISI 316</v>
          </cell>
          <cell r="C199" t="str">
            <v>32-820-330</v>
          </cell>
          <cell r="D199" t="str">
            <v>Unid.</v>
          </cell>
          <cell r="E199">
            <v>12.97</v>
          </cell>
          <cell r="F199">
            <v>1131.6325000000002</v>
          </cell>
        </row>
        <row r="200">
          <cell r="B200" t="str">
            <v>UNIÓN RECTA 1/2" OD  X  1/2" OD AISI 316</v>
          </cell>
          <cell r="C200" t="str">
            <v>32-820-350</v>
          </cell>
          <cell r="D200" t="str">
            <v>Unid.</v>
          </cell>
          <cell r="E200">
            <v>20.27</v>
          </cell>
          <cell r="F200">
            <v>1768.5574999999999</v>
          </cell>
        </row>
        <row r="201">
          <cell r="B201" t="str">
            <v>FILTRO "Y" DE 1/2" ACERO INOXIDABLE S-3000</v>
          </cell>
          <cell r="C201" t="str">
            <v>32-900-100</v>
          </cell>
          <cell r="D201" t="str">
            <v>Unid.</v>
          </cell>
          <cell r="E201">
            <v>160.88</v>
          </cell>
          <cell r="F201">
            <v>14036.779999999999</v>
          </cell>
        </row>
        <row r="202">
          <cell r="B202" t="str">
            <v>PASACHAPA 3/8" OD AISI 316.</v>
          </cell>
          <cell r="C202" t="str">
            <v>32-900-120</v>
          </cell>
          <cell r="D202" t="str">
            <v>Unid.</v>
          </cell>
          <cell r="E202">
            <v>23.36</v>
          </cell>
          <cell r="F202">
            <v>2038.1599999999999</v>
          </cell>
        </row>
        <row r="203">
          <cell r="B203" t="str">
            <v>REGULADORA DE 1/4"S/ LUBRICADOR, RANGO 0-100 PSI</v>
          </cell>
          <cell r="C203" t="str">
            <v>32-900-130</v>
          </cell>
          <cell r="D203" t="str">
            <v>Unid.</v>
          </cell>
          <cell r="E203">
            <v>57.69</v>
          </cell>
          <cell r="F203">
            <v>5033.4524999999994</v>
          </cell>
        </row>
        <row r="204">
          <cell r="B204" t="str">
            <v>VÁLVULA DE RETENCIÓN ABAC 1/4".</v>
          </cell>
          <cell r="C204" t="str">
            <v>89-700-300</v>
          </cell>
          <cell r="D204" t="str">
            <v>Unid.</v>
          </cell>
          <cell r="E204">
            <v>39</v>
          </cell>
          <cell r="F204">
            <v>3402.75</v>
          </cell>
        </row>
        <row r="205">
          <cell r="B205" t="str">
            <v>VÁLVULA DE RETENCIÓN ABAC 3/8".</v>
          </cell>
          <cell r="C205" t="str">
            <v>89-700-308</v>
          </cell>
          <cell r="D205" t="str">
            <v>Unid.</v>
          </cell>
          <cell r="E205">
            <v>51</v>
          </cell>
          <cell r="F205">
            <v>4449.75</v>
          </cell>
        </row>
        <row r="206">
          <cell r="B206" t="str">
            <v>VÁLVULA DE RETENCIÓN ABAC 1/2".</v>
          </cell>
          <cell r="C206" t="str">
            <v>89-700-315</v>
          </cell>
          <cell r="D206" t="str">
            <v>Unid.</v>
          </cell>
          <cell r="E206">
            <v>56.36</v>
          </cell>
          <cell r="F206">
            <v>4917.41</v>
          </cell>
        </row>
        <row r="207">
          <cell r="B207" t="str">
            <v>REGULADORA DE PRESION FR 1301</v>
          </cell>
          <cell r="D207" t="str">
            <v>Unid.</v>
          </cell>
          <cell r="E207">
            <v>295</v>
          </cell>
          <cell r="F207">
            <v>25738.75</v>
          </cell>
        </row>
        <row r="208">
          <cell r="B208" t="str">
            <v>Cable 4 x 3 soterrado</v>
          </cell>
          <cell r="D208" t="str">
            <v>Mts</v>
          </cell>
          <cell r="E208">
            <v>1.68</v>
          </cell>
          <cell r="F208">
            <v>146.57999999999998</v>
          </cell>
        </row>
        <row r="209">
          <cell r="B209" t="str">
            <v>Pintura PQB</v>
          </cell>
          <cell r="D209" t="str">
            <v>Lts</v>
          </cell>
          <cell r="E209">
            <v>12</v>
          </cell>
          <cell r="F209">
            <v>1047</v>
          </cell>
        </row>
        <row r="210">
          <cell r="B210" t="str">
            <v>REPESTOS BOMBAS DOSIVAC</v>
          </cell>
        </row>
        <row r="211">
          <cell r="B211" t="str">
            <v>Kit de empaquetaduras DE/DECI/DEN</v>
          </cell>
          <cell r="D211" t="str">
            <v>Unid.</v>
          </cell>
          <cell r="E211">
            <v>33</v>
          </cell>
          <cell r="F211">
            <v>2879.25</v>
          </cell>
        </row>
        <row r="212">
          <cell r="B212" t="str">
            <v>Kit de empaquetaduras DEON</v>
          </cell>
          <cell r="D212" t="str">
            <v>Unid.</v>
          </cell>
          <cell r="E212">
            <v>72</v>
          </cell>
          <cell r="F212">
            <v>6282</v>
          </cell>
        </row>
        <row r="213">
          <cell r="B213" t="str">
            <v>Conjunto de valvulas DE/DECI/DEN</v>
          </cell>
          <cell r="D213" t="str">
            <v>Unid.</v>
          </cell>
          <cell r="E213">
            <v>85</v>
          </cell>
          <cell r="F213">
            <v>7416.25</v>
          </cell>
        </row>
        <row r="214">
          <cell r="B214" t="str">
            <v>Kit de válvula cabezal DE/DECI/DEN</v>
          </cell>
          <cell r="D214" t="str">
            <v>Unid.</v>
          </cell>
          <cell r="E214">
            <v>121</v>
          </cell>
          <cell r="F214">
            <v>10557.25</v>
          </cell>
        </row>
        <row r="215">
          <cell r="B215" t="str">
            <v>Kit de valvulas DEON</v>
          </cell>
          <cell r="D215" t="str">
            <v>Unid.</v>
          </cell>
          <cell r="E215">
            <v>42</v>
          </cell>
          <cell r="F215">
            <v>3664.5</v>
          </cell>
        </row>
        <row r="216">
          <cell r="B216" t="str">
            <v>Embolo buzo  DE/DECI/DEN</v>
          </cell>
          <cell r="D216" t="str">
            <v>Unid.</v>
          </cell>
          <cell r="E216">
            <v>130</v>
          </cell>
          <cell r="F216">
            <v>11342.5</v>
          </cell>
        </row>
        <row r="217">
          <cell r="B217" t="str">
            <v>Embolo buzo  DEON</v>
          </cell>
          <cell r="D217" t="str">
            <v>Unid.</v>
          </cell>
          <cell r="E217">
            <v>148</v>
          </cell>
          <cell r="F217">
            <v>12913</v>
          </cell>
        </row>
        <row r="218">
          <cell r="B218" t="str">
            <v>Valvula bolilla ceramica</v>
          </cell>
          <cell r="D218" t="str">
            <v>Unid.</v>
          </cell>
          <cell r="E218">
            <v>61.6</v>
          </cell>
          <cell r="F218">
            <v>5374.6</v>
          </cell>
        </row>
        <row r="219">
          <cell r="B219" t="str">
            <v>Grifo de purga</v>
          </cell>
          <cell r="D219" t="str">
            <v>Unid.</v>
          </cell>
          <cell r="E219">
            <v>3.2</v>
          </cell>
          <cell r="F219">
            <v>279.2</v>
          </cell>
        </row>
        <row r="220">
          <cell r="B220" t="str">
            <v>Rodamiento de mando</v>
          </cell>
          <cell r="D220" t="str">
            <v>Unid.</v>
          </cell>
          <cell r="E220">
            <v>12.8</v>
          </cell>
          <cell r="F220">
            <v>1116.8</v>
          </cell>
        </row>
        <row r="221">
          <cell r="B221" t="str">
            <v>Kit visor</v>
          </cell>
          <cell r="D221" t="str">
            <v>Unid.</v>
          </cell>
          <cell r="E221">
            <v>12</v>
          </cell>
          <cell r="F221">
            <v>1047</v>
          </cell>
        </row>
        <row r="222">
          <cell r="B222" t="str">
            <v>Kit tapón de carga de aceite</v>
          </cell>
          <cell r="D222" t="str">
            <v>Unid.</v>
          </cell>
          <cell r="E222">
            <v>8.8000000000000007</v>
          </cell>
          <cell r="F222">
            <v>767.80000000000007</v>
          </cell>
        </row>
        <row r="223">
          <cell r="B223" t="str">
            <v>Limpia vástago wipper</v>
          </cell>
          <cell r="D223" t="str">
            <v>Unid.</v>
          </cell>
          <cell r="E223">
            <v>13</v>
          </cell>
          <cell r="F223">
            <v>1134.25</v>
          </cell>
        </row>
        <row r="224">
          <cell r="B224" t="str">
            <v>Kit de juntas DEC</v>
          </cell>
          <cell r="D224" t="str">
            <v>Unid.</v>
          </cell>
          <cell r="E224">
            <v>18.399999999999999</v>
          </cell>
          <cell r="F224">
            <v>1605.3999999999999</v>
          </cell>
        </row>
        <row r="225">
          <cell r="B225" t="str">
            <v>Conjunto cabezal DEC/DEN</v>
          </cell>
          <cell r="D225" t="str">
            <v>Unid.</v>
          </cell>
          <cell r="E225">
            <v>357</v>
          </cell>
          <cell r="F225">
            <v>31148.25</v>
          </cell>
        </row>
        <row r="226">
          <cell r="B226" t="str">
            <v>Motor de accionamiento</v>
          </cell>
          <cell r="D226" t="str">
            <v>Unid.</v>
          </cell>
          <cell r="E226">
            <v>320</v>
          </cell>
          <cell r="F226">
            <v>27920</v>
          </cell>
        </row>
        <row r="227">
          <cell r="B227" t="str">
            <v>Cabezal DEON</v>
          </cell>
          <cell r="D227" t="str">
            <v>Unid.</v>
          </cell>
          <cell r="E227">
            <v>2121</v>
          </cell>
          <cell r="F227">
            <v>185057.25</v>
          </cell>
        </row>
        <row r="228">
          <cell r="B228" t="str">
            <v>Oscilador DEON</v>
          </cell>
          <cell r="D228" t="str">
            <v>Unid.</v>
          </cell>
          <cell r="E228">
            <v>96</v>
          </cell>
          <cell r="F228">
            <v>8376</v>
          </cell>
        </row>
        <row r="229">
          <cell r="B229" t="str">
            <v>U Paking DEON</v>
          </cell>
          <cell r="D229" t="str">
            <v>Unid.</v>
          </cell>
          <cell r="E229">
            <v>5.6</v>
          </cell>
          <cell r="F229">
            <v>488.59999999999997</v>
          </cell>
        </row>
        <row r="230">
          <cell r="B230" t="str">
            <v>Kit de juntas DEN (Carter y distribuidor)</v>
          </cell>
          <cell r="D230" t="str">
            <v>Unid.</v>
          </cell>
          <cell r="E230">
            <v>25</v>
          </cell>
          <cell r="F230">
            <v>2181.25</v>
          </cell>
        </row>
        <row r="231">
          <cell r="B231" t="str">
            <v>Diafragma motor</v>
          </cell>
          <cell r="D231" t="str">
            <v>Unid.</v>
          </cell>
          <cell r="E231">
            <v>58</v>
          </cell>
          <cell r="F231">
            <v>5060.5</v>
          </cell>
        </row>
        <row r="232">
          <cell r="B232" t="str">
            <v>Diafragma de servo valvula</v>
          </cell>
          <cell r="D232" t="str">
            <v>Unid.</v>
          </cell>
          <cell r="E232">
            <v>10</v>
          </cell>
          <cell r="F232">
            <v>872.5</v>
          </cell>
        </row>
        <row r="233">
          <cell r="B233" t="str">
            <v>Distribuidor DEN</v>
          </cell>
          <cell r="D233" t="str">
            <v>Unid.</v>
          </cell>
          <cell r="E233">
            <v>300</v>
          </cell>
          <cell r="F233">
            <v>26175</v>
          </cell>
        </row>
        <row r="234">
          <cell r="B234" t="str">
            <v>Servo valvula DEN</v>
          </cell>
          <cell r="D234" t="str">
            <v>Unid.</v>
          </cell>
          <cell r="E234">
            <v>247</v>
          </cell>
          <cell r="F234">
            <v>21550.75</v>
          </cell>
        </row>
        <row r="235">
          <cell r="B235" t="str">
            <v>Regulador de presión</v>
          </cell>
          <cell r="D235" t="str">
            <v>Unid.</v>
          </cell>
          <cell r="E235">
            <v>149</v>
          </cell>
          <cell r="F235">
            <v>13000.25</v>
          </cell>
        </row>
        <row r="236">
          <cell r="B236" t="str">
            <v>Resorte DEN/S y DEN/E</v>
          </cell>
          <cell r="D236" t="str">
            <v>Unid.</v>
          </cell>
          <cell r="E236">
            <v>14</v>
          </cell>
          <cell r="F236">
            <v>1221.5</v>
          </cell>
        </row>
        <row r="237">
          <cell r="B237" t="str">
            <v>Regulador de caudal</v>
          </cell>
          <cell r="D237" t="str">
            <v>Unid.</v>
          </cell>
          <cell r="E237">
            <v>44</v>
          </cell>
          <cell r="F237">
            <v>3839</v>
          </cell>
        </row>
        <row r="238">
          <cell r="B238" t="str">
            <v>CONTROL SATELITAL</v>
          </cell>
        </row>
        <row r="239">
          <cell r="B239" t="str">
            <v>Equipo transmisión satelital</v>
          </cell>
          <cell r="D239" t="str">
            <v>Unid.</v>
          </cell>
          <cell r="E239">
            <v>1000</v>
          </cell>
          <cell r="F239">
            <v>87250</v>
          </cell>
        </row>
        <row r="240">
          <cell r="B240" t="str">
            <v>Equipo de alimentación solar (panel 120W-Batería 65A-Inversor 300W)</v>
          </cell>
          <cell r="D240" t="str">
            <v>Unid.</v>
          </cell>
          <cell r="E240">
            <v>600</v>
          </cell>
          <cell r="F240">
            <v>52350</v>
          </cell>
        </row>
        <row r="241">
          <cell r="B241" t="str">
            <v>Instalación del sistema</v>
          </cell>
          <cell r="D241" t="str">
            <v>Unid.</v>
          </cell>
          <cell r="E241">
            <v>100</v>
          </cell>
          <cell r="F241">
            <v>8725</v>
          </cell>
        </row>
        <row r="242">
          <cell r="B242" t="str">
            <v>Internet satelital</v>
          </cell>
          <cell r="C242" t="str">
            <v>Activación</v>
          </cell>
          <cell r="E242">
            <v>1200</v>
          </cell>
          <cell r="F242">
            <v>104700</v>
          </cell>
        </row>
        <row r="243">
          <cell r="C243" t="str">
            <v>Abono mensual</v>
          </cell>
          <cell r="E243">
            <v>410</v>
          </cell>
          <cell r="F243">
            <v>35772.5</v>
          </cell>
        </row>
        <row r="244">
          <cell r="C244" t="str">
            <v>Telefonia (abono mensual)</v>
          </cell>
          <cell r="E244">
            <v>75</v>
          </cell>
          <cell r="F244">
            <v>6543.75</v>
          </cell>
        </row>
        <row r="245">
          <cell r="C245" t="str">
            <v>Asistencia técnica en campo</v>
          </cell>
          <cell r="E245">
            <v>350</v>
          </cell>
          <cell r="F245">
            <v>30537.5</v>
          </cell>
        </row>
        <row r="246">
          <cell r="C246" t="str">
            <v>Km recorrido a partir de 80 km de NQN cap.</v>
          </cell>
          <cell r="E246">
            <v>0.5</v>
          </cell>
          <cell r="F246">
            <v>43.625</v>
          </cell>
        </row>
        <row r="248">
          <cell r="B248" t="str">
            <v>Herramientas e insumos</v>
          </cell>
        </row>
        <row r="250">
          <cell r="B250" t="str">
            <v>Descripción</v>
          </cell>
          <cell r="C250" t="str">
            <v>Codigo AS400</v>
          </cell>
          <cell r="D250" t="str">
            <v>UM</v>
          </cell>
          <cell r="E250" t="str">
            <v>Costo U$S</v>
          </cell>
          <cell r="F250" t="str">
            <v>Costo AR$</v>
          </cell>
        </row>
        <row r="251">
          <cell r="B251" t="str">
            <v>HERRAMINTAS</v>
          </cell>
        </row>
        <row r="252">
          <cell r="B252" t="str">
            <v>Caja de herramientas</v>
          </cell>
          <cell r="D252" t="str">
            <v>Unid.</v>
          </cell>
          <cell r="E252">
            <v>35</v>
          </cell>
          <cell r="F252">
            <v>3053.75</v>
          </cell>
        </row>
        <row r="253">
          <cell r="B253" t="str">
            <v>Juego de destornilladores Philips</v>
          </cell>
          <cell r="D253" t="str">
            <v>Unid.</v>
          </cell>
          <cell r="E253">
            <v>22</v>
          </cell>
          <cell r="F253">
            <v>1919.5</v>
          </cell>
        </row>
        <row r="254">
          <cell r="B254" t="str">
            <v>Juego de destornilladores Planos</v>
          </cell>
          <cell r="D254" t="str">
            <v>Unid.</v>
          </cell>
          <cell r="E254">
            <v>18</v>
          </cell>
          <cell r="F254">
            <v>1570.5</v>
          </cell>
        </row>
        <row r="255">
          <cell r="B255" t="str">
            <v>Llave Francesa Bacho 18"</v>
          </cell>
          <cell r="D255" t="str">
            <v>Unid.</v>
          </cell>
          <cell r="E255">
            <v>135</v>
          </cell>
          <cell r="F255">
            <v>11778.75</v>
          </cell>
        </row>
        <row r="256">
          <cell r="B256" t="str">
            <v>Llave Francesa Bacho 10"</v>
          </cell>
          <cell r="D256" t="str">
            <v>Unid.</v>
          </cell>
          <cell r="E256">
            <v>50</v>
          </cell>
          <cell r="F256">
            <v>4362.5</v>
          </cell>
        </row>
        <row r="257">
          <cell r="B257" t="str">
            <v>Stilson RIGID 24" aluminio</v>
          </cell>
          <cell r="D257" t="str">
            <v>Unid.</v>
          </cell>
          <cell r="E257">
            <v>221</v>
          </cell>
          <cell r="F257">
            <v>19282.25</v>
          </cell>
        </row>
        <row r="258">
          <cell r="B258" t="str">
            <v>Stilson RIGID 18" aluminio</v>
          </cell>
          <cell r="D258" t="str">
            <v>Unid.</v>
          </cell>
          <cell r="E258">
            <v>142</v>
          </cell>
          <cell r="F258">
            <v>12389.5</v>
          </cell>
        </row>
        <row r="259">
          <cell r="B259" t="str">
            <v>Pinza de fuerza</v>
          </cell>
          <cell r="D259" t="str">
            <v>Unid.</v>
          </cell>
          <cell r="E259">
            <v>27</v>
          </cell>
          <cell r="F259">
            <v>2355.75</v>
          </cell>
        </row>
        <row r="260">
          <cell r="B260" t="str">
            <v>Pinza Pico Loro</v>
          </cell>
          <cell r="D260" t="str">
            <v>Unid.</v>
          </cell>
          <cell r="E260">
            <v>18</v>
          </cell>
          <cell r="F260">
            <v>1570.5</v>
          </cell>
        </row>
        <row r="261">
          <cell r="B261" t="str">
            <v>Pinza</v>
          </cell>
          <cell r="D261" t="str">
            <v>Unid.</v>
          </cell>
          <cell r="E261">
            <v>19</v>
          </cell>
          <cell r="F261">
            <v>1657.75</v>
          </cell>
        </row>
        <row r="262">
          <cell r="B262" t="str">
            <v xml:space="preserve">Juego de llaves fijas 8  a 24 mm </v>
          </cell>
          <cell r="D262" t="str">
            <v>Unid.</v>
          </cell>
          <cell r="E262">
            <v>120</v>
          </cell>
          <cell r="F262">
            <v>10470</v>
          </cell>
        </row>
        <row r="263">
          <cell r="B263" t="str">
            <v>Juego de llaves fijas 7/8 a 1 "</v>
          </cell>
          <cell r="D263" t="str">
            <v>Unid.</v>
          </cell>
          <cell r="E263">
            <v>120</v>
          </cell>
          <cell r="F263">
            <v>10470</v>
          </cell>
        </row>
        <row r="264">
          <cell r="B264" t="str">
            <v>Maza anti chispa 3 Kg</v>
          </cell>
          <cell r="D264" t="str">
            <v>Unid.</v>
          </cell>
          <cell r="E264">
            <v>122</v>
          </cell>
          <cell r="F264">
            <v>10644.5</v>
          </cell>
        </row>
        <row r="265">
          <cell r="B265" t="str">
            <v>Pala Plana</v>
          </cell>
          <cell r="D265" t="str">
            <v>Unid.</v>
          </cell>
          <cell r="E265">
            <v>72</v>
          </cell>
          <cell r="F265">
            <v>6282</v>
          </cell>
        </row>
        <row r="266">
          <cell r="B266" t="str">
            <v>Cepillo de acero</v>
          </cell>
          <cell r="D266" t="str">
            <v>Unid.</v>
          </cell>
          <cell r="E266">
            <v>2</v>
          </cell>
          <cell r="F266">
            <v>174.5</v>
          </cell>
        </row>
        <row r="267">
          <cell r="B267" t="str">
            <v>Cinta metrica de 5 m</v>
          </cell>
          <cell r="D267" t="str">
            <v>Unid.</v>
          </cell>
          <cell r="E267">
            <v>17</v>
          </cell>
          <cell r="F267">
            <v>1483.25</v>
          </cell>
        </row>
        <row r="268">
          <cell r="B268" t="str">
            <v>Cronometro</v>
          </cell>
          <cell r="D268" t="str">
            <v>Unid.</v>
          </cell>
          <cell r="E268">
            <v>55</v>
          </cell>
          <cell r="F268">
            <v>4798.75</v>
          </cell>
        </row>
        <row r="269">
          <cell r="B269" t="str">
            <v>Corta tubing de 1/4"</v>
          </cell>
          <cell r="D269" t="str">
            <v>Unid.</v>
          </cell>
          <cell r="E269">
            <v>168</v>
          </cell>
          <cell r="F269">
            <v>14658</v>
          </cell>
        </row>
        <row r="270">
          <cell r="B270" t="str">
            <v>Dobladora tubing de 1/4"</v>
          </cell>
          <cell r="D270" t="str">
            <v>Unid.</v>
          </cell>
          <cell r="E270">
            <v>260</v>
          </cell>
          <cell r="F270">
            <v>22685</v>
          </cell>
        </row>
        <row r="271">
          <cell r="B271" t="str">
            <v>LLAVE DE GOLPE 1-5/8"</v>
          </cell>
          <cell r="D271" t="str">
            <v>Unid.</v>
          </cell>
          <cell r="E271">
            <v>18</v>
          </cell>
          <cell r="F271">
            <v>1570.5</v>
          </cell>
        </row>
        <row r="272">
          <cell r="B272" t="str">
            <v>LLAVE DE GOLPE 1-7/8"</v>
          </cell>
          <cell r="D272" t="str">
            <v>Unid.</v>
          </cell>
          <cell r="E272">
            <v>28</v>
          </cell>
          <cell r="F272">
            <v>2443</v>
          </cell>
        </row>
        <row r="273">
          <cell r="B273" t="str">
            <v>LLAVE DE GOLPE 2"</v>
          </cell>
          <cell r="D273" t="str">
            <v>Unid.</v>
          </cell>
          <cell r="E273">
            <v>35</v>
          </cell>
          <cell r="F273">
            <v>3053.75</v>
          </cell>
        </row>
        <row r="274">
          <cell r="B274" t="str">
            <v>MANGO DE FUERZA Eng 1/2"</v>
          </cell>
          <cell r="D274" t="str">
            <v>Unid.</v>
          </cell>
          <cell r="E274">
            <v>44</v>
          </cell>
          <cell r="F274">
            <v>3839</v>
          </cell>
        </row>
        <row r="275">
          <cell r="B275" t="str">
            <v>EQUIPO DETECTOR 4 GASES</v>
          </cell>
          <cell r="D275" t="str">
            <v>Unid.</v>
          </cell>
          <cell r="E275">
            <v>1600</v>
          </cell>
          <cell r="F275">
            <v>139600</v>
          </cell>
        </row>
        <row r="276">
          <cell r="B276" t="str">
            <v>CALIBRACION EQUIPO 4 GASES</v>
          </cell>
          <cell r="D276" t="str">
            <v>Unid.</v>
          </cell>
          <cell r="E276">
            <v>60</v>
          </cell>
          <cell r="F276">
            <v>5235</v>
          </cell>
        </row>
        <row r="277">
          <cell r="B277" t="str">
            <v>SENSOR DETECTOR</v>
          </cell>
          <cell r="D277" t="str">
            <v>Unid.</v>
          </cell>
          <cell r="E277">
            <v>249</v>
          </cell>
          <cell r="F277">
            <v>21725.25</v>
          </cell>
        </row>
        <row r="278">
          <cell r="B278" t="str">
            <v>BATERIA Equipo 4 gases</v>
          </cell>
          <cell r="E278">
            <v>10</v>
          </cell>
          <cell r="F278">
            <v>872.5</v>
          </cell>
        </row>
        <row r="279">
          <cell r="B279" t="str">
            <v>ARNES DE SEGURIDAD MOD</v>
          </cell>
          <cell r="D279" t="str">
            <v>Unid.</v>
          </cell>
          <cell r="E279">
            <v>88</v>
          </cell>
          <cell r="F279">
            <v>7678</v>
          </cell>
        </row>
        <row r="280">
          <cell r="B280" t="str">
            <v>CABO DE VIDA</v>
          </cell>
          <cell r="D280" t="str">
            <v>Unid.</v>
          </cell>
          <cell r="E280">
            <v>35</v>
          </cell>
          <cell r="F280">
            <v>3053.75</v>
          </cell>
        </row>
        <row r="281">
          <cell r="B281" t="str">
            <v>Arnes Seguridad Industrial Cabo Posicionamiento Iram 3622-1</v>
          </cell>
          <cell r="D281" t="str">
            <v>Unid.</v>
          </cell>
          <cell r="E281">
            <v>41</v>
          </cell>
          <cell r="F281">
            <v>3577.25</v>
          </cell>
        </row>
        <row r="282">
          <cell r="B282" t="str">
            <v>DISPOSITIVO Anticaida 5m</v>
          </cell>
          <cell r="D282" t="str">
            <v>Unid.</v>
          </cell>
          <cell r="E282">
            <v>880</v>
          </cell>
          <cell r="F282">
            <v>76780</v>
          </cell>
        </row>
        <row r="283">
          <cell r="B283" t="str">
            <v>Stilson RIGID 48" aluminio</v>
          </cell>
          <cell r="D283" t="str">
            <v>Unid.</v>
          </cell>
          <cell r="E283">
            <v>530</v>
          </cell>
          <cell r="F283">
            <v>46242.5</v>
          </cell>
        </row>
        <row r="284">
          <cell r="B284" t="str">
            <v>Stilson RIGID 36" aluminio</v>
          </cell>
          <cell r="D284" t="str">
            <v>Unid.</v>
          </cell>
          <cell r="E284">
            <v>400</v>
          </cell>
          <cell r="F284">
            <v>34900</v>
          </cell>
        </row>
        <row r="285">
          <cell r="B285" t="str">
            <v>Atornillador taladro electrico</v>
          </cell>
          <cell r="E285">
            <v>275.07163323782237</v>
          </cell>
          <cell r="F285">
            <v>24000</v>
          </cell>
        </row>
        <row r="287">
          <cell r="B287" t="str">
            <v>Productos Químicos</v>
          </cell>
        </row>
        <row r="289">
          <cell r="B289" t="str">
            <v>Descripción</v>
          </cell>
          <cell r="D289" t="str">
            <v>UM</v>
          </cell>
          <cell r="E289" t="str">
            <v>Costo U$S</v>
          </cell>
          <cell r="F289" t="str">
            <v>Costo AR$</v>
          </cell>
        </row>
        <row r="290">
          <cell r="B290" t="str">
            <v>CR</v>
          </cell>
        </row>
        <row r="291">
          <cell r="B291" t="str">
            <v>CY802</v>
          </cell>
          <cell r="C291" t="str">
            <v>Inibidor de corrosión</v>
          </cell>
          <cell r="D291" t="str">
            <v>Lts</v>
          </cell>
          <cell r="E291">
            <v>1.58</v>
          </cell>
          <cell r="F291">
            <v>137.85500000000002</v>
          </cell>
        </row>
        <row r="292">
          <cell r="B292" t="str">
            <v>CY51W</v>
          </cell>
          <cell r="C292" t="str">
            <v>Inibidor de corrosión</v>
          </cell>
          <cell r="D292" t="str">
            <v>Lts</v>
          </cell>
          <cell r="E292">
            <v>2.39</v>
          </cell>
          <cell r="F292">
            <v>208.5275</v>
          </cell>
        </row>
        <row r="293">
          <cell r="B293" t="str">
            <v>ICS400</v>
          </cell>
          <cell r="C293" t="str">
            <v>Inhibidor de corrosión e incrustacion dual.</v>
          </cell>
          <cell r="D293" t="str">
            <v>Lts</v>
          </cell>
          <cell r="E293">
            <v>2.0449999999999999</v>
          </cell>
          <cell r="F293">
            <v>178.42624999999998</v>
          </cell>
        </row>
        <row r="294">
          <cell r="B294" t="str">
            <v>IC5087</v>
          </cell>
          <cell r="C294" t="str">
            <v>Inhibidor de incrustaciones de carbonatos y sulfatos</v>
          </cell>
          <cell r="D294" t="str">
            <v>Lts</v>
          </cell>
          <cell r="E294">
            <v>1.405</v>
          </cell>
          <cell r="F294">
            <v>122.58625000000001</v>
          </cell>
        </row>
        <row r="295">
          <cell r="B295" t="str">
            <v>IC5400</v>
          </cell>
          <cell r="C295" t="str">
            <v>Inhibidor de incrustaciones de carbonatos y sulfatos</v>
          </cell>
          <cell r="D295" t="str">
            <v>Lts</v>
          </cell>
          <cell r="E295">
            <v>1.87</v>
          </cell>
          <cell r="F295">
            <v>163.1575</v>
          </cell>
        </row>
        <row r="296">
          <cell r="B296" t="str">
            <v>IC7001</v>
          </cell>
          <cell r="C296" t="str">
            <v>Inhibidor de incrustaciones de carbonatos y sulfatos</v>
          </cell>
          <cell r="D296" t="str">
            <v>Lts</v>
          </cell>
          <cell r="E296">
            <v>2.77</v>
          </cell>
          <cell r="F296">
            <v>241.6825</v>
          </cell>
        </row>
        <row r="297">
          <cell r="B297" t="str">
            <v>IC5091</v>
          </cell>
          <cell r="C297" t="str">
            <v>Inhibidor de incrustaciones de carbonatos y sulfatos</v>
          </cell>
          <cell r="D297" t="str">
            <v>Lts</v>
          </cell>
          <cell r="E297">
            <v>1.82</v>
          </cell>
          <cell r="F297">
            <v>158.79500000000002</v>
          </cell>
        </row>
        <row r="298">
          <cell r="B298" t="str">
            <v>BXC1133</v>
          </cell>
          <cell r="C298" t="str">
            <v xml:space="preserve">Biocida ( Amonio Cuaternario) </v>
          </cell>
          <cell r="D298" t="str">
            <v>Lts</v>
          </cell>
          <cell r="E298">
            <v>0.90500000000000003</v>
          </cell>
          <cell r="F298">
            <v>78.961250000000007</v>
          </cell>
        </row>
        <row r="299">
          <cell r="B299" t="str">
            <v>BXC3203</v>
          </cell>
          <cell r="C299" t="str">
            <v xml:space="preserve"> Biocida (glutaraldehído) </v>
          </cell>
          <cell r="D299" t="str">
            <v>Lts</v>
          </cell>
          <cell r="E299">
            <v>3.1949999999999998</v>
          </cell>
          <cell r="F299">
            <v>278.76374999999996</v>
          </cell>
        </row>
        <row r="300">
          <cell r="B300" t="str">
            <v>BX910</v>
          </cell>
          <cell r="C300" t="str">
            <v>Biocida (base THPS)</v>
          </cell>
          <cell r="D300" t="str">
            <v>Lts</v>
          </cell>
          <cell r="E300">
            <v>2.34</v>
          </cell>
          <cell r="F300">
            <v>204.16499999999999</v>
          </cell>
        </row>
        <row r="301">
          <cell r="B301" t="str">
            <v>BX936</v>
          </cell>
          <cell r="C301" t="str">
            <v>Biocida (base THPS)</v>
          </cell>
          <cell r="D301" t="str">
            <v>Lts</v>
          </cell>
          <cell r="E301">
            <v>1.675</v>
          </cell>
          <cell r="F301">
            <v>146.14375000000001</v>
          </cell>
        </row>
        <row r="302">
          <cell r="B302" t="str">
            <v>FBS8000</v>
          </cell>
          <cell r="C302" t="str">
            <v>Desemulsioante inverso</v>
          </cell>
          <cell r="D302" t="str">
            <v>Lts</v>
          </cell>
          <cell r="E302">
            <v>0.92500000000000004</v>
          </cell>
          <cell r="F302">
            <v>80.706249999999997</v>
          </cell>
        </row>
        <row r="303">
          <cell r="B303" t="str">
            <v>FBS1401</v>
          </cell>
          <cell r="C303" t="str">
            <v>Floculante</v>
          </cell>
          <cell r="D303" t="str">
            <v>Lts</v>
          </cell>
          <cell r="E303">
            <v>3.9</v>
          </cell>
          <cell r="F303">
            <v>340.27499999999998</v>
          </cell>
        </row>
        <row r="304">
          <cell r="B304" t="str">
            <v>BHI14</v>
          </cell>
          <cell r="C304" t="str">
            <v>Inhibidor de hidratos</v>
          </cell>
          <cell r="D304" t="str">
            <v>Lts</v>
          </cell>
          <cell r="E304">
            <v>0.56000000000000005</v>
          </cell>
          <cell r="F304">
            <v>48.860000000000007</v>
          </cell>
        </row>
        <row r="305">
          <cell r="B305" t="str">
            <v>BHI22</v>
          </cell>
          <cell r="C305" t="str">
            <v>Inhibidor de hidratos</v>
          </cell>
          <cell r="D305" t="str">
            <v>Lts</v>
          </cell>
          <cell r="E305">
            <v>1.2250000000000001</v>
          </cell>
          <cell r="F305">
            <v>106.88125000000001</v>
          </cell>
        </row>
        <row r="306">
          <cell r="B306" t="str">
            <v>DPA350</v>
          </cell>
          <cell r="C306" t="str">
            <v>Surfactante para limpieza de ductos</v>
          </cell>
          <cell r="D306" t="str">
            <v>Lts</v>
          </cell>
          <cell r="E306">
            <v>1.82</v>
          </cell>
          <cell r="F306">
            <v>158.79500000000002</v>
          </cell>
        </row>
        <row r="307">
          <cell r="B307" t="str">
            <v>DPA250</v>
          </cell>
          <cell r="C307" t="str">
            <v>Surfactante para limpieza de ductos</v>
          </cell>
          <cell r="D307" t="str">
            <v>Lts</v>
          </cell>
          <cell r="E307">
            <v>1.635</v>
          </cell>
          <cell r="F307">
            <v>142.65375</v>
          </cell>
        </row>
        <row r="308">
          <cell r="B308" t="str">
            <v>SB28</v>
          </cell>
          <cell r="C308" t="str">
            <v>Solvente de parafinas</v>
          </cell>
          <cell r="D308" t="str">
            <v>Lts</v>
          </cell>
          <cell r="E308">
            <v>2.375</v>
          </cell>
          <cell r="F308">
            <v>207.21875</v>
          </cell>
        </row>
        <row r="309">
          <cell r="B309" t="str">
            <v>SB29</v>
          </cell>
          <cell r="C309" t="str">
            <v>Solvente de parafinas</v>
          </cell>
          <cell r="D309" t="str">
            <v>Lts</v>
          </cell>
          <cell r="E309">
            <v>1.85</v>
          </cell>
          <cell r="F309">
            <v>161.41249999999999</v>
          </cell>
        </row>
        <row r="310">
          <cell r="B310" t="str">
            <v>DBN1487</v>
          </cell>
          <cell r="C310" t="str">
            <v>Desemulsioante</v>
          </cell>
          <cell r="D310" t="str">
            <v>Lts</v>
          </cell>
          <cell r="E310">
            <v>3.165</v>
          </cell>
          <cell r="F310">
            <v>276.14625000000001</v>
          </cell>
        </row>
        <row r="311">
          <cell r="B311" t="str">
            <v>DBN1481</v>
          </cell>
          <cell r="C311" t="str">
            <v>Desemulsioante</v>
          </cell>
          <cell r="D311" t="str">
            <v>Lts</v>
          </cell>
          <cell r="E311">
            <v>3.145</v>
          </cell>
          <cell r="F311">
            <v>274.40125</v>
          </cell>
        </row>
        <row r="312">
          <cell r="B312" t="str">
            <v>BSH8080</v>
          </cell>
          <cell r="C312" t="str">
            <v>Secuestrante de sulfidrico</v>
          </cell>
          <cell r="D312" t="str">
            <v>Lts</v>
          </cell>
          <cell r="E312">
            <v>1.75</v>
          </cell>
          <cell r="F312">
            <v>152.6875</v>
          </cell>
        </row>
        <row r="313">
          <cell r="B313" t="str">
            <v>BSH8050</v>
          </cell>
          <cell r="C313" t="str">
            <v>Secuestrante de sulfidrico</v>
          </cell>
          <cell r="D313" t="str">
            <v>Lts</v>
          </cell>
          <cell r="E313">
            <v>1.63</v>
          </cell>
          <cell r="F313">
            <v>142.2175</v>
          </cell>
        </row>
        <row r="314">
          <cell r="B314" t="str">
            <v xml:space="preserve">SO4207 </v>
          </cell>
          <cell r="C314" t="str">
            <v>Secuestrante de Oxígeno</v>
          </cell>
          <cell r="D314" t="str">
            <v>Lts</v>
          </cell>
          <cell r="E314">
            <v>1.5</v>
          </cell>
          <cell r="F314">
            <v>130.875</v>
          </cell>
        </row>
        <row r="315">
          <cell r="B315" t="str">
            <v>SO4345</v>
          </cell>
          <cell r="C315" t="str">
            <v>Secuestrante de Oxígeno</v>
          </cell>
          <cell r="D315" t="str">
            <v>Lts</v>
          </cell>
          <cell r="E315">
            <v>0.94499999999999995</v>
          </cell>
          <cell r="F315">
            <v>82.451250000000002</v>
          </cell>
        </row>
        <row r="316">
          <cell r="B316" t="str">
            <v xml:space="preserve">IPB78 </v>
          </cell>
          <cell r="C316" t="str">
            <v xml:space="preserve">Dispersante de parafinas </v>
          </cell>
          <cell r="D316" t="str">
            <v>Lts</v>
          </cell>
          <cell r="E316">
            <v>2.7149999999999999</v>
          </cell>
          <cell r="F316">
            <v>236.88374999999999</v>
          </cell>
        </row>
        <row r="317">
          <cell r="B317" t="str">
            <v>IPB30</v>
          </cell>
          <cell r="C317" t="str">
            <v xml:space="preserve">Dispersante de parafinas </v>
          </cell>
          <cell r="D317" t="str">
            <v>Lts</v>
          </cell>
          <cell r="E317">
            <v>2.1949999999999998</v>
          </cell>
          <cell r="F317">
            <v>191.51374999999999</v>
          </cell>
        </row>
        <row r="318">
          <cell r="B318" t="str">
            <v>IPB953</v>
          </cell>
          <cell r="C318" t="str">
            <v xml:space="preserve">Inhibidor de parafinas </v>
          </cell>
          <cell r="D318" t="str">
            <v>Lts</v>
          </cell>
          <cell r="E318">
            <v>3.835</v>
          </cell>
          <cell r="F318">
            <v>334.60374999999999</v>
          </cell>
        </row>
        <row r="319">
          <cell r="B319" t="str">
            <v>IPB930</v>
          </cell>
          <cell r="C319" t="str">
            <v xml:space="preserve">Inhibidor de parafinas </v>
          </cell>
          <cell r="D319" t="str">
            <v>Lts</v>
          </cell>
          <cell r="E319">
            <v>3.6549999999999998</v>
          </cell>
          <cell r="F319">
            <v>318.89875000000001</v>
          </cell>
        </row>
        <row r="322">
          <cell r="B322" t="str">
            <v>LABORATORIO</v>
          </cell>
        </row>
        <row r="324">
          <cell r="B324" t="str">
            <v>Descripción</v>
          </cell>
          <cell r="C324" t="str">
            <v>Codigo AS400</v>
          </cell>
          <cell r="D324" t="str">
            <v>UM</v>
          </cell>
          <cell r="E324" t="str">
            <v>Costo U$S</v>
          </cell>
          <cell r="F324" t="str">
            <v>Costo AR$</v>
          </cell>
        </row>
        <row r="325">
          <cell r="B325" t="str">
            <v>CR</v>
          </cell>
        </row>
        <row r="326">
          <cell r="B326" t="str">
            <v>Nitrato de Plata</v>
          </cell>
          <cell r="C326">
            <v>25</v>
          </cell>
          <cell r="D326" t="str">
            <v>gr</v>
          </cell>
          <cell r="F326">
            <v>3600</v>
          </cell>
        </row>
        <row r="327">
          <cell r="B327" t="str">
            <v>Cromato de Potasio</v>
          </cell>
          <cell r="C327">
            <v>100</v>
          </cell>
          <cell r="D327" t="str">
            <v>gr</v>
          </cell>
          <cell r="E327">
            <v>11</v>
          </cell>
          <cell r="F327">
            <v>959.75</v>
          </cell>
        </row>
        <row r="328">
          <cell r="B328" t="str">
            <v>Cinta Pilon</v>
          </cell>
          <cell r="C328">
            <v>1</v>
          </cell>
          <cell r="D328" t="str">
            <v>UNID.</v>
          </cell>
          <cell r="E328">
            <v>194</v>
          </cell>
          <cell r="F328">
            <v>16926.5</v>
          </cell>
        </row>
        <row r="329">
          <cell r="B329" t="str">
            <v>Pasta para mediciones</v>
          </cell>
          <cell r="C329">
            <v>1</v>
          </cell>
          <cell r="D329" t="str">
            <v>UNID.</v>
          </cell>
          <cell r="E329">
            <v>13.8</v>
          </cell>
          <cell r="F329">
            <v>1204.05</v>
          </cell>
        </row>
        <row r="330">
          <cell r="B330" t="str">
            <v>Varilla de Bronce</v>
          </cell>
          <cell r="C330">
            <v>1</v>
          </cell>
          <cell r="D330" t="str">
            <v>UNID.</v>
          </cell>
          <cell r="E330">
            <v>304.7</v>
          </cell>
          <cell r="F330">
            <v>26585.075000000001</v>
          </cell>
        </row>
        <row r="331">
          <cell r="B331" t="str">
            <v>Muestreador Metalico</v>
          </cell>
          <cell r="C331">
            <v>1</v>
          </cell>
          <cell r="D331" t="str">
            <v>UNID.</v>
          </cell>
          <cell r="E331">
            <v>191.9</v>
          </cell>
          <cell r="F331">
            <v>16743.275000000001</v>
          </cell>
        </row>
        <row r="332">
          <cell r="B332" t="str">
            <v>Casoletas Con temometros</v>
          </cell>
          <cell r="C332">
            <v>1</v>
          </cell>
          <cell r="D332" t="str">
            <v>UNID.</v>
          </cell>
          <cell r="E332">
            <v>256.7</v>
          </cell>
          <cell r="F332">
            <v>22397.075000000001</v>
          </cell>
        </row>
        <row r="333">
          <cell r="B333" t="str">
            <v>Acido Sulfurico</v>
          </cell>
          <cell r="C333">
            <v>1</v>
          </cell>
          <cell r="D333" t="str">
            <v>lt</v>
          </cell>
          <cell r="E333">
            <v>20</v>
          </cell>
          <cell r="F333">
            <v>1745</v>
          </cell>
        </row>
        <row r="334">
          <cell r="B334" t="str">
            <v>Tolueno</v>
          </cell>
          <cell r="C334">
            <v>1</v>
          </cell>
          <cell r="D334" t="str">
            <v>lt</v>
          </cell>
          <cell r="E334">
            <v>18.600000000000001</v>
          </cell>
          <cell r="F334">
            <v>1622.8500000000001</v>
          </cell>
        </row>
        <row r="335">
          <cell r="B335" t="str">
            <v>Acetona</v>
          </cell>
          <cell r="C335">
            <v>1</v>
          </cell>
          <cell r="D335" t="str">
            <v>lt</v>
          </cell>
          <cell r="E335">
            <v>13.8</v>
          </cell>
          <cell r="F335">
            <v>1204.05</v>
          </cell>
        </row>
        <row r="336">
          <cell r="B336" t="str">
            <v>Alcohol Isopropilico</v>
          </cell>
          <cell r="C336">
            <v>1</v>
          </cell>
          <cell r="D336" t="str">
            <v>lt</v>
          </cell>
          <cell r="E336">
            <v>12.1</v>
          </cell>
          <cell r="F336">
            <v>1055.7249999999999</v>
          </cell>
        </row>
        <row r="337">
          <cell r="B337" t="str">
            <v>Alcohol Etilico</v>
          </cell>
          <cell r="C337">
            <v>1</v>
          </cell>
          <cell r="D337" t="str">
            <v>lt</v>
          </cell>
          <cell r="E337">
            <v>3</v>
          </cell>
          <cell r="F337">
            <v>261.75</v>
          </cell>
        </row>
        <row r="338">
          <cell r="B338" t="str">
            <v>1.1 Tricloroetano</v>
          </cell>
          <cell r="C338">
            <v>1</v>
          </cell>
          <cell r="D338" t="str">
            <v>lt</v>
          </cell>
          <cell r="E338">
            <v>27.3</v>
          </cell>
          <cell r="F338">
            <v>2381.9250000000002</v>
          </cell>
        </row>
        <row r="339">
          <cell r="B339" t="str">
            <v>Agua Destilada</v>
          </cell>
          <cell r="C339">
            <v>10</v>
          </cell>
          <cell r="D339" t="str">
            <v>lt</v>
          </cell>
          <cell r="E339">
            <v>7.1</v>
          </cell>
          <cell r="F339">
            <v>619.47500000000002</v>
          </cell>
        </row>
        <row r="340">
          <cell r="B340" t="str">
            <v>Tetracloruro</v>
          </cell>
          <cell r="C340">
            <v>1</v>
          </cell>
          <cell r="D340" t="str">
            <v>lt</v>
          </cell>
          <cell r="E340">
            <v>30</v>
          </cell>
          <cell r="F340">
            <v>2617.5</v>
          </cell>
        </row>
        <row r="341">
          <cell r="B341" t="str">
            <v>Xileno</v>
          </cell>
          <cell r="C341">
            <v>1</v>
          </cell>
          <cell r="D341" t="str">
            <v>lt</v>
          </cell>
          <cell r="E341">
            <v>21</v>
          </cell>
          <cell r="F341">
            <v>1832.25</v>
          </cell>
        </row>
        <row r="342">
          <cell r="B342" t="str">
            <v>N-Pentano</v>
          </cell>
          <cell r="C342">
            <v>1</v>
          </cell>
          <cell r="D342" t="str">
            <v>lt</v>
          </cell>
          <cell r="E342">
            <v>29.4</v>
          </cell>
          <cell r="F342">
            <v>2565.15</v>
          </cell>
        </row>
        <row r="343">
          <cell r="B343" t="str">
            <v>Acetato de Plomo</v>
          </cell>
          <cell r="C343">
            <v>100</v>
          </cell>
          <cell r="D343" t="str">
            <v>gr</v>
          </cell>
          <cell r="E343">
            <v>9.5</v>
          </cell>
          <cell r="F343">
            <v>828.875</v>
          </cell>
        </row>
        <row r="344">
          <cell r="B344" t="str">
            <v>Jeringas Tuberculina  x 1 ml</v>
          </cell>
          <cell r="C344">
            <v>100</v>
          </cell>
          <cell r="D344" t="str">
            <v>Unid.</v>
          </cell>
          <cell r="E344">
            <v>20.2</v>
          </cell>
          <cell r="F344">
            <v>1762.45</v>
          </cell>
        </row>
        <row r="345">
          <cell r="B345" t="str">
            <v>Cintas pH</v>
          </cell>
          <cell r="C345">
            <v>100</v>
          </cell>
          <cell r="D345" t="str">
            <v>Unid.</v>
          </cell>
          <cell r="E345">
            <v>36.9</v>
          </cell>
          <cell r="F345">
            <v>3219.5250000000001</v>
          </cell>
        </row>
        <row r="346">
          <cell r="B346" t="str">
            <v>Membranas Filtrantes 0,45 micr</v>
          </cell>
          <cell r="C346">
            <v>100</v>
          </cell>
          <cell r="D346" t="str">
            <v>Unid.</v>
          </cell>
          <cell r="E346">
            <v>63.1</v>
          </cell>
          <cell r="F346">
            <v>5505.4750000000004</v>
          </cell>
        </row>
        <row r="347">
          <cell r="B347" t="str">
            <v>Membranas Filtrantes 3 micr</v>
          </cell>
          <cell r="C347">
            <v>100</v>
          </cell>
          <cell r="D347" t="str">
            <v>Unid.</v>
          </cell>
          <cell r="E347">
            <v>117.9</v>
          </cell>
          <cell r="F347">
            <v>10286.775</v>
          </cell>
        </row>
        <row r="348">
          <cell r="B348" t="str">
            <v>Papel de Filtro</v>
          </cell>
          <cell r="C348">
            <v>1</v>
          </cell>
          <cell r="D348" t="str">
            <v>Unid.</v>
          </cell>
          <cell r="E348">
            <v>12.5</v>
          </cell>
          <cell r="F348">
            <v>1090.625</v>
          </cell>
        </row>
        <row r="349">
          <cell r="B349" t="str">
            <v>Termometros</v>
          </cell>
          <cell r="C349">
            <v>1</v>
          </cell>
          <cell r="D349" t="str">
            <v>Unid.</v>
          </cell>
          <cell r="E349">
            <v>10.1</v>
          </cell>
          <cell r="F349">
            <v>881.22500000000002</v>
          </cell>
        </row>
        <row r="350">
          <cell r="B350" t="str">
            <v>Densimetros 0,800-0,900</v>
          </cell>
          <cell r="C350">
            <v>1</v>
          </cell>
          <cell r="D350" t="str">
            <v>Unid.</v>
          </cell>
          <cell r="E350">
            <v>30.3</v>
          </cell>
          <cell r="F350">
            <v>2643.6750000000002</v>
          </cell>
        </row>
        <row r="351">
          <cell r="B351" t="str">
            <v>Caldos de Cultivos BRS</v>
          </cell>
          <cell r="C351">
            <v>1</v>
          </cell>
          <cell r="D351" t="str">
            <v>Unid.</v>
          </cell>
          <cell r="E351">
            <v>1.5</v>
          </cell>
          <cell r="F351">
            <v>130.875</v>
          </cell>
        </row>
        <row r="352">
          <cell r="B352" t="str">
            <v>Caldos de Cultivos BAT</v>
          </cell>
          <cell r="C352">
            <v>1</v>
          </cell>
          <cell r="D352" t="str">
            <v>Unid.</v>
          </cell>
          <cell r="E352">
            <v>1.4</v>
          </cell>
          <cell r="F352">
            <v>122.14999999999999</v>
          </cell>
        </row>
        <row r="353">
          <cell r="B353" t="str">
            <v>Ampolla para SH2 Draguer</v>
          </cell>
          <cell r="C353">
            <v>10</v>
          </cell>
          <cell r="D353" t="str">
            <v>Unid.</v>
          </cell>
          <cell r="E353">
            <v>208.3</v>
          </cell>
          <cell r="F353">
            <v>18174.174999999999</v>
          </cell>
        </row>
        <row r="354">
          <cell r="B354" t="str">
            <v>Ampolla para CO2 Draguer</v>
          </cell>
          <cell r="C354">
            <v>10</v>
          </cell>
          <cell r="D354" t="str">
            <v>Unid.</v>
          </cell>
          <cell r="E354">
            <v>208.3</v>
          </cell>
          <cell r="F354">
            <v>18174.174999999999</v>
          </cell>
        </row>
        <row r="355">
          <cell r="B355" t="str">
            <v>Trapo lavado * 10KG</v>
          </cell>
          <cell r="C355">
            <v>1</v>
          </cell>
          <cell r="D355" t="str">
            <v>Unid.</v>
          </cell>
          <cell r="F355">
            <v>789</v>
          </cell>
        </row>
        <row r="356">
          <cell r="B356" t="str">
            <v>Algodón</v>
          </cell>
          <cell r="C356">
            <v>1</v>
          </cell>
          <cell r="D356" t="str">
            <v>Unid.</v>
          </cell>
          <cell r="F356">
            <v>10</v>
          </cell>
        </row>
        <row r="357">
          <cell r="B357" t="str">
            <v>Kerosene</v>
          </cell>
          <cell r="C357">
            <v>1</v>
          </cell>
          <cell r="D357" t="str">
            <v>Unid.</v>
          </cell>
          <cell r="F357">
            <v>14.3</v>
          </cell>
        </row>
        <row r="358">
          <cell r="B358" t="str">
            <v>EDTA</v>
          </cell>
          <cell r="C358">
            <v>100</v>
          </cell>
          <cell r="D358" t="str">
            <v>gr</v>
          </cell>
          <cell r="E358">
            <v>8</v>
          </cell>
          <cell r="F358">
            <v>698</v>
          </cell>
        </row>
        <row r="359">
          <cell r="B359" t="str">
            <v>Hidroxido de Sodio</v>
          </cell>
          <cell r="C359">
            <v>250</v>
          </cell>
          <cell r="D359" t="str">
            <v>gr</v>
          </cell>
          <cell r="E359">
            <v>18.2</v>
          </cell>
          <cell r="F359">
            <v>1587.95</v>
          </cell>
        </row>
        <row r="360">
          <cell r="B360" t="str">
            <v>Calcom</v>
          </cell>
          <cell r="C360">
            <v>50</v>
          </cell>
          <cell r="D360" t="str">
            <v>gr</v>
          </cell>
          <cell r="E360">
            <v>44.7</v>
          </cell>
          <cell r="F360">
            <v>3900.0750000000003</v>
          </cell>
        </row>
        <row r="361">
          <cell r="B361" t="str">
            <v>Negro de Eriocromo</v>
          </cell>
          <cell r="C361">
            <v>10</v>
          </cell>
          <cell r="D361" t="str">
            <v>gr</v>
          </cell>
          <cell r="E361">
            <v>6.2</v>
          </cell>
          <cell r="F361">
            <v>540.95000000000005</v>
          </cell>
        </row>
        <row r="362">
          <cell r="B362" t="str">
            <v>Acido Clohidrico</v>
          </cell>
          <cell r="C362">
            <v>1</v>
          </cell>
          <cell r="D362" t="str">
            <v>lt</v>
          </cell>
          <cell r="E362">
            <v>14.8</v>
          </cell>
          <cell r="F362">
            <v>1291.3</v>
          </cell>
        </row>
        <row r="363">
          <cell r="B363" t="str">
            <v>Acido Sulfurico</v>
          </cell>
          <cell r="C363">
            <v>0.5</v>
          </cell>
          <cell r="D363" t="str">
            <v>lt</v>
          </cell>
          <cell r="E363">
            <v>15</v>
          </cell>
          <cell r="F363">
            <v>1308.75</v>
          </cell>
        </row>
        <row r="364">
          <cell r="B364" t="str">
            <v>Parafilm</v>
          </cell>
          <cell r="C364">
            <v>1</v>
          </cell>
          <cell r="D364" t="str">
            <v>Unid.</v>
          </cell>
          <cell r="E364">
            <v>68.3</v>
          </cell>
          <cell r="F364">
            <v>5959.1750000000002</v>
          </cell>
        </row>
        <row r="365">
          <cell r="B365" t="str">
            <v>INSUMOS HACH</v>
          </cell>
          <cell r="F365">
            <v>0</v>
          </cell>
        </row>
        <row r="366">
          <cell r="B366" t="str">
            <v>Ferro Ver</v>
          </cell>
          <cell r="C366">
            <v>100</v>
          </cell>
          <cell r="D366" t="str">
            <v>Unid.</v>
          </cell>
          <cell r="E366">
            <v>67.8</v>
          </cell>
          <cell r="F366">
            <v>5915.55</v>
          </cell>
        </row>
        <row r="367">
          <cell r="B367" t="str">
            <v>Sulfa Ver</v>
          </cell>
          <cell r="C367">
            <v>100</v>
          </cell>
          <cell r="D367" t="str">
            <v>Unid.</v>
          </cell>
          <cell r="E367">
            <v>80.900000000000006</v>
          </cell>
          <cell r="F367">
            <v>7058.5250000000005</v>
          </cell>
        </row>
        <row r="368">
          <cell r="B368" t="str">
            <v>Fos Ver</v>
          </cell>
          <cell r="C368">
            <v>100</v>
          </cell>
          <cell r="D368" t="str">
            <v>Unid.</v>
          </cell>
          <cell r="E368">
            <v>93.6</v>
          </cell>
          <cell r="F368">
            <v>8166.5999999999995</v>
          </cell>
        </row>
        <row r="369">
          <cell r="B369" t="str">
            <v>Bari Ver</v>
          </cell>
          <cell r="C369">
            <v>100</v>
          </cell>
          <cell r="D369" t="str">
            <v>Unid.</v>
          </cell>
          <cell r="E369">
            <v>93.3</v>
          </cell>
          <cell r="F369">
            <v>8140.4250000000002</v>
          </cell>
        </row>
        <row r="370">
          <cell r="B370" t="str">
            <v>Potasio Persulfate</v>
          </cell>
          <cell r="C370">
            <v>100</v>
          </cell>
          <cell r="D370" t="str">
            <v>Unid.</v>
          </cell>
          <cell r="E370">
            <v>82</v>
          </cell>
          <cell r="F370">
            <v>7154.5</v>
          </cell>
        </row>
        <row r="371">
          <cell r="B371" t="str">
            <v>Glutaldheido</v>
          </cell>
          <cell r="C371">
            <v>1</v>
          </cell>
          <cell r="D371" t="str">
            <v>Unid.</v>
          </cell>
          <cell r="E371">
            <v>90</v>
          </cell>
          <cell r="F371">
            <v>7852.5</v>
          </cell>
        </row>
        <row r="372">
          <cell r="B372" t="str">
            <v>INSUMOS Chemet`s</v>
          </cell>
          <cell r="F372">
            <v>0</v>
          </cell>
        </row>
        <row r="373">
          <cell r="B373" t="str">
            <v>Kit de Sulfhidrico</v>
          </cell>
          <cell r="C373">
            <v>1</v>
          </cell>
          <cell r="D373" t="str">
            <v>Unid.</v>
          </cell>
          <cell r="E373">
            <v>217.1</v>
          </cell>
          <cell r="F373">
            <v>18941.974999999999</v>
          </cell>
        </row>
        <row r="374">
          <cell r="B374" t="str">
            <v>Kit de Oxigeno</v>
          </cell>
          <cell r="C374">
            <v>1</v>
          </cell>
          <cell r="D374" t="str">
            <v>Unid.</v>
          </cell>
          <cell r="E374">
            <v>165.6</v>
          </cell>
          <cell r="F374">
            <v>14448.6</v>
          </cell>
        </row>
        <row r="375">
          <cell r="B375" t="str">
            <v>Reactivo p/Sulfhidrico</v>
          </cell>
          <cell r="C375">
            <v>1</v>
          </cell>
          <cell r="D375" t="str">
            <v>Unid.</v>
          </cell>
          <cell r="E375">
            <v>90</v>
          </cell>
          <cell r="F375">
            <v>7852.5</v>
          </cell>
        </row>
        <row r="376">
          <cell r="B376" t="str">
            <v>Ampollas de Repuestos p/ Sulfhidrico</v>
          </cell>
          <cell r="C376">
            <v>30</v>
          </cell>
          <cell r="D376" t="str">
            <v>Unid.</v>
          </cell>
          <cell r="E376">
            <v>145</v>
          </cell>
          <cell r="F376">
            <v>12651.25</v>
          </cell>
        </row>
        <row r="377">
          <cell r="B377" t="str">
            <v>Ampollas de Repuestos p/ Oxigeno</v>
          </cell>
          <cell r="C377">
            <v>30</v>
          </cell>
          <cell r="D377" t="str">
            <v>Unid.</v>
          </cell>
          <cell r="E377">
            <v>88.4</v>
          </cell>
          <cell r="F377">
            <v>7712.9000000000005</v>
          </cell>
        </row>
        <row r="378">
          <cell r="B378" t="str">
            <v>INSUMOS VARIOS</v>
          </cell>
          <cell r="F378">
            <v>0</v>
          </cell>
        </row>
        <row r="379">
          <cell r="B379" t="str">
            <v>Espectrofotómetro HACH DR 2400</v>
          </cell>
          <cell r="C379">
            <v>1</v>
          </cell>
          <cell r="D379" t="str">
            <v>Unid.</v>
          </cell>
          <cell r="E379">
            <v>9500</v>
          </cell>
          <cell r="F379">
            <v>828875</v>
          </cell>
        </row>
        <row r="380">
          <cell r="B380" t="str">
            <v>PH-meter marca Hanna HI8424.</v>
          </cell>
          <cell r="C380">
            <v>1</v>
          </cell>
          <cell r="D380" t="str">
            <v>Unid.</v>
          </cell>
          <cell r="E380">
            <v>900</v>
          </cell>
          <cell r="F380">
            <v>78525</v>
          </cell>
        </row>
        <row r="381">
          <cell r="B381" t="str">
            <v>Conductivimetro CT-2 marca Altronix.</v>
          </cell>
          <cell r="C381">
            <v>1</v>
          </cell>
          <cell r="D381" t="str">
            <v>Unid.</v>
          </cell>
          <cell r="E381">
            <v>800</v>
          </cell>
          <cell r="F381">
            <v>69800</v>
          </cell>
        </row>
        <row r="382">
          <cell r="B382" t="str">
            <v>Balanza analítica OHAUS de 0,1 mg a 150 gr.</v>
          </cell>
          <cell r="C382">
            <v>1</v>
          </cell>
          <cell r="D382" t="str">
            <v>Unid.</v>
          </cell>
          <cell r="E382">
            <v>2607.6</v>
          </cell>
          <cell r="F382">
            <v>227513.1</v>
          </cell>
        </row>
        <row r="383">
          <cell r="B383" t="str">
            <v>Desecador Plástico</v>
          </cell>
          <cell r="C383">
            <v>1</v>
          </cell>
          <cell r="D383" t="str">
            <v>Unid.</v>
          </cell>
          <cell r="E383">
            <v>249.3</v>
          </cell>
          <cell r="F383">
            <v>21751.424999999999</v>
          </cell>
        </row>
        <row r="384">
          <cell r="B384" t="str">
            <v>Bba de vació para 30 min. en continuo.</v>
          </cell>
          <cell r="C384">
            <v>1</v>
          </cell>
          <cell r="D384" t="str">
            <v>Unid.</v>
          </cell>
          <cell r="E384">
            <v>521.6</v>
          </cell>
          <cell r="F384">
            <v>45509.599999999999</v>
          </cell>
        </row>
        <row r="385">
          <cell r="B385" t="str">
            <v>Estufa para secado de 25 ltrs a 180 c INOMEX.</v>
          </cell>
          <cell r="C385">
            <v>1</v>
          </cell>
          <cell r="D385" t="str">
            <v>Unid.</v>
          </cell>
          <cell r="E385">
            <v>695.3</v>
          </cell>
          <cell r="F385">
            <v>60664.924999999996</v>
          </cell>
        </row>
      </sheetData>
      <sheetData sheetId="32" refreshError="1"/>
      <sheetData sheetId="33" refreshError="1"/>
      <sheetData sheetId="34" refreshError="1"/>
      <sheetData sheetId="35" refreshError="1"/>
      <sheetData sheetId="36" refreshError="1"/>
      <sheetData sheetId="37"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acara.org.ar/%20(Mercedez%20Benz%20Atego%201726-42%20C/Simple%20EU5%2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1:AN27"/>
  <sheetViews>
    <sheetView showGridLines="0" workbookViewId="0">
      <selection activeCell="E13" sqref="E13"/>
    </sheetView>
  </sheetViews>
  <sheetFormatPr baseColWidth="10" defaultColWidth="11.42578125" defaultRowHeight="16.5"/>
  <cols>
    <col min="1" max="1" width="1.28515625" style="650" customWidth="1"/>
    <col min="2" max="2" width="22.85546875" style="650" customWidth="1"/>
    <col min="3" max="3" width="16.28515625" style="650" customWidth="1"/>
    <col min="4" max="4" width="7.42578125" style="651" customWidth="1"/>
    <col min="5" max="5" width="18.140625" style="651" customWidth="1"/>
    <col min="6" max="6" width="10.42578125" style="650" customWidth="1"/>
    <col min="7" max="7" width="19.42578125" style="650" customWidth="1"/>
    <col min="8" max="8" width="10" style="650" customWidth="1"/>
    <col min="9" max="9" width="23.5703125" style="652" customWidth="1"/>
    <col min="10" max="10" width="12.7109375" style="652" customWidth="1"/>
    <col min="11" max="11" width="9.85546875" style="652" customWidth="1"/>
    <col min="12" max="12" width="9.42578125" style="652" customWidth="1"/>
    <col min="13" max="13" width="9.28515625" style="650" customWidth="1"/>
    <col min="14" max="14" width="11.85546875" style="650" customWidth="1"/>
    <col min="15" max="15" width="11.85546875" style="650" bestFit="1" customWidth="1"/>
    <col min="16" max="16" width="11.42578125" style="650"/>
    <col min="17" max="17" width="13.7109375" style="650" customWidth="1"/>
    <col min="18" max="16384" width="11.42578125" style="650"/>
  </cols>
  <sheetData>
    <row r="1" spans="2:40" ht="6" customHeight="1" thickBot="1"/>
    <row r="2" spans="2:40" ht="17.25" customHeight="1">
      <c r="B2" s="827" t="s">
        <v>1113</v>
      </c>
      <c r="C2" s="829">
        <v>867</v>
      </c>
      <c r="D2" s="830"/>
      <c r="E2" s="809" t="s">
        <v>1033</v>
      </c>
      <c r="F2" s="810"/>
      <c r="G2" s="810"/>
      <c r="H2" s="813" t="str">
        <f>+VLOOKUP(AJ2,AH2:AI3,2,0)</f>
        <v>NO</v>
      </c>
      <c r="I2" s="823" t="s">
        <v>773</v>
      </c>
      <c r="J2" s="825">
        <f>IF(H2="SI",50/127,0)</f>
        <v>0</v>
      </c>
      <c r="K2" s="653"/>
      <c r="L2" s="787" t="s">
        <v>1030</v>
      </c>
      <c r="M2" s="787"/>
      <c r="N2" s="798"/>
      <c r="O2" s="692"/>
      <c r="AH2" s="652">
        <v>1</v>
      </c>
      <c r="AI2" s="652" t="s">
        <v>758</v>
      </c>
      <c r="AJ2" s="652">
        <v>2</v>
      </c>
    </row>
    <row r="3" spans="2:40" ht="17.25" customHeight="1" thickBot="1">
      <c r="B3" s="828"/>
      <c r="C3" s="831"/>
      <c r="D3" s="832"/>
      <c r="E3" s="811"/>
      <c r="F3" s="812"/>
      <c r="G3" s="812"/>
      <c r="H3" s="814"/>
      <c r="I3" s="824"/>
      <c r="J3" s="826"/>
      <c r="K3" s="653"/>
      <c r="L3" s="787"/>
      <c r="M3" s="787"/>
      <c r="N3" s="798"/>
      <c r="O3" s="693"/>
      <c r="AH3" s="652">
        <v>2</v>
      </c>
      <c r="AI3" s="652" t="s">
        <v>759</v>
      </c>
    </row>
    <row r="4" spans="2:40" ht="17.25" customHeight="1">
      <c r="B4" s="815" t="s">
        <v>531</v>
      </c>
      <c r="C4" s="816"/>
      <c r="D4" s="817"/>
      <c r="E4" s="820" t="s">
        <v>755</v>
      </c>
      <c r="F4" s="821"/>
      <c r="G4" s="822"/>
      <c r="H4" s="820" t="s">
        <v>756</v>
      </c>
      <c r="I4" s="821"/>
      <c r="J4" s="822"/>
    </row>
    <row r="5" spans="2:40" ht="17.25" customHeight="1">
      <c r="B5" s="799"/>
      <c r="C5" s="807"/>
      <c r="D5" s="818"/>
      <c r="E5" s="799" t="s">
        <v>492</v>
      </c>
      <c r="F5" s="807" t="s">
        <v>5</v>
      </c>
      <c r="G5" s="818" t="s">
        <v>504</v>
      </c>
      <c r="H5" s="799" t="s">
        <v>492</v>
      </c>
      <c r="I5" s="807" t="s">
        <v>5</v>
      </c>
      <c r="J5" s="818" t="s">
        <v>504</v>
      </c>
      <c r="N5" s="691"/>
      <c r="O5" s="654"/>
      <c r="P5" s="654"/>
    </row>
    <row r="6" spans="2:40" ht="17.25" customHeight="1" thickBot="1">
      <c r="B6" s="800"/>
      <c r="C6" s="808"/>
      <c r="D6" s="819"/>
      <c r="E6" s="800"/>
      <c r="F6" s="808"/>
      <c r="G6" s="819"/>
      <c r="H6" s="800"/>
      <c r="I6" s="808"/>
      <c r="J6" s="819"/>
      <c r="N6" s="690"/>
      <c r="O6" s="655"/>
      <c r="P6" s="655"/>
      <c r="AH6" s="652">
        <v>1</v>
      </c>
      <c r="AI6" s="652" t="s">
        <v>1031</v>
      </c>
      <c r="AJ6" s="652">
        <v>1</v>
      </c>
    </row>
    <row r="7" spans="2:40" ht="17.25" customHeight="1">
      <c r="B7" s="801" t="s">
        <v>502</v>
      </c>
      <c r="C7" s="802"/>
      <c r="D7" s="803"/>
      <c r="E7" s="622">
        <f>+'AjusteK-PQ'!U5</f>
        <v>208210.91333717146</v>
      </c>
      <c r="F7" s="623">
        <f>+' AjusteK-Scio'!N19/C2/60</f>
        <v>97972.931887792918</v>
      </c>
      <c r="G7" s="624">
        <f>+F7+E7</f>
        <v>306183.84522496437</v>
      </c>
      <c r="H7" s="622">
        <f>+'AjusteK-PQ'!U13</f>
        <v>187858.29655846296</v>
      </c>
      <c r="I7" s="623">
        <f>+' AjusteK-Scio'!U19/60/C2</f>
        <v>96004.043277332734</v>
      </c>
      <c r="J7" s="624">
        <f>+I7+H7</f>
        <v>283862.33983579569</v>
      </c>
      <c r="K7" s="656"/>
      <c r="N7" s="690"/>
      <c r="O7" s="655"/>
      <c r="P7" s="655"/>
      <c r="AH7" s="652">
        <v>2</v>
      </c>
      <c r="AI7" s="652" t="s">
        <v>1034</v>
      </c>
    </row>
    <row r="8" spans="2:40" ht="17.25" customHeight="1">
      <c r="B8" s="804" t="s">
        <v>503</v>
      </c>
      <c r="C8" s="805"/>
      <c r="D8" s="806"/>
      <c r="E8" s="625">
        <f>+'AjusteK-PQ'!U12</f>
        <v>133586.24416218375</v>
      </c>
      <c r="F8" s="626">
        <f>+' AjusteK-Scio'!M19/C2/60+IF(H2="SI",Sensorización!H10,0)</f>
        <v>65315.287925195255</v>
      </c>
      <c r="G8" s="627">
        <f>+F8+E8</f>
        <v>198901.53208737902</v>
      </c>
      <c r="H8" s="625">
        <f>+'AjusteK-PQ'!U12</f>
        <v>133586.24416218375</v>
      </c>
      <c r="I8" s="626">
        <f>+F8</f>
        <v>65315.287925195255</v>
      </c>
      <c r="J8" s="627">
        <f>+I8+H8</f>
        <v>198901.53208737902</v>
      </c>
      <c r="N8" s="690"/>
      <c r="O8" s="655"/>
      <c r="P8" s="655"/>
    </row>
    <row r="9" spans="2:40" ht="17.25" customHeight="1">
      <c r="B9" s="788" t="s">
        <v>505</v>
      </c>
      <c r="C9" s="789"/>
      <c r="D9" s="790"/>
      <c r="E9" s="628">
        <f t="shared" ref="E9:J9" si="0">E7/E8</f>
        <v>1.5586254007140716</v>
      </c>
      <c r="F9" s="629">
        <f t="shared" si="0"/>
        <v>1.5000000000000007</v>
      </c>
      <c r="G9" s="630">
        <f t="shared" si="0"/>
        <v>1.5393739907968904</v>
      </c>
      <c r="H9" s="628">
        <f>H7/H8</f>
        <v>1.4062697677942713</v>
      </c>
      <c r="I9" s="629">
        <f t="shared" si="0"/>
        <v>1.4698556238056382</v>
      </c>
      <c r="J9" s="630">
        <f t="shared" si="0"/>
        <v>1.4271500920922655</v>
      </c>
      <c r="L9" s="657"/>
    </row>
    <row r="10" spans="2:40" ht="17.25" customHeight="1">
      <c r="B10" s="631" t="s">
        <v>506</v>
      </c>
      <c r="C10" s="632"/>
      <c r="D10" s="633">
        <v>5.5E-2</v>
      </c>
      <c r="E10" s="634">
        <f>$D10*$E7</f>
        <v>11451.60023354443</v>
      </c>
      <c r="F10" s="635">
        <f>$D10*F7</f>
        <v>5388.5112538286103</v>
      </c>
      <c r="G10" s="636">
        <f t="shared" ref="G10" si="1">$D10*G$7</f>
        <v>16840.11148737304</v>
      </c>
      <c r="H10" s="634">
        <f>$D10*$E7</f>
        <v>11451.60023354443</v>
      </c>
      <c r="I10" s="635">
        <f>$D10*I7</f>
        <v>5280.2223802533008</v>
      </c>
      <c r="J10" s="636">
        <f t="shared" ref="J10" si="2">$D10*J$7</f>
        <v>15612.428690968763</v>
      </c>
      <c r="AI10" s="795" t="s">
        <v>1032</v>
      </c>
      <c r="AJ10" s="796"/>
      <c r="AK10" s="796"/>
      <c r="AL10" s="797"/>
      <c r="AM10" s="658">
        <f>+O3</f>
        <v>0</v>
      </c>
      <c r="AN10" s="659">
        <f>+J12-AM10</f>
        <v>0.24430285150740144</v>
      </c>
    </row>
    <row r="11" spans="2:40" ht="17.25" customHeight="1">
      <c r="B11" s="791" t="s">
        <v>507</v>
      </c>
      <c r="C11" s="792"/>
      <c r="D11" s="637" t="s">
        <v>508</v>
      </c>
      <c r="E11" s="638">
        <f t="shared" ref="E11:J11" si="3">+E7-SUM(E8,E10)</f>
        <v>63173.068941443285</v>
      </c>
      <c r="F11" s="639">
        <f t="shared" si="3"/>
        <v>27269.132708769059</v>
      </c>
      <c r="G11" s="640">
        <f t="shared" si="3"/>
        <v>90442.201650212315</v>
      </c>
      <c r="H11" s="638">
        <f t="shared" si="3"/>
        <v>42820.452162734786</v>
      </c>
      <c r="I11" s="639">
        <f t="shared" si="3"/>
        <v>25408.532971884182</v>
      </c>
      <c r="J11" s="640">
        <f t="shared" si="3"/>
        <v>69348.379057447921</v>
      </c>
      <c r="AI11" s="795" t="s">
        <v>1029</v>
      </c>
      <c r="AJ11" s="796"/>
      <c r="AK11" s="796"/>
      <c r="AL11" s="797"/>
      <c r="AM11" s="660">
        <v>-4.610421598493898E+144</v>
      </c>
    </row>
    <row r="12" spans="2:40" ht="17.25" customHeight="1" thickBot="1">
      <c r="B12" s="793"/>
      <c r="C12" s="794"/>
      <c r="D12" s="641" t="s">
        <v>431</v>
      </c>
      <c r="E12" s="642">
        <f t="shared" ref="E12:J12" si="4">E11/E7</f>
        <v>0.30340901890739236</v>
      </c>
      <c r="F12" s="643">
        <f t="shared" si="4"/>
        <v>0.27833333333333365</v>
      </c>
      <c r="G12" s="644">
        <f t="shared" si="4"/>
        <v>0.29538528260287916</v>
      </c>
      <c r="H12" s="642">
        <f t="shared" si="4"/>
        <v>0.22794017058175936</v>
      </c>
      <c r="I12" s="643">
        <f t="shared" si="4"/>
        <v>0.26466107160179708</v>
      </c>
      <c r="J12" s="644">
        <f t="shared" si="4"/>
        <v>0.24430285150740144</v>
      </c>
      <c r="L12" s="650"/>
    </row>
    <row r="13" spans="2:40" ht="17.25" customHeight="1">
      <c r="B13" s="755"/>
      <c r="C13" s="755"/>
      <c r="D13" s="756"/>
      <c r="E13" s="956">
        <f>+E7*60</f>
        <v>12492654.800230287</v>
      </c>
      <c r="F13" s="757">
        <f>+F7/G7</f>
        <v>0.31998073515540526</v>
      </c>
      <c r="G13" s="758"/>
      <c r="H13" s="757"/>
      <c r="I13" s="757"/>
      <c r="J13" s="758"/>
      <c r="L13" s="650"/>
    </row>
    <row r="14" spans="2:40" ht="17.25" customHeight="1">
      <c r="B14" s="645"/>
      <c r="C14" s="645"/>
      <c r="D14" s="646"/>
      <c r="E14" s="647"/>
      <c r="F14" s="647"/>
      <c r="G14" s="647"/>
      <c r="H14" s="647"/>
      <c r="I14" s="647"/>
      <c r="J14" s="776" t="s">
        <v>1168</v>
      </c>
      <c r="K14" s="776"/>
      <c r="L14" s="777" t="s">
        <v>1169</v>
      </c>
      <c r="M14" s="778"/>
      <c r="N14" s="779" t="s">
        <v>1170</v>
      </c>
      <c r="O14" s="779"/>
      <c r="P14" s="759" t="s">
        <v>759</v>
      </c>
    </row>
    <row r="15" spans="2:40" ht="17.25" customHeight="1">
      <c r="B15" s="645"/>
      <c r="C15" s="645"/>
      <c r="D15" s="646"/>
      <c r="E15" s="724" t="s">
        <v>1154</v>
      </c>
      <c r="F15" s="724" t="s">
        <v>1155</v>
      </c>
      <c r="G15" s="647"/>
      <c r="H15" s="833" t="s">
        <v>1158</v>
      </c>
      <c r="I15" s="834"/>
      <c r="J15" s="750" t="s">
        <v>492</v>
      </c>
      <c r="K15" s="750" t="s">
        <v>1149</v>
      </c>
      <c r="L15" s="750" t="s">
        <v>1149</v>
      </c>
      <c r="M15" s="750" t="s">
        <v>1149</v>
      </c>
      <c r="N15" s="751" t="s">
        <v>1163</v>
      </c>
      <c r="O15" s="751" t="s">
        <v>1164</v>
      </c>
      <c r="P15" s="751" t="s">
        <v>504</v>
      </c>
      <c r="Q15" s="751" t="s">
        <v>1167</v>
      </c>
    </row>
    <row r="16" spans="2:40" ht="17.25" customHeight="1">
      <c r="B16" s="784" t="s">
        <v>1115</v>
      </c>
      <c r="C16" s="785"/>
      <c r="D16" s="786"/>
      <c r="E16" s="721">
        <f>+J7*60</f>
        <v>17031740.390147742</v>
      </c>
      <c r="F16" s="722">
        <f>+E16/5</f>
        <v>3406348.0780295483</v>
      </c>
      <c r="G16" s="648"/>
      <c r="H16" s="835" t="s">
        <v>1159</v>
      </c>
      <c r="I16" s="836"/>
      <c r="J16" s="761">
        <v>208394.5408930066</v>
      </c>
      <c r="K16" s="761">
        <v>101688.0988896374</v>
      </c>
      <c r="L16" s="761">
        <v>133586.24416218375</v>
      </c>
      <c r="M16" s="761">
        <v>67792.065926424912</v>
      </c>
      <c r="N16" s="762">
        <f>+(J16-L16-5.5%*J16)/J16</f>
        <v>0.30397435897435887</v>
      </c>
      <c r="O16" s="762">
        <f>+(K16-M16-5.5%*K16)/K16</f>
        <v>0.2783333333333336</v>
      </c>
      <c r="P16" s="763">
        <f>+(J16+K16-L16-M16-5.5%*(J16+K16))/(J16+K16)</f>
        <v>0.29556567426745622</v>
      </c>
      <c r="Q16" s="764">
        <f>+K16+J16</f>
        <v>310082.63978264399</v>
      </c>
    </row>
    <row r="17" spans="2:17" ht="17.25" customHeight="1">
      <c r="B17" s="784" t="s">
        <v>1114</v>
      </c>
      <c r="C17" s="785"/>
      <c r="D17" s="786"/>
      <c r="E17" s="721">
        <f>+G7*60</f>
        <v>18371030.713497862</v>
      </c>
      <c r="F17" s="722">
        <f>+E17/5</f>
        <v>3674206.1426995723</v>
      </c>
      <c r="G17" s="649"/>
      <c r="H17" s="780" t="s">
        <v>1160</v>
      </c>
      <c r="I17" s="781"/>
      <c r="J17" s="749">
        <v>204405.83333333334</v>
      </c>
      <c r="K17" s="749">
        <v>130269.16240442988</v>
      </c>
      <c r="L17" s="749">
        <v>133586.24416218375</v>
      </c>
      <c r="M17" s="749">
        <v>67792.065926424912</v>
      </c>
      <c r="N17" s="753">
        <f t="shared" ref="N17:N19" si="5">+(J17-L17-5.5%*J17)/J17</f>
        <v>0.29146559746492684</v>
      </c>
      <c r="O17" s="753">
        <f t="shared" ref="O17:O19" si="6">+(K17-M17-5.5%*K17)/K17</f>
        <v>0.42460004750810004</v>
      </c>
      <c r="P17" s="754">
        <f t="shared" ref="P17:P19" si="7">+(J17+K17-L17-M17-5.5%*(J17+K17))/(J17+K17)</f>
        <v>0.34328695703816514</v>
      </c>
      <c r="Q17" s="752">
        <f t="shared" ref="Q17:Q19" si="8">+K17+J17</f>
        <v>334674.99573776324</v>
      </c>
    </row>
    <row r="18" spans="2:17" ht="17.25" customHeight="1">
      <c r="B18" s="784" t="s">
        <v>1116</v>
      </c>
      <c r="C18" s="785"/>
      <c r="D18" s="786"/>
      <c r="E18" s="723">
        <f>+G7-J7</f>
        <v>22321.505389168684</v>
      </c>
      <c r="F18" s="722"/>
      <c r="G18" s="648"/>
      <c r="H18" s="780" t="s">
        <v>1165</v>
      </c>
      <c r="I18" s="781"/>
      <c r="J18" s="749">
        <v>204405.83333333334</v>
      </c>
      <c r="K18" s="749">
        <v>101688.0988896374</v>
      </c>
      <c r="L18" s="749">
        <v>133586.24416218375</v>
      </c>
      <c r="M18" s="749">
        <v>67792.065926424912</v>
      </c>
      <c r="N18" s="753">
        <f t="shared" si="5"/>
        <v>0.29146559746492684</v>
      </c>
      <c r="O18" s="753">
        <f t="shared" si="6"/>
        <v>0.2783333333333336</v>
      </c>
      <c r="P18" s="754">
        <f t="shared" si="7"/>
        <v>0.28710290081177814</v>
      </c>
      <c r="Q18" s="752">
        <f t="shared" si="8"/>
        <v>306093.93222297076</v>
      </c>
    </row>
    <row r="19" spans="2:17" ht="17.25" customHeight="1">
      <c r="B19" s="746"/>
      <c r="C19" s="746"/>
      <c r="D19" s="746"/>
      <c r="E19" s="747">
        <f>+E18/F17</f>
        <v>6.0751913535173245E-3</v>
      </c>
      <c r="F19" s="648"/>
      <c r="G19" s="648"/>
      <c r="H19" s="780" t="s">
        <v>1166</v>
      </c>
      <c r="I19" s="781"/>
      <c r="J19" s="749">
        <v>208394.5408930066</v>
      </c>
      <c r="K19" s="749">
        <v>130269.16240442988</v>
      </c>
      <c r="L19" s="749">
        <v>133586.24416218375</v>
      </c>
      <c r="M19" s="749">
        <v>67792.065926424912</v>
      </c>
      <c r="N19" s="753">
        <f t="shared" si="5"/>
        <v>0.30397435897435887</v>
      </c>
      <c r="O19" s="753">
        <f t="shared" si="6"/>
        <v>0.42460004750810004</v>
      </c>
      <c r="P19" s="754">
        <f t="shared" si="7"/>
        <v>0.35037380260161766</v>
      </c>
      <c r="Q19" s="752">
        <f t="shared" si="8"/>
        <v>338663.70329743647</v>
      </c>
    </row>
    <row r="20" spans="2:17" ht="17.25" customHeight="1" thickBot="1"/>
    <row r="21" spans="2:17" ht="17.25" customHeight="1">
      <c r="B21" s="782" t="s">
        <v>1024</v>
      </c>
      <c r="C21" s="783"/>
      <c r="D21" s="720"/>
      <c r="E21" s="782" t="s">
        <v>1144</v>
      </c>
      <c r="F21" s="783"/>
      <c r="J21" s="749">
        <f>IF(P14="SI",J22,E7)</f>
        <v>208210.91333717146</v>
      </c>
      <c r="K21" s="749">
        <f>IF(P14="SI",K22,F7)</f>
        <v>97972.931887792918</v>
      </c>
      <c r="L21" s="749">
        <f>IF(P14="SI",L22,E8)</f>
        <v>133586.24416218375</v>
      </c>
      <c r="M21" s="749">
        <f>IF(P14="SI",M22,F8)</f>
        <v>65315.287925195255</v>
      </c>
    </row>
    <row r="22" spans="2:17" ht="17.25" customHeight="1">
      <c r="B22" s="716" t="s">
        <v>492</v>
      </c>
      <c r="C22" s="717">
        <v>1.56</v>
      </c>
      <c r="E22" s="716" t="s">
        <v>492</v>
      </c>
      <c r="F22" s="717">
        <v>2024</v>
      </c>
      <c r="J22" s="749">
        <f>+H7</f>
        <v>187858.29655846296</v>
      </c>
      <c r="K22" s="749">
        <f>+I7</f>
        <v>96004.043277332734</v>
      </c>
      <c r="L22" s="749">
        <f>+H8</f>
        <v>133586.24416218375</v>
      </c>
      <c r="M22" s="749">
        <f>+I8</f>
        <v>65315.287925195255</v>
      </c>
    </row>
    <row r="23" spans="2:17" ht="17.25" customHeight="1">
      <c r="B23" s="716" t="s">
        <v>1025</v>
      </c>
      <c r="C23" s="717">
        <v>1.5</v>
      </c>
      <c r="E23" s="716" t="s">
        <v>1149</v>
      </c>
      <c r="F23" s="717">
        <v>2024</v>
      </c>
    </row>
    <row r="24" spans="2:17" ht="17.25" customHeight="1" thickBot="1">
      <c r="B24" s="718" t="s">
        <v>1026</v>
      </c>
      <c r="C24" s="719">
        <v>1.5</v>
      </c>
      <c r="E24" s="718"/>
      <c r="F24" s="719"/>
    </row>
    <row r="25" spans="2:17" ht="15" customHeight="1"/>
    <row r="26" spans="2:17" ht="15" customHeight="1"/>
    <row r="27" spans="2:17" ht="15" customHeight="1"/>
  </sheetData>
  <mergeCells count="36">
    <mergeCell ref="B16:D16"/>
    <mergeCell ref="E2:G3"/>
    <mergeCell ref="H2:H3"/>
    <mergeCell ref="B4:D6"/>
    <mergeCell ref="F5:F6"/>
    <mergeCell ref="G5:G6"/>
    <mergeCell ref="E4:G4"/>
    <mergeCell ref="H4:J4"/>
    <mergeCell ref="I2:I3"/>
    <mergeCell ref="J2:J3"/>
    <mergeCell ref="B2:B3"/>
    <mergeCell ref="C2:D3"/>
    <mergeCell ref="H5:H6"/>
    <mergeCell ref="J5:J6"/>
    <mergeCell ref="H15:I15"/>
    <mergeCell ref="H16:I16"/>
    <mergeCell ref="L2:M3"/>
    <mergeCell ref="B9:D9"/>
    <mergeCell ref="B11:C12"/>
    <mergeCell ref="AI11:AL11"/>
    <mergeCell ref="N2:N3"/>
    <mergeCell ref="E5:E6"/>
    <mergeCell ref="B7:D7"/>
    <mergeCell ref="B8:D8"/>
    <mergeCell ref="I5:I6"/>
    <mergeCell ref="AI10:AL10"/>
    <mergeCell ref="H19:I19"/>
    <mergeCell ref="B21:C21"/>
    <mergeCell ref="E21:F21"/>
    <mergeCell ref="B17:D17"/>
    <mergeCell ref="B18:D18"/>
    <mergeCell ref="J14:K14"/>
    <mergeCell ref="L14:M14"/>
    <mergeCell ref="N14:O14"/>
    <mergeCell ref="H17:I17"/>
    <mergeCell ref="H18:I18"/>
  </mergeCells>
  <dataValidations count="1">
    <dataValidation type="list" allowBlank="1" showInputMessage="1" showErrorMessage="1" sqref="F22:F23" xr:uid="{D29C995A-AD44-4732-ACE7-0870D65723C2}">
      <formula1>"2022,2024"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Control de número 1">
              <controlPr defaultSize="0" autoPict="0">
                <anchor moveWithCells="1" sizeWithCells="1">
                  <from>
                    <xdr:col>6</xdr:col>
                    <xdr:colOff>895350</xdr:colOff>
                    <xdr:row>1</xdr:row>
                    <xdr:rowOff>9525</xdr:rowOff>
                  </from>
                  <to>
                    <xdr:col>6</xdr:col>
                    <xdr:colOff>1285875</xdr:colOff>
                    <xdr:row>2</xdr:row>
                    <xdr:rowOff>333375</xdr:rowOff>
                  </to>
                </anchor>
              </controlPr>
            </control>
          </mc:Choice>
        </mc:AlternateContent>
        <mc:AlternateContent xmlns:mc="http://schemas.openxmlformats.org/markup-compatibility/2006">
          <mc:Choice Requires="x14">
            <control shapeId="17421" r:id="rId5" name="Button 13">
              <controlPr defaultSize="0" print="0" autoFill="0" autoPict="0" macro="[0]!tabla2">
                <anchor moveWithCells="1" sizeWithCells="1">
                  <from>
                    <xdr:col>7</xdr:col>
                    <xdr:colOff>295275</xdr:colOff>
                    <xdr:row>19</xdr:row>
                    <xdr:rowOff>152400</xdr:rowOff>
                  </from>
                  <to>
                    <xdr:col>8</xdr:col>
                    <xdr:colOff>1143000</xdr:colOff>
                    <xdr:row>22</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F02E7-F3B5-44EA-86A9-A31BE542A949}">
  <sheetPr codeName="Hoja8">
    <pageSetUpPr fitToPage="1"/>
  </sheetPr>
  <dimension ref="B2:E35"/>
  <sheetViews>
    <sheetView showGridLines="0" topLeftCell="A3" zoomScaleNormal="100" workbookViewId="0">
      <selection activeCell="C13" sqref="C12:C13"/>
    </sheetView>
  </sheetViews>
  <sheetFormatPr baseColWidth="10" defaultRowHeight="12.75"/>
  <cols>
    <col min="1" max="1" width="11.5703125" style="672" customWidth="1"/>
    <col min="2" max="2" width="8.42578125" style="672" customWidth="1"/>
    <col min="3" max="3" width="119.5703125" style="672" customWidth="1"/>
    <col min="4" max="4" width="23.7109375" style="672" customWidth="1"/>
    <col min="5" max="5" width="19.5703125" style="672" customWidth="1"/>
    <col min="6" max="256" width="11.42578125" style="672"/>
    <col min="257" max="257" width="11.5703125" style="672" customWidth="1"/>
    <col min="258" max="258" width="8.42578125" style="672" customWidth="1"/>
    <col min="259" max="259" width="119.5703125" style="672" customWidth="1"/>
    <col min="260" max="260" width="23.7109375" style="672" customWidth="1"/>
    <col min="261" max="261" width="19.5703125" style="672" customWidth="1"/>
    <col min="262" max="512" width="11.42578125" style="672"/>
    <col min="513" max="513" width="11.5703125" style="672" customWidth="1"/>
    <col min="514" max="514" width="8.42578125" style="672" customWidth="1"/>
    <col min="515" max="515" width="119.5703125" style="672" customWidth="1"/>
    <col min="516" max="516" width="23.7109375" style="672" customWidth="1"/>
    <col min="517" max="517" width="19.5703125" style="672" customWidth="1"/>
    <col min="518" max="768" width="11.42578125" style="672"/>
    <col min="769" max="769" width="11.5703125" style="672" customWidth="1"/>
    <col min="770" max="770" width="8.42578125" style="672" customWidth="1"/>
    <col min="771" max="771" width="119.5703125" style="672" customWidth="1"/>
    <col min="772" max="772" width="23.7109375" style="672" customWidth="1"/>
    <col min="773" max="773" width="19.5703125" style="672" customWidth="1"/>
    <col min="774" max="1024" width="11.42578125" style="672"/>
    <col min="1025" max="1025" width="11.5703125" style="672" customWidth="1"/>
    <col min="1026" max="1026" width="8.42578125" style="672" customWidth="1"/>
    <col min="1027" max="1027" width="119.5703125" style="672" customWidth="1"/>
    <col min="1028" max="1028" width="23.7109375" style="672" customWidth="1"/>
    <col min="1029" max="1029" width="19.5703125" style="672" customWidth="1"/>
    <col min="1030" max="1280" width="11.42578125" style="672"/>
    <col min="1281" max="1281" width="11.5703125" style="672" customWidth="1"/>
    <col min="1282" max="1282" width="8.42578125" style="672" customWidth="1"/>
    <col min="1283" max="1283" width="119.5703125" style="672" customWidth="1"/>
    <col min="1284" max="1284" width="23.7109375" style="672" customWidth="1"/>
    <col min="1285" max="1285" width="19.5703125" style="672" customWidth="1"/>
    <col min="1286" max="1536" width="11.42578125" style="672"/>
    <col min="1537" max="1537" width="11.5703125" style="672" customWidth="1"/>
    <col min="1538" max="1538" width="8.42578125" style="672" customWidth="1"/>
    <col min="1539" max="1539" width="119.5703125" style="672" customWidth="1"/>
    <col min="1540" max="1540" width="23.7109375" style="672" customWidth="1"/>
    <col min="1541" max="1541" width="19.5703125" style="672" customWidth="1"/>
    <col min="1542" max="1792" width="11.42578125" style="672"/>
    <col min="1793" max="1793" width="11.5703125" style="672" customWidth="1"/>
    <col min="1794" max="1794" width="8.42578125" style="672" customWidth="1"/>
    <col min="1795" max="1795" width="119.5703125" style="672" customWidth="1"/>
    <col min="1796" max="1796" width="23.7109375" style="672" customWidth="1"/>
    <col min="1797" max="1797" width="19.5703125" style="672" customWidth="1"/>
    <col min="1798" max="2048" width="11.42578125" style="672"/>
    <col min="2049" max="2049" width="11.5703125" style="672" customWidth="1"/>
    <col min="2050" max="2050" width="8.42578125" style="672" customWidth="1"/>
    <col min="2051" max="2051" width="119.5703125" style="672" customWidth="1"/>
    <col min="2052" max="2052" width="23.7109375" style="672" customWidth="1"/>
    <col min="2053" max="2053" width="19.5703125" style="672" customWidth="1"/>
    <col min="2054" max="2304" width="11.42578125" style="672"/>
    <col min="2305" max="2305" width="11.5703125" style="672" customWidth="1"/>
    <col min="2306" max="2306" width="8.42578125" style="672" customWidth="1"/>
    <col min="2307" max="2307" width="119.5703125" style="672" customWidth="1"/>
    <col min="2308" max="2308" width="23.7109375" style="672" customWidth="1"/>
    <col min="2309" max="2309" width="19.5703125" style="672" customWidth="1"/>
    <col min="2310" max="2560" width="11.42578125" style="672"/>
    <col min="2561" max="2561" width="11.5703125" style="672" customWidth="1"/>
    <col min="2562" max="2562" width="8.42578125" style="672" customWidth="1"/>
    <col min="2563" max="2563" width="119.5703125" style="672" customWidth="1"/>
    <col min="2564" max="2564" width="23.7109375" style="672" customWidth="1"/>
    <col min="2565" max="2565" width="19.5703125" style="672" customWidth="1"/>
    <col min="2566" max="2816" width="11.42578125" style="672"/>
    <col min="2817" max="2817" width="11.5703125" style="672" customWidth="1"/>
    <col min="2818" max="2818" width="8.42578125" style="672" customWidth="1"/>
    <col min="2819" max="2819" width="119.5703125" style="672" customWidth="1"/>
    <col min="2820" max="2820" width="23.7109375" style="672" customWidth="1"/>
    <col min="2821" max="2821" width="19.5703125" style="672" customWidth="1"/>
    <col min="2822" max="3072" width="11.42578125" style="672"/>
    <col min="3073" max="3073" width="11.5703125" style="672" customWidth="1"/>
    <col min="3074" max="3074" width="8.42578125" style="672" customWidth="1"/>
    <col min="3075" max="3075" width="119.5703125" style="672" customWidth="1"/>
    <col min="3076" max="3076" width="23.7109375" style="672" customWidth="1"/>
    <col min="3077" max="3077" width="19.5703125" style="672" customWidth="1"/>
    <col min="3078" max="3328" width="11.42578125" style="672"/>
    <col min="3329" max="3329" width="11.5703125" style="672" customWidth="1"/>
    <col min="3330" max="3330" width="8.42578125" style="672" customWidth="1"/>
    <col min="3331" max="3331" width="119.5703125" style="672" customWidth="1"/>
    <col min="3332" max="3332" width="23.7109375" style="672" customWidth="1"/>
    <col min="3333" max="3333" width="19.5703125" style="672" customWidth="1"/>
    <col min="3334" max="3584" width="11.42578125" style="672"/>
    <col min="3585" max="3585" width="11.5703125" style="672" customWidth="1"/>
    <col min="3586" max="3586" width="8.42578125" style="672" customWidth="1"/>
    <col min="3587" max="3587" width="119.5703125" style="672" customWidth="1"/>
    <col min="3588" max="3588" width="23.7109375" style="672" customWidth="1"/>
    <col min="3589" max="3589" width="19.5703125" style="672" customWidth="1"/>
    <col min="3590" max="3840" width="11.42578125" style="672"/>
    <col min="3841" max="3841" width="11.5703125" style="672" customWidth="1"/>
    <col min="3842" max="3842" width="8.42578125" style="672" customWidth="1"/>
    <col min="3843" max="3843" width="119.5703125" style="672" customWidth="1"/>
    <col min="3844" max="3844" width="23.7109375" style="672" customWidth="1"/>
    <col min="3845" max="3845" width="19.5703125" style="672" customWidth="1"/>
    <col min="3846" max="4096" width="11.42578125" style="672"/>
    <col min="4097" max="4097" width="11.5703125" style="672" customWidth="1"/>
    <col min="4098" max="4098" width="8.42578125" style="672" customWidth="1"/>
    <col min="4099" max="4099" width="119.5703125" style="672" customWidth="1"/>
    <col min="4100" max="4100" width="23.7109375" style="672" customWidth="1"/>
    <col min="4101" max="4101" width="19.5703125" style="672" customWidth="1"/>
    <col min="4102" max="4352" width="11.42578125" style="672"/>
    <col min="4353" max="4353" width="11.5703125" style="672" customWidth="1"/>
    <col min="4354" max="4354" width="8.42578125" style="672" customWidth="1"/>
    <col min="4355" max="4355" width="119.5703125" style="672" customWidth="1"/>
    <col min="4356" max="4356" width="23.7109375" style="672" customWidth="1"/>
    <col min="4357" max="4357" width="19.5703125" style="672" customWidth="1"/>
    <col min="4358" max="4608" width="11.42578125" style="672"/>
    <col min="4609" max="4609" width="11.5703125" style="672" customWidth="1"/>
    <col min="4610" max="4610" width="8.42578125" style="672" customWidth="1"/>
    <col min="4611" max="4611" width="119.5703125" style="672" customWidth="1"/>
    <col min="4612" max="4612" width="23.7109375" style="672" customWidth="1"/>
    <col min="4613" max="4613" width="19.5703125" style="672" customWidth="1"/>
    <col min="4614" max="4864" width="11.42578125" style="672"/>
    <col min="4865" max="4865" width="11.5703125" style="672" customWidth="1"/>
    <col min="4866" max="4866" width="8.42578125" style="672" customWidth="1"/>
    <col min="4867" max="4867" width="119.5703125" style="672" customWidth="1"/>
    <col min="4868" max="4868" width="23.7109375" style="672" customWidth="1"/>
    <col min="4869" max="4869" width="19.5703125" style="672" customWidth="1"/>
    <col min="4870" max="5120" width="11.42578125" style="672"/>
    <col min="5121" max="5121" width="11.5703125" style="672" customWidth="1"/>
    <col min="5122" max="5122" width="8.42578125" style="672" customWidth="1"/>
    <col min="5123" max="5123" width="119.5703125" style="672" customWidth="1"/>
    <col min="5124" max="5124" width="23.7109375" style="672" customWidth="1"/>
    <col min="5125" max="5125" width="19.5703125" style="672" customWidth="1"/>
    <col min="5126" max="5376" width="11.42578125" style="672"/>
    <col min="5377" max="5377" width="11.5703125" style="672" customWidth="1"/>
    <col min="5378" max="5378" width="8.42578125" style="672" customWidth="1"/>
    <col min="5379" max="5379" width="119.5703125" style="672" customWidth="1"/>
    <col min="5380" max="5380" width="23.7109375" style="672" customWidth="1"/>
    <col min="5381" max="5381" width="19.5703125" style="672" customWidth="1"/>
    <col min="5382" max="5632" width="11.42578125" style="672"/>
    <col min="5633" max="5633" width="11.5703125" style="672" customWidth="1"/>
    <col min="5634" max="5634" width="8.42578125" style="672" customWidth="1"/>
    <col min="5635" max="5635" width="119.5703125" style="672" customWidth="1"/>
    <col min="5636" max="5636" width="23.7109375" style="672" customWidth="1"/>
    <col min="5637" max="5637" width="19.5703125" style="672" customWidth="1"/>
    <col min="5638" max="5888" width="11.42578125" style="672"/>
    <col min="5889" max="5889" width="11.5703125" style="672" customWidth="1"/>
    <col min="5890" max="5890" width="8.42578125" style="672" customWidth="1"/>
    <col min="5891" max="5891" width="119.5703125" style="672" customWidth="1"/>
    <col min="5892" max="5892" width="23.7109375" style="672" customWidth="1"/>
    <col min="5893" max="5893" width="19.5703125" style="672" customWidth="1"/>
    <col min="5894" max="6144" width="11.42578125" style="672"/>
    <col min="6145" max="6145" width="11.5703125" style="672" customWidth="1"/>
    <col min="6146" max="6146" width="8.42578125" style="672" customWidth="1"/>
    <col min="6147" max="6147" width="119.5703125" style="672" customWidth="1"/>
    <col min="6148" max="6148" width="23.7109375" style="672" customWidth="1"/>
    <col min="6149" max="6149" width="19.5703125" style="672" customWidth="1"/>
    <col min="6150" max="6400" width="11.42578125" style="672"/>
    <col min="6401" max="6401" width="11.5703125" style="672" customWidth="1"/>
    <col min="6402" max="6402" width="8.42578125" style="672" customWidth="1"/>
    <col min="6403" max="6403" width="119.5703125" style="672" customWidth="1"/>
    <col min="6404" max="6404" width="23.7109375" style="672" customWidth="1"/>
    <col min="6405" max="6405" width="19.5703125" style="672" customWidth="1"/>
    <col min="6406" max="6656" width="11.42578125" style="672"/>
    <col min="6657" max="6657" width="11.5703125" style="672" customWidth="1"/>
    <col min="6658" max="6658" width="8.42578125" style="672" customWidth="1"/>
    <col min="6659" max="6659" width="119.5703125" style="672" customWidth="1"/>
    <col min="6660" max="6660" width="23.7109375" style="672" customWidth="1"/>
    <col min="6661" max="6661" width="19.5703125" style="672" customWidth="1"/>
    <col min="6662" max="6912" width="11.42578125" style="672"/>
    <col min="6913" max="6913" width="11.5703125" style="672" customWidth="1"/>
    <col min="6914" max="6914" width="8.42578125" style="672" customWidth="1"/>
    <col min="6915" max="6915" width="119.5703125" style="672" customWidth="1"/>
    <col min="6916" max="6916" width="23.7109375" style="672" customWidth="1"/>
    <col min="6917" max="6917" width="19.5703125" style="672" customWidth="1"/>
    <col min="6918" max="7168" width="11.42578125" style="672"/>
    <col min="7169" max="7169" width="11.5703125" style="672" customWidth="1"/>
    <col min="7170" max="7170" width="8.42578125" style="672" customWidth="1"/>
    <col min="7171" max="7171" width="119.5703125" style="672" customWidth="1"/>
    <col min="7172" max="7172" width="23.7109375" style="672" customWidth="1"/>
    <col min="7173" max="7173" width="19.5703125" style="672" customWidth="1"/>
    <col min="7174" max="7424" width="11.42578125" style="672"/>
    <col min="7425" max="7425" width="11.5703125" style="672" customWidth="1"/>
    <col min="7426" max="7426" width="8.42578125" style="672" customWidth="1"/>
    <col min="7427" max="7427" width="119.5703125" style="672" customWidth="1"/>
    <col min="7428" max="7428" width="23.7109375" style="672" customWidth="1"/>
    <col min="7429" max="7429" width="19.5703125" style="672" customWidth="1"/>
    <col min="7430" max="7680" width="11.42578125" style="672"/>
    <col min="7681" max="7681" width="11.5703125" style="672" customWidth="1"/>
    <col min="7682" max="7682" width="8.42578125" style="672" customWidth="1"/>
    <col min="7683" max="7683" width="119.5703125" style="672" customWidth="1"/>
    <col min="7684" max="7684" width="23.7109375" style="672" customWidth="1"/>
    <col min="7685" max="7685" width="19.5703125" style="672" customWidth="1"/>
    <col min="7686" max="7936" width="11.42578125" style="672"/>
    <col min="7937" max="7937" width="11.5703125" style="672" customWidth="1"/>
    <col min="7938" max="7938" width="8.42578125" style="672" customWidth="1"/>
    <col min="7939" max="7939" width="119.5703125" style="672" customWidth="1"/>
    <col min="7940" max="7940" width="23.7109375" style="672" customWidth="1"/>
    <col min="7941" max="7941" width="19.5703125" style="672" customWidth="1"/>
    <col min="7942" max="8192" width="11.42578125" style="672"/>
    <col min="8193" max="8193" width="11.5703125" style="672" customWidth="1"/>
    <col min="8194" max="8194" width="8.42578125" style="672" customWidth="1"/>
    <col min="8195" max="8195" width="119.5703125" style="672" customWidth="1"/>
    <col min="8196" max="8196" width="23.7109375" style="672" customWidth="1"/>
    <col min="8197" max="8197" width="19.5703125" style="672" customWidth="1"/>
    <col min="8198" max="8448" width="11.42578125" style="672"/>
    <col min="8449" max="8449" width="11.5703125" style="672" customWidth="1"/>
    <col min="8450" max="8450" width="8.42578125" style="672" customWidth="1"/>
    <col min="8451" max="8451" width="119.5703125" style="672" customWidth="1"/>
    <col min="8452" max="8452" width="23.7109375" style="672" customWidth="1"/>
    <col min="8453" max="8453" width="19.5703125" style="672" customWidth="1"/>
    <col min="8454" max="8704" width="11.42578125" style="672"/>
    <col min="8705" max="8705" width="11.5703125" style="672" customWidth="1"/>
    <col min="8706" max="8706" width="8.42578125" style="672" customWidth="1"/>
    <col min="8707" max="8707" width="119.5703125" style="672" customWidth="1"/>
    <col min="8708" max="8708" width="23.7109375" style="672" customWidth="1"/>
    <col min="8709" max="8709" width="19.5703125" style="672" customWidth="1"/>
    <col min="8710" max="8960" width="11.42578125" style="672"/>
    <col min="8961" max="8961" width="11.5703125" style="672" customWidth="1"/>
    <col min="8962" max="8962" width="8.42578125" style="672" customWidth="1"/>
    <col min="8963" max="8963" width="119.5703125" style="672" customWidth="1"/>
    <col min="8964" max="8964" width="23.7109375" style="672" customWidth="1"/>
    <col min="8965" max="8965" width="19.5703125" style="672" customWidth="1"/>
    <col min="8966" max="9216" width="11.42578125" style="672"/>
    <col min="9217" max="9217" width="11.5703125" style="672" customWidth="1"/>
    <col min="9218" max="9218" width="8.42578125" style="672" customWidth="1"/>
    <col min="9219" max="9219" width="119.5703125" style="672" customWidth="1"/>
    <col min="9220" max="9220" width="23.7109375" style="672" customWidth="1"/>
    <col min="9221" max="9221" width="19.5703125" style="672" customWidth="1"/>
    <col min="9222" max="9472" width="11.42578125" style="672"/>
    <col min="9473" max="9473" width="11.5703125" style="672" customWidth="1"/>
    <col min="9474" max="9474" width="8.42578125" style="672" customWidth="1"/>
    <col min="9475" max="9475" width="119.5703125" style="672" customWidth="1"/>
    <col min="9476" max="9476" width="23.7109375" style="672" customWidth="1"/>
    <col min="9477" max="9477" width="19.5703125" style="672" customWidth="1"/>
    <col min="9478" max="9728" width="11.42578125" style="672"/>
    <col min="9729" max="9729" width="11.5703125" style="672" customWidth="1"/>
    <col min="9730" max="9730" width="8.42578125" style="672" customWidth="1"/>
    <col min="9731" max="9731" width="119.5703125" style="672" customWidth="1"/>
    <col min="9732" max="9732" width="23.7109375" style="672" customWidth="1"/>
    <col min="9733" max="9733" width="19.5703125" style="672" customWidth="1"/>
    <col min="9734" max="9984" width="11.42578125" style="672"/>
    <col min="9985" max="9985" width="11.5703125" style="672" customWidth="1"/>
    <col min="9986" max="9986" width="8.42578125" style="672" customWidth="1"/>
    <col min="9987" max="9987" width="119.5703125" style="672" customWidth="1"/>
    <col min="9988" max="9988" width="23.7109375" style="672" customWidth="1"/>
    <col min="9989" max="9989" width="19.5703125" style="672" customWidth="1"/>
    <col min="9990" max="10240" width="11.42578125" style="672"/>
    <col min="10241" max="10241" width="11.5703125" style="672" customWidth="1"/>
    <col min="10242" max="10242" width="8.42578125" style="672" customWidth="1"/>
    <col min="10243" max="10243" width="119.5703125" style="672" customWidth="1"/>
    <col min="10244" max="10244" width="23.7109375" style="672" customWidth="1"/>
    <col min="10245" max="10245" width="19.5703125" style="672" customWidth="1"/>
    <col min="10246" max="10496" width="11.42578125" style="672"/>
    <col min="10497" max="10497" width="11.5703125" style="672" customWidth="1"/>
    <col min="10498" max="10498" width="8.42578125" style="672" customWidth="1"/>
    <col min="10499" max="10499" width="119.5703125" style="672" customWidth="1"/>
    <col min="10500" max="10500" width="23.7109375" style="672" customWidth="1"/>
    <col min="10501" max="10501" width="19.5703125" style="672" customWidth="1"/>
    <col min="10502" max="10752" width="11.42578125" style="672"/>
    <col min="10753" max="10753" width="11.5703125" style="672" customWidth="1"/>
    <col min="10754" max="10754" width="8.42578125" style="672" customWidth="1"/>
    <col min="10755" max="10755" width="119.5703125" style="672" customWidth="1"/>
    <col min="10756" max="10756" width="23.7109375" style="672" customWidth="1"/>
    <col min="10757" max="10757" width="19.5703125" style="672" customWidth="1"/>
    <col min="10758" max="11008" width="11.42578125" style="672"/>
    <col min="11009" max="11009" width="11.5703125" style="672" customWidth="1"/>
    <col min="11010" max="11010" width="8.42578125" style="672" customWidth="1"/>
    <col min="11011" max="11011" width="119.5703125" style="672" customWidth="1"/>
    <col min="11012" max="11012" width="23.7109375" style="672" customWidth="1"/>
    <col min="11013" max="11013" width="19.5703125" style="672" customWidth="1"/>
    <col min="11014" max="11264" width="11.42578125" style="672"/>
    <col min="11265" max="11265" width="11.5703125" style="672" customWidth="1"/>
    <col min="11266" max="11266" width="8.42578125" style="672" customWidth="1"/>
    <col min="11267" max="11267" width="119.5703125" style="672" customWidth="1"/>
    <col min="11268" max="11268" width="23.7109375" style="672" customWidth="1"/>
    <col min="11269" max="11269" width="19.5703125" style="672" customWidth="1"/>
    <col min="11270" max="11520" width="11.42578125" style="672"/>
    <col min="11521" max="11521" width="11.5703125" style="672" customWidth="1"/>
    <col min="11522" max="11522" width="8.42578125" style="672" customWidth="1"/>
    <col min="11523" max="11523" width="119.5703125" style="672" customWidth="1"/>
    <col min="11524" max="11524" width="23.7109375" style="672" customWidth="1"/>
    <col min="11525" max="11525" width="19.5703125" style="672" customWidth="1"/>
    <col min="11526" max="11776" width="11.42578125" style="672"/>
    <col min="11777" max="11777" width="11.5703125" style="672" customWidth="1"/>
    <col min="11778" max="11778" width="8.42578125" style="672" customWidth="1"/>
    <col min="11779" max="11779" width="119.5703125" style="672" customWidth="1"/>
    <col min="11780" max="11780" width="23.7109375" style="672" customWidth="1"/>
    <col min="11781" max="11781" width="19.5703125" style="672" customWidth="1"/>
    <col min="11782" max="12032" width="11.42578125" style="672"/>
    <col min="12033" max="12033" width="11.5703125" style="672" customWidth="1"/>
    <col min="12034" max="12034" width="8.42578125" style="672" customWidth="1"/>
    <col min="12035" max="12035" width="119.5703125" style="672" customWidth="1"/>
    <col min="12036" max="12036" width="23.7109375" style="672" customWidth="1"/>
    <col min="12037" max="12037" width="19.5703125" style="672" customWidth="1"/>
    <col min="12038" max="12288" width="11.42578125" style="672"/>
    <col min="12289" max="12289" width="11.5703125" style="672" customWidth="1"/>
    <col min="12290" max="12290" width="8.42578125" style="672" customWidth="1"/>
    <col min="12291" max="12291" width="119.5703125" style="672" customWidth="1"/>
    <col min="12292" max="12292" width="23.7109375" style="672" customWidth="1"/>
    <col min="12293" max="12293" width="19.5703125" style="672" customWidth="1"/>
    <col min="12294" max="12544" width="11.42578125" style="672"/>
    <col min="12545" max="12545" width="11.5703125" style="672" customWidth="1"/>
    <col min="12546" max="12546" width="8.42578125" style="672" customWidth="1"/>
    <col min="12547" max="12547" width="119.5703125" style="672" customWidth="1"/>
    <col min="12548" max="12548" width="23.7109375" style="672" customWidth="1"/>
    <col min="12549" max="12549" width="19.5703125" style="672" customWidth="1"/>
    <col min="12550" max="12800" width="11.42578125" style="672"/>
    <col min="12801" max="12801" width="11.5703125" style="672" customWidth="1"/>
    <col min="12802" max="12802" width="8.42578125" style="672" customWidth="1"/>
    <col min="12803" max="12803" width="119.5703125" style="672" customWidth="1"/>
    <col min="12804" max="12804" width="23.7109375" style="672" customWidth="1"/>
    <col min="12805" max="12805" width="19.5703125" style="672" customWidth="1"/>
    <col min="12806" max="13056" width="11.42578125" style="672"/>
    <col min="13057" max="13057" width="11.5703125" style="672" customWidth="1"/>
    <col min="13058" max="13058" width="8.42578125" style="672" customWidth="1"/>
    <col min="13059" max="13059" width="119.5703125" style="672" customWidth="1"/>
    <col min="13060" max="13060" width="23.7109375" style="672" customWidth="1"/>
    <col min="13061" max="13061" width="19.5703125" style="672" customWidth="1"/>
    <col min="13062" max="13312" width="11.42578125" style="672"/>
    <col min="13313" max="13313" width="11.5703125" style="672" customWidth="1"/>
    <col min="13314" max="13314" width="8.42578125" style="672" customWidth="1"/>
    <col min="13315" max="13315" width="119.5703125" style="672" customWidth="1"/>
    <col min="13316" max="13316" width="23.7109375" style="672" customWidth="1"/>
    <col min="13317" max="13317" width="19.5703125" style="672" customWidth="1"/>
    <col min="13318" max="13568" width="11.42578125" style="672"/>
    <col min="13569" max="13569" width="11.5703125" style="672" customWidth="1"/>
    <col min="13570" max="13570" width="8.42578125" style="672" customWidth="1"/>
    <col min="13571" max="13571" width="119.5703125" style="672" customWidth="1"/>
    <col min="13572" max="13572" width="23.7109375" style="672" customWidth="1"/>
    <col min="13573" max="13573" width="19.5703125" style="672" customWidth="1"/>
    <col min="13574" max="13824" width="11.42578125" style="672"/>
    <col min="13825" max="13825" width="11.5703125" style="672" customWidth="1"/>
    <col min="13826" max="13826" width="8.42578125" style="672" customWidth="1"/>
    <col min="13827" max="13827" width="119.5703125" style="672" customWidth="1"/>
    <col min="13828" max="13828" width="23.7109375" style="672" customWidth="1"/>
    <col min="13829" max="13829" width="19.5703125" style="672" customWidth="1"/>
    <col min="13830" max="14080" width="11.42578125" style="672"/>
    <col min="14081" max="14081" width="11.5703125" style="672" customWidth="1"/>
    <col min="14082" max="14082" width="8.42578125" style="672" customWidth="1"/>
    <col min="14083" max="14083" width="119.5703125" style="672" customWidth="1"/>
    <col min="14084" max="14084" width="23.7109375" style="672" customWidth="1"/>
    <col min="14085" max="14085" width="19.5703125" style="672" customWidth="1"/>
    <col min="14086" max="14336" width="11.42578125" style="672"/>
    <col min="14337" max="14337" width="11.5703125" style="672" customWidth="1"/>
    <col min="14338" max="14338" width="8.42578125" style="672" customWidth="1"/>
    <col min="14339" max="14339" width="119.5703125" style="672" customWidth="1"/>
    <col min="14340" max="14340" width="23.7109375" style="672" customWidth="1"/>
    <col min="14341" max="14341" width="19.5703125" style="672" customWidth="1"/>
    <col min="14342" max="14592" width="11.42578125" style="672"/>
    <col min="14593" max="14593" width="11.5703125" style="672" customWidth="1"/>
    <col min="14594" max="14594" width="8.42578125" style="672" customWidth="1"/>
    <col min="14595" max="14595" width="119.5703125" style="672" customWidth="1"/>
    <col min="14596" max="14596" width="23.7109375" style="672" customWidth="1"/>
    <col min="14597" max="14597" width="19.5703125" style="672" customWidth="1"/>
    <col min="14598" max="14848" width="11.42578125" style="672"/>
    <col min="14849" max="14849" width="11.5703125" style="672" customWidth="1"/>
    <col min="14850" max="14850" width="8.42578125" style="672" customWidth="1"/>
    <col min="14851" max="14851" width="119.5703125" style="672" customWidth="1"/>
    <col min="14852" max="14852" width="23.7109375" style="672" customWidth="1"/>
    <col min="14853" max="14853" width="19.5703125" style="672" customWidth="1"/>
    <col min="14854" max="15104" width="11.42578125" style="672"/>
    <col min="15105" max="15105" width="11.5703125" style="672" customWidth="1"/>
    <col min="15106" max="15106" width="8.42578125" style="672" customWidth="1"/>
    <col min="15107" max="15107" width="119.5703125" style="672" customWidth="1"/>
    <col min="15108" max="15108" width="23.7109375" style="672" customWidth="1"/>
    <col min="15109" max="15109" width="19.5703125" style="672" customWidth="1"/>
    <col min="15110" max="15360" width="11.42578125" style="672"/>
    <col min="15361" max="15361" width="11.5703125" style="672" customWidth="1"/>
    <col min="15362" max="15362" width="8.42578125" style="672" customWidth="1"/>
    <col min="15363" max="15363" width="119.5703125" style="672" customWidth="1"/>
    <col min="15364" max="15364" width="23.7109375" style="672" customWidth="1"/>
    <col min="15365" max="15365" width="19.5703125" style="672" customWidth="1"/>
    <col min="15366" max="15616" width="11.42578125" style="672"/>
    <col min="15617" max="15617" width="11.5703125" style="672" customWidth="1"/>
    <col min="15618" max="15618" width="8.42578125" style="672" customWidth="1"/>
    <col min="15619" max="15619" width="119.5703125" style="672" customWidth="1"/>
    <col min="15620" max="15620" width="23.7109375" style="672" customWidth="1"/>
    <col min="15621" max="15621" width="19.5703125" style="672" customWidth="1"/>
    <col min="15622" max="15872" width="11.42578125" style="672"/>
    <col min="15873" max="15873" width="11.5703125" style="672" customWidth="1"/>
    <col min="15874" max="15874" width="8.42578125" style="672" customWidth="1"/>
    <col min="15875" max="15875" width="119.5703125" style="672" customWidth="1"/>
    <col min="15876" max="15876" width="23.7109375" style="672" customWidth="1"/>
    <col min="15877" max="15877" width="19.5703125" style="672" customWidth="1"/>
    <col min="15878" max="16128" width="11.42578125" style="672"/>
    <col min="16129" max="16129" width="11.5703125" style="672" customWidth="1"/>
    <col min="16130" max="16130" width="8.42578125" style="672" customWidth="1"/>
    <col min="16131" max="16131" width="119.5703125" style="672" customWidth="1"/>
    <col min="16132" max="16132" width="23.7109375" style="672" customWidth="1"/>
    <col min="16133" max="16133" width="19.5703125" style="672" customWidth="1"/>
    <col min="16134" max="16384" width="11.42578125" style="672"/>
  </cols>
  <sheetData>
    <row r="2" spans="2:5" s="264" customFormat="1" ht="15.75">
      <c r="C2" s="837" t="s">
        <v>396</v>
      </c>
      <c r="D2" s="837"/>
    </row>
    <row r="3" spans="2:5" s="421" customFormat="1" ht="18" customHeight="1">
      <c r="B3" s="837" t="s">
        <v>404</v>
      </c>
      <c r="C3" s="837"/>
      <c r="D3" s="837"/>
    </row>
    <row r="4" spans="2:5" ht="13.5" thickBot="1"/>
    <row r="5" spans="2:5" ht="29.25" customHeight="1" thickBot="1">
      <c r="B5" s="673" t="s">
        <v>292</v>
      </c>
      <c r="C5" s="674" t="s">
        <v>405</v>
      </c>
      <c r="D5" s="674" t="s">
        <v>490</v>
      </c>
      <c r="E5" s="675" t="s">
        <v>1141</v>
      </c>
    </row>
    <row r="6" spans="2:5" s="679" customFormat="1" ht="27" customHeight="1">
      <c r="B6" s="676">
        <v>1</v>
      </c>
      <c r="C6" s="677" t="s">
        <v>406</v>
      </c>
      <c r="D6" s="678" t="s">
        <v>471</v>
      </c>
      <c r="E6" s="389">
        <v>6.62</v>
      </c>
    </row>
    <row r="7" spans="2:5" s="679" customFormat="1" ht="27" customHeight="1">
      <c r="B7" s="680">
        <v>2</v>
      </c>
      <c r="C7" s="681" t="s">
        <v>407</v>
      </c>
      <c r="D7" s="682" t="s">
        <v>438</v>
      </c>
      <c r="E7" s="390">
        <v>3.26</v>
      </c>
    </row>
    <row r="8" spans="2:5" s="679" customFormat="1" ht="27" customHeight="1">
      <c r="B8" s="680">
        <v>3</v>
      </c>
      <c r="C8" s="683" t="s">
        <v>408</v>
      </c>
      <c r="D8" s="394" t="s">
        <v>461</v>
      </c>
      <c r="E8" s="390">
        <v>3.81</v>
      </c>
    </row>
    <row r="9" spans="2:5" s="679" customFormat="1" ht="27" customHeight="1">
      <c r="B9" s="680">
        <v>4</v>
      </c>
      <c r="C9" s="683" t="s">
        <v>409</v>
      </c>
      <c r="D9" s="684" t="s">
        <v>491</v>
      </c>
      <c r="E9" s="685" t="s">
        <v>487</v>
      </c>
    </row>
    <row r="10" spans="2:5" s="679" customFormat="1" ht="27" customHeight="1">
      <c r="B10" s="680">
        <v>5</v>
      </c>
      <c r="C10" s="683" t="s">
        <v>410</v>
      </c>
      <c r="D10" s="394" t="s">
        <v>468</v>
      </c>
      <c r="E10" s="390">
        <v>3.34</v>
      </c>
    </row>
    <row r="11" spans="2:5" s="679" customFormat="1" ht="27" customHeight="1">
      <c r="B11" s="680">
        <v>6</v>
      </c>
      <c r="C11" s="681" t="s">
        <v>411</v>
      </c>
      <c r="D11" s="682" t="s">
        <v>919</v>
      </c>
      <c r="E11" s="390">
        <v>4.34</v>
      </c>
    </row>
    <row r="12" spans="2:5" s="679" customFormat="1" ht="27" customHeight="1">
      <c r="B12" s="680">
        <v>7</v>
      </c>
      <c r="C12" s="681" t="s">
        <v>412</v>
      </c>
      <c r="D12" s="682" t="s">
        <v>774</v>
      </c>
      <c r="E12" s="390">
        <v>5.46</v>
      </c>
    </row>
    <row r="13" spans="2:5" s="679" customFormat="1" ht="27" customHeight="1">
      <c r="B13" s="680">
        <v>8</v>
      </c>
      <c r="C13" s="681" t="s">
        <v>413</v>
      </c>
      <c r="D13" s="682" t="s">
        <v>476</v>
      </c>
      <c r="E13" s="390">
        <v>2.2200000000000002</v>
      </c>
    </row>
    <row r="14" spans="2:5" s="679" customFormat="1" ht="27" customHeight="1">
      <c r="B14" s="680">
        <v>9</v>
      </c>
      <c r="C14" s="681" t="s">
        <v>414</v>
      </c>
      <c r="D14" s="682" t="s">
        <v>477</v>
      </c>
      <c r="E14" s="390">
        <v>3.9</v>
      </c>
    </row>
    <row r="15" spans="2:5" s="679" customFormat="1" ht="27" customHeight="1">
      <c r="B15" s="680">
        <v>10</v>
      </c>
      <c r="C15" s="681" t="s">
        <v>415</v>
      </c>
      <c r="D15" s="682" t="s">
        <v>955</v>
      </c>
      <c r="E15" s="390">
        <v>7.42</v>
      </c>
    </row>
    <row r="16" spans="2:5" s="679" customFormat="1" ht="27" customHeight="1">
      <c r="B16" s="680">
        <v>11</v>
      </c>
      <c r="C16" s="681" t="s">
        <v>416</v>
      </c>
      <c r="D16" s="682" t="s">
        <v>483</v>
      </c>
      <c r="E16" s="390">
        <v>3.21</v>
      </c>
    </row>
    <row r="17" spans="2:5" s="679" customFormat="1" ht="27" customHeight="1">
      <c r="B17" s="680">
        <v>12</v>
      </c>
      <c r="C17" s="681" t="s">
        <v>417</v>
      </c>
      <c r="D17" s="682" t="s">
        <v>453</v>
      </c>
      <c r="E17" s="390">
        <v>1.69</v>
      </c>
    </row>
    <row r="18" spans="2:5" s="679" customFormat="1" ht="27" customHeight="1">
      <c r="B18" s="680">
        <v>13</v>
      </c>
      <c r="C18" s="683" t="s">
        <v>418</v>
      </c>
      <c r="D18" s="394" t="s">
        <v>463</v>
      </c>
      <c r="E18" s="390">
        <v>7.49</v>
      </c>
    </row>
    <row r="19" spans="2:5" s="679" customFormat="1" ht="27" customHeight="1">
      <c r="B19" s="680">
        <v>14</v>
      </c>
      <c r="C19" s="681" t="s">
        <v>419</v>
      </c>
      <c r="D19" s="682" t="s">
        <v>459</v>
      </c>
      <c r="E19" s="390">
        <v>2.85</v>
      </c>
    </row>
    <row r="20" spans="2:5" s="679" customFormat="1" ht="27" customHeight="1">
      <c r="B20" s="680">
        <v>15</v>
      </c>
      <c r="C20" s="681" t="s">
        <v>420</v>
      </c>
      <c r="D20" s="682" t="s">
        <v>473</v>
      </c>
      <c r="E20" s="390">
        <v>7.01</v>
      </c>
    </row>
    <row r="21" spans="2:5" s="679" customFormat="1" ht="27" customHeight="1">
      <c r="B21" s="680">
        <v>16</v>
      </c>
      <c r="C21" s="681" t="s">
        <v>421</v>
      </c>
      <c r="D21" s="682" t="s">
        <v>485</v>
      </c>
      <c r="E21" s="390">
        <v>1.3</v>
      </c>
    </row>
    <row r="22" spans="2:5" s="679" customFormat="1" ht="27" customHeight="1">
      <c r="B22" s="680">
        <v>17</v>
      </c>
      <c r="C22" s="681" t="s">
        <v>422</v>
      </c>
      <c r="D22" s="682" t="s">
        <v>776</v>
      </c>
      <c r="E22" s="390">
        <v>3.08</v>
      </c>
    </row>
    <row r="23" spans="2:5" s="679" customFormat="1" ht="27" customHeight="1">
      <c r="B23" s="680">
        <v>18</v>
      </c>
      <c r="C23" s="681" t="s">
        <v>423</v>
      </c>
      <c r="D23" s="682" t="s">
        <v>466</v>
      </c>
      <c r="E23" s="390">
        <v>0.81</v>
      </c>
    </row>
    <row r="24" spans="2:5" s="679" customFormat="1" ht="27" customHeight="1">
      <c r="B24" s="680">
        <v>19</v>
      </c>
      <c r="C24" s="681" t="s">
        <v>424</v>
      </c>
      <c r="D24" s="682" t="s">
        <v>486</v>
      </c>
      <c r="E24" s="390">
        <v>3.95</v>
      </c>
    </row>
    <row r="25" spans="2:5" s="679" customFormat="1" ht="27" customHeight="1">
      <c r="B25" s="680">
        <v>20</v>
      </c>
      <c r="C25" s="681" t="s">
        <v>425</v>
      </c>
      <c r="D25" s="682" t="s">
        <v>467</v>
      </c>
      <c r="E25" s="390">
        <v>6.45</v>
      </c>
    </row>
    <row r="26" spans="2:5" s="679" customFormat="1" ht="27" customHeight="1">
      <c r="B26" s="680">
        <v>21</v>
      </c>
      <c r="C26" s="681" t="s">
        <v>426</v>
      </c>
      <c r="D26" s="682" t="s">
        <v>880</v>
      </c>
      <c r="E26" s="390">
        <v>3.62</v>
      </c>
    </row>
    <row r="27" spans="2:5" s="679" customFormat="1" ht="27" customHeight="1">
      <c r="B27" s="680">
        <v>22</v>
      </c>
      <c r="C27" s="681" t="s">
        <v>427</v>
      </c>
      <c r="D27" s="682" t="s">
        <v>465</v>
      </c>
      <c r="E27" s="390">
        <v>2.59</v>
      </c>
    </row>
    <row r="28" spans="2:5" s="679" customFormat="1" ht="27" customHeight="1" thickBot="1">
      <c r="B28" s="686">
        <v>23</v>
      </c>
      <c r="C28" s="687" t="s">
        <v>428</v>
      </c>
      <c r="D28" s="688" t="s">
        <v>445</v>
      </c>
      <c r="E28" s="391">
        <v>4.55</v>
      </c>
    </row>
    <row r="29" spans="2:5" ht="15">
      <c r="C29" s="423"/>
    </row>
    <row r="31" spans="2:5">
      <c r="B31" s="689" t="s">
        <v>1142</v>
      </c>
    </row>
    <row r="32" spans="2:5" ht="15" customHeight="1">
      <c r="B32" s="838" t="s">
        <v>1143</v>
      </c>
      <c r="C32" s="838"/>
      <c r="D32" s="838"/>
      <c r="E32" s="838"/>
    </row>
    <row r="33" spans="2:5">
      <c r="B33" s="838"/>
      <c r="C33" s="838"/>
      <c r="D33" s="838"/>
      <c r="E33" s="838"/>
    </row>
    <row r="34" spans="2:5">
      <c r="B34" s="838"/>
      <c r="C34" s="838"/>
      <c r="D34" s="838"/>
      <c r="E34" s="838"/>
    </row>
    <row r="35" spans="2:5">
      <c r="B35" s="838"/>
      <c r="C35" s="838"/>
      <c r="D35" s="838"/>
      <c r="E35" s="838"/>
    </row>
  </sheetData>
  <mergeCells count="3">
    <mergeCell ref="C2:D2"/>
    <mergeCell ref="B3:D3"/>
    <mergeCell ref="B32:E35"/>
  </mergeCells>
  <printOptions horizontalCentered="1"/>
  <pageMargins left="0.98425196850393704" right="0.78740157480314965" top="1.1811023622047245" bottom="0.78740157480314965" header="0.6692913385826772" footer="0.62992125984251968"/>
  <pageSetup paperSize="8" scale="74" orientation="portrait" r:id="rId1"/>
  <headerFooter alignWithMargins="0">
    <oddHeader>&amp;L&amp;G&amp;C“SERVICIO DE PROVISIÓN, APLICACIÓN Y REPOSICIÓN
 DE PRODUCTOS QUÍMICOS, CONTROL Y MANTENIMIENTO DE SISTEMAS DE DOSIFICACIÓN”&amp;RPAMPA ENERGÍA S.A.
Doc3479828784</oddHeader>
    <oddFooter>&amp;LNeuquén, 27 de febrero de 2023&amp;RPágina &amp;P de &amp;N</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pageSetUpPr fitToPage="1"/>
  </sheetPr>
  <dimension ref="B2:E33"/>
  <sheetViews>
    <sheetView showGridLines="0" zoomScale="50" zoomScaleNormal="50" workbookViewId="0">
      <selection activeCell="I25" sqref="I25:J25"/>
    </sheetView>
  </sheetViews>
  <sheetFormatPr baseColWidth="10" defaultRowHeight="12.75"/>
  <cols>
    <col min="1" max="1" width="4.28515625" style="387" customWidth="1"/>
    <col min="2" max="2" width="8.42578125" style="387" customWidth="1"/>
    <col min="3" max="3" width="69.42578125" style="387" customWidth="1"/>
    <col min="4" max="4" width="20" style="387" customWidth="1"/>
    <col min="5" max="5" width="17.7109375" style="387" customWidth="1"/>
    <col min="6" max="254" width="11.42578125" style="387"/>
    <col min="255" max="255" width="11.5703125" style="387" customWidth="1"/>
    <col min="256" max="256" width="8.42578125" style="387" customWidth="1"/>
    <col min="257" max="257" width="119.5703125" style="387" customWidth="1"/>
    <col min="258" max="258" width="23.7109375" style="387" customWidth="1"/>
    <col min="259" max="259" width="12.5703125" style="387" customWidth="1"/>
    <col min="260" max="510" width="11.42578125" style="387"/>
    <col min="511" max="511" width="11.5703125" style="387" customWidth="1"/>
    <col min="512" max="512" width="8.42578125" style="387" customWidth="1"/>
    <col min="513" max="513" width="119.5703125" style="387" customWidth="1"/>
    <col min="514" max="514" width="23.7109375" style="387" customWidth="1"/>
    <col min="515" max="515" width="12.5703125" style="387" customWidth="1"/>
    <col min="516" max="766" width="11.42578125" style="387"/>
    <col min="767" max="767" width="11.5703125" style="387" customWidth="1"/>
    <col min="768" max="768" width="8.42578125" style="387" customWidth="1"/>
    <col min="769" max="769" width="119.5703125" style="387" customWidth="1"/>
    <col min="770" max="770" width="23.7109375" style="387" customWidth="1"/>
    <col min="771" max="771" width="12.5703125" style="387" customWidth="1"/>
    <col min="772" max="1022" width="11.42578125" style="387"/>
    <col min="1023" max="1023" width="11.5703125" style="387" customWidth="1"/>
    <col min="1024" max="1024" width="8.42578125" style="387" customWidth="1"/>
    <col min="1025" max="1025" width="119.5703125" style="387" customWidth="1"/>
    <col min="1026" max="1026" width="23.7109375" style="387" customWidth="1"/>
    <col min="1027" max="1027" width="12.5703125" style="387" customWidth="1"/>
    <col min="1028" max="1278" width="11.42578125" style="387"/>
    <col min="1279" max="1279" width="11.5703125" style="387" customWidth="1"/>
    <col min="1280" max="1280" width="8.42578125" style="387" customWidth="1"/>
    <col min="1281" max="1281" width="119.5703125" style="387" customWidth="1"/>
    <col min="1282" max="1282" width="23.7109375" style="387" customWidth="1"/>
    <col min="1283" max="1283" width="12.5703125" style="387" customWidth="1"/>
    <col min="1284" max="1534" width="11.42578125" style="387"/>
    <col min="1535" max="1535" width="11.5703125" style="387" customWidth="1"/>
    <col min="1536" max="1536" width="8.42578125" style="387" customWidth="1"/>
    <col min="1537" max="1537" width="119.5703125" style="387" customWidth="1"/>
    <col min="1538" max="1538" width="23.7109375" style="387" customWidth="1"/>
    <col min="1539" max="1539" width="12.5703125" style="387" customWidth="1"/>
    <col min="1540" max="1790" width="11.42578125" style="387"/>
    <col min="1791" max="1791" width="11.5703125" style="387" customWidth="1"/>
    <col min="1792" max="1792" width="8.42578125" style="387" customWidth="1"/>
    <col min="1793" max="1793" width="119.5703125" style="387" customWidth="1"/>
    <col min="1794" max="1794" width="23.7109375" style="387" customWidth="1"/>
    <col min="1795" max="1795" width="12.5703125" style="387" customWidth="1"/>
    <col min="1796" max="2046" width="11.42578125" style="387"/>
    <col min="2047" max="2047" width="11.5703125" style="387" customWidth="1"/>
    <col min="2048" max="2048" width="8.42578125" style="387" customWidth="1"/>
    <col min="2049" max="2049" width="119.5703125" style="387" customWidth="1"/>
    <col min="2050" max="2050" width="23.7109375" style="387" customWidth="1"/>
    <col min="2051" max="2051" width="12.5703125" style="387" customWidth="1"/>
    <col min="2052" max="2302" width="11.42578125" style="387"/>
    <col min="2303" max="2303" width="11.5703125" style="387" customWidth="1"/>
    <col min="2304" max="2304" width="8.42578125" style="387" customWidth="1"/>
    <col min="2305" max="2305" width="119.5703125" style="387" customWidth="1"/>
    <col min="2306" max="2306" width="23.7109375" style="387" customWidth="1"/>
    <col min="2307" max="2307" width="12.5703125" style="387" customWidth="1"/>
    <col min="2308" max="2558" width="11.42578125" style="387"/>
    <col min="2559" max="2559" width="11.5703125" style="387" customWidth="1"/>
    <col min="2560" max="2560" width="8.42578125" style="387" customWidth="1"/>
    <col min="2561" max="2561" width="119.5703125" style="387" customWidth="1"/>
    <col min="2562" max="2562" width="23.7109375" style="387" customWidth="1"/>
    <col min="2563" max="2563" width="12.5703125" style="387" customWidth="1"/>
    <col min="2564" max="2814" width="11.42578125" style="387"/>
    <col min="2815" max="2815" width="11.5703125" style="387" customWidth="1"/>
    <col min="2816" max="2816" width="8.42578125" style="387" customWidth="1"/>
    <col min="2817" max="2817" width="119.5703125" style="387" customWidth="1"/>
    <col min="2818" max="2818" width="23.7109375" style="387" customWidth="1"/>
    <col min="2819" max="2819" width="12.5703125" style="387" customWidth="1"/>
    <col min="2820" max="3070" width="11.42578125" style="387"/>
    <col min="3071" max="3071" width="11.5703125" style="387" customWidth="1"/>
    <col min="3072" max="3072" width="8.42578125" style="387" customWidth="1"/>
    <col min="3073" max="3073" width="119.5703125" style="387" customWidth="1"/>
    <col min="3074" max="3074" width="23.7109375" style="387" customWidth="1"/>
    <col min="3075" max="3075" width="12.5703125" style="387" customWidth="1"/>
    <col min="3076" max="3326" width="11.42578125" style="387"/>
    <col min="3327" max="3327" width="11.5703125" style="387" customWidth="1"/>
    <col min="3328" max="3328" width="8.42578125" style="387" customWidth="1"/>
    <col min="3329" max="3329" width="119.5703125" style="387" customWidth="1"/>
    <col min="3330" max="3330" width="23.7109375" style="387" customWidth="1"/>
    <col min="3331" max="3331" width="12.5703125" style="387" customWidth="1"/>
    <col min="3332" max="3582" width="11.42578125" style="387"/>
    <col min="3583" max="3583" width="11.5703125" style="387" customWidth="1"/>
    <col min="3584" max="3584" width="8.42578125" style="387" customWidth="1"/>
    <col min="3585" max="3585" width="119.5703125" style="387" customWidth="1"/>
    <col min="3586" max="3586" width="23.7109375" style="387" customWidth="1"/>
    <col min="3587" max="3587" width="12.5703125" style="387" customWidth="1"/>
    <col min="3588" max="3838" width="11.42578125" style="387"/>
    <col min="3839" max="3839" width="11.5703125" style="387" customWidth="1"/>
    <col min="3840" max="3840" width="8.42578125" style="387" customWidth="1"/>
    <col min="3841" max="3841" width="119.5703125" style="387" customWidth="1"/>
    <col min="3842" max="3842" width="23.7109375" style="387" customWidth="1"/>
    <col min="3843" max="3843" width="12.5703125" style="387" customWidth="1"/>
    <col min="3844" max="4094" width="11.42578125" style="387"/>
    <col min="4095" max="4095" width="11.5703125" style="387" customWidth="1"/>
    <col min="4096" max="4096" width="8.42578125" style="387" customWidth="1"/>
    <col min="4097" max="4097" width="119.5703125" style="387" customWidth="1"/>
    <col min="4098" max="4098" width="23.7109375" style="387" customWidth="1"/>
    <col min="4099" max="4099" width="12.5703125" style="387" customWidth="1"/>
    <col min="4100" max="4350" width="11.42578125" style="387"/>
    <col min="4351" max="4351" width="11.5703125" style="387" customWidth="1"/>
    <col min="4352" max="4352" width="8.42578125" style="387" customWidth="1"/>
    <col min="4353" max="4353" width="119.5703125" style="387" customWidth="1"/>
    <col min="4354" max="4354" width="23.7109375" style="387" customWidth="1"/>
    <col min="4355" max="4355" width="12.5703125" style="387" customWidth="1"/>
    <col min="4356" max="4606" width="11.42578125" style="387"/>
    <col min="4607" max="4607" width="11.5703125" style="387" customWidth="1"/>
    <col min="4608" max="4608" width="8.42578125" style="387" customWidth="1"/>
    <col min="4609" max="4609" width="119.5703125" style="387" customWidth="1"/>
    <col min="4610" max="4610" width="23.7109375" style="387" customWidth="1"/>
    <col min="4611" max="4611" width="12.5703125" style="387" customWidth="1"/>
    <col min="4612" max="4862" width="11.42578125" style="387"/>
    <col min="4863" max="4863" width="11.5703125" style="387" customWidth="1"/>
    <col min="4864" max="4864" width="8.42578125" style="387" customWidth="1"/>
    <col min="4865" max="4865" width="119.5703125" style="387" customWidth="1"/>
    <col min="4866" max="4866" width="23.7109375" style="387" customWidth="1"/>
    <col min="4867" max="4867" width="12.5703125" style="387" customWidth="1"/>
    <col min="4868" max="5118" width="11.42578125" style="387"/>
    <col min="5119" max="5119" width="11.5703125" style="387" customWidth="1"/>
    <col min="5120" max="5120" width="8.42578125" style="387" customWidth="1"/>
    <col min="5121" max="5121" width="119.5703125" style="387" customWidth="1"/>
    <col min="5122" max="5122" width="23.7109375" style="387" customWidth="1"/>
    <col min="5123" max="5123" width="12.5703125" style="387" customWidth="1"/>
    <col min="5124" max="5374" width="11.42578125" style="387"/>
    <col min="5375" max="5375" width="11.5703125" style="387" customWidth="1"/>
    <col min="5376" max="5376" width="8.42578125" style="387" customWidth="1"/>
    <col min="5377" max="5377" width="119.5703125" style="387" customWidth="1"/>
    <col min="5378" max="5378" width="23.7109375" style="387" customWidth="1"/>
    <col min="5379" max="5379" width="12.5703125" style="387" customWidth="1"/>
    <col min="5380" max="5630" width="11.42578125" style="387"/>
    <col min="5631" max="5631" width="11.5703125" style="387" customWidth="1"/>
    <col min="5632" max="5632" width="8.42578125" style="387" customWidth="1"/>
    <col min="5633" max="5633" width="119.5703125" style="387" customWidth="1"/>
    <col min="5634" max="5634" width="23.7109375" style="387" customWidth="1"/>
    <col min="5635" max="5635" width="12.5703125" style="387" customWidth="1"/>
    <col min="5636" max="5886" width="11.42578125" style="387"/>
    <col min="5887" max="5887" width="11.5703125" style="387" customWidth="1"/>
    <col min="5888" max="5888" width="8.42578125" style="387" customWidth="1"/>
    <col min="5889" max="5889" width="119.5703125" style="387" customWidth="1"/>
    <col min="5890" max="5890" width="23.7109375" style="387" customWidth="1"/>
    <col min="5891" max="5891" width="12.5703125" style="387" customWidth="1"/>
    <col min="5892" max="6142" width="11.42578125" style="387"/>
    <col min="6143" max="6143" width="11.5703125" style="387" customWidth="1"/>
    <col min="6144" max="6144" width="8.42578125" style="387" customWidth="1"/>
    <col min="6145" max="6145" width="119.5703125" style="387" customWidth="1"/>
    <col min="6146" max="6146" width="23.7109375" style="387" customWidth="1"/>
    <col min="6147" max="6147" width="12.5703125" style="387" customWidth="1"/>
    <col min="6148" max="6398" width="11.42578125" style="387"/>
    <col min="6399" max="6399" width="11.5703125" style="387" customWidth="1"/>
    <col min="6400" max="6400" width="8.42578125" style="387" customWidth="1"/>
    <col min="6401" max="6401" width="119.5703125" style="387" customWidth="1"/>
    <col min="6402" max="6402" width="23.7109375" style="387" customWidth="1"/>
    <col min="6403" max="6403" width="12.5703125" style="387" customWidth="1"/>
    <col min="6404" max="6654" width="11.42578125" style="387"/>
    <col min="6655" max="6655" width="11.5703125" style="387" customWidth="1"/>
    <col min="6656" max="6656" width="8.42578125" style="387" customWidth="1"/>
    <col min="6657" max="6657" width="119.5703125" style="387" customWidth="1"/>
    <col min="6658" max="6658" width="23.7109375" style="387" customWidth="1"/>
    <col min="6659" max="6659" width="12.5703125" style="387" customWidth="1"/>
    <col min="6660" max="6910" width="11.42578125" style="387"/>
    <col min="6911" max="6911" width="11.5703125" style="387" customWidth="1"/>
    <col min="6912" max="6912" width="8.42578125" style="387" customWidth="1"/>
    <col min="6913" max="6913" width="119.5703125" style="387" customWidth="1"/>
    <col min="6914" max="6914" width="23.7109375" style="387" customWidth="1"/>
    <col min="6915" max="6915" width="12.5703125" style="387" customWidth="1"/>
    <col min="6916" max="7166" width="11.42578125" style="387"/>
    <col min="7167" max="7167" width="11.5703125" style="387" customWidth="1"/>
    <col min="7168" max="7168" width="8.42578125" style="387" customWidth="1"/>
    <col min="7169" max="7169" width="119.5703125" style="387" customWidth="1"/>
    <col min="7170" max="7170" width="23.7109375" style="387" customWidth="1"/>
    <col min="7171" max="7171" width="12.5703125" style="387" customWidth="1"/>
    <col min="7172" max="7422" width="11.42578125" style="387"/>
    <col min="7423" max="7423" width="11.5703125" style="387" customWidth="1"/>
    <col min="7424" max="7424" width="8.42578125" style="387" customWidth="1"/>
    <col min="7425" max="7425" width="119.5703125" style="387" customWidth="1"/>
    <col min="7426" max="7426" width="23.7109375" style="387" customWidth="1"/>
    <col min="7427" max="7427" width="12.5703125" style="387" customWidth="1"/>
    <col min="7428" max="7678" width="11.42578125" style="387"/>
    <col min="7679" max="7679" width="11.5703125" style="387" customWidth="1"/>
    <col min="7680" max="7680" width="8.42578125" style="387" customWidth="1"/>
    <col min="7681" max="7681" width="119.5703125" style="387" customWidth="1"/>
    <col min="7682" max="7682" width="23.7109375" style="387" customWidth="1"/>
    <col min="7683" max="7683" width="12.5703125" style="387" customWidth="1"/>
    <col min="7684" max="7934" width="11.42578125" style="387"/>
    <col min="7935" max="7935" width="11.5703125" style="387" customWidth="1"/>
    <col min="7936" max="7936" width="8.42578125" style="387" customWidth="1"/>
    <col min="7937" max="7937" width="119.5703125" style="387" customWidth="1"/>
    <col min="7938" max="7938" width="23.7109375" style="387" customWidth="1"/>
    <col min="7939" max="7939" width="12.5703125" style="387" customWidth="1"/>
    <col min="7940" max="8190" width="11.42578125" style="387"/>
    <col min="8191" max="8191" width="11.5703125" style="387" customWidth="1"/>
    <col min="8192" max="8192" width="8.42578125" style="387" customWidth="1"/>
    <col min="8193" max="8193" width="119.5703125" style="387" customWidth="1"/>
    <col min="8194" max="8194" width="23.7109375" style="387" customWidth="1"/>
    <col min="8195" max="8195" width="12.5703125" style="387" customWidth="1"/>
    <col min="8196" max="8446" width="11.42578125" style="387"/>
    <col min="8447" max="8447" width="11.5703125" style="387" customWidth="1"/>
    <col min="8448" max="8448" width="8.42578125" style="387" customWidth="1"/>
    <col min="8449" max="8449" width="119.5703125" style="387" customWidth="1"/>
    <col min="8450" max="8450" width="23.7109375" style="387" customWidth="1"/>
    <col min="8451" max="8451" width="12.5703125" style="387" customWidth="1"/>
    <col min="8452" max="8702" width="11.42578125" style="387"/>
    <col min="8703" max="8703" width="11.5703125" style="387" customWidth="1"/>
    <col min="8704" max="8704" width="8.42578125" style="387" customWidth="1"/>
    <col min="8705" max="8705" width="119.5703125" style="387" customWidth="1"/>
    <col min="8706" max="8706" width="23.7109375" style="387" customWidth="1"/>
    <col min="8707" max="8707" width="12.5703125" style="387" customWidth="1"/>
    <col min="8708" max="8958" width="11.42578125" style="387"/>
    <col min="8959" max="8959" width="11.5703125" style="387" customWidth="1"/>
    <col min="8960" max="8960" width="8.42578125" style="387" customWidth="1"/>
    <col min="8961" max="8961" width="119.5703125" style="387" customWidth="1"/>
    <col min="8962" max="8962" width="23.7109375" style="387" customWidth="1"/>
    <col min="8963" max="8963" width="12.5703125" style="387" customWidth="1"/>
    <col min="8964" max="9214" width="11.42578125" style="387"/>
    <col min="9215" max="9215" width="11.5703125" style="387" customWidth="1"/>
    <col min="9216" max="9216" width="8.42578125" style="387" customWidth="1"/>
    <col min="9217" max="9217" width="119.5703125" style="387" customWidth="1"/>
    <col min="9218" max="9218" width="23.7109375" style="387" customWidth="1"/>
    <col min="9219" max="9219" width="12.5703125" style="387" customWidth="1"/>
    <col min="9220" max="9470" width="11.42578125" style="387"/>
    <col min="9471" max="9471" width="11.5703125" style="387" customWidth="1"/>
    <col min="9472" max="9472" width="8.42578125" style="387" customWidth="1"/>
    <col min="9473" max="9473" width="119.5703125" style="387" customWidth="1"/>
    <col min="9474" max="9474" width="23.7109375" style="387" customWidth="1"/>
    <col min="9475" max="9475" width="12.5703125" style="387" customWidth="1"/>
    <col min="9476" max="9726" width="11.42578125" style="387"/>
    <col min="9727" max="9727" width="11.5703125" style="387" customWidth="1"/>
    <col min="9728" max="9728" width="8.42578125" style="387" customWidth="1"/>
    <col min="9729" max="9729" width="119.5703125" style="387" customWidth="1"/>
    <col min="9730" max="9730" width="23.7109375" style="387" customWidth="1"/>
    <col min="9731" max="9731" width="12.5703125" style="387" customWidth="1"/>
    <col min="9732" max="9982" width="11.42578125" style="387"/>
    <col min="9983" max="9983" width="11.5703125" style="387" customWidth="1"/>
    <col min="9984" max="9984" width="8.42578125" style="387" customWidth="1"/>
    <col min="9985" max="9985" width="119.5703125" style="387" customWidth="1"/>
    <col min="9986" max="9986" width="23.7109375" style="387" customWidth="1"/>
    <col min="9987" max="9987" width="12.5703125" style="387" customWidth="1"/>
    <col min="9988" max="10238" width="11.42578125" style="387"/>
    <col min="10239" max="10239" width="11.5703125" style="387" customWidth="1"/>
    <col min="10240" max="10240" width="8.42578125" style="387" customWidth="1"/>
    <col min="10241" max="10241" width="119.5703125" style="387" customWidth="1"/>
    <col min="10242" max="10242" width="23.7109375" style="387" customWidth="1"/>
    <col min="10243" max="10243" width="12.5703125" style="387" customWidth="1"/>
    <col min="10244" max="10494" width="11.42578125" style="387"/>
    <col min="10495" max="10495" width="11.5703125" style="387" customWidth="1"/>
    <col min="10496" max="10496" width="8.42578125" style="387" customWidth="1"/>
    <col min="10497" max="10497" width="119.5703125" style="387" customWidth="1"/>
    <col min="10498" max="10498" width="23.7109375" style="387" customWidth="1"/>
    <col min="10499" max="10499" width="12.5703125" style="387" customWidth="1"/>
    <col min="10500" max="10750" width="11.42578125" style="387"/>
    <col min="10751" max="10751" width="11.5703125" style="387" customWidth="1"/>
    <col min="10752" max="10752" width="8.42578125" style="387" customWidth="1"/>
    <col min="10753" max="10753" width="119.5703125" style="387" customWidth="1"/>
    <col min="10754" max="10754" width="23.7109375" style="387" customWidth="1"/>
    <col min="10755" max="10755" width="12.5703125" style="387" customWidth="1"/>
    <col min="10756" max="11006" width="11.42578125" style="387"/>
    <col min="11007" max="11007" width="11.5703125" style="387" customWidth="1"/>
    <col min="11008" max="11008" width="8.42578125" style="387" customWidth="1"/>
    <col min="11009" max="11009" width="119.5703125" style="387" customWidth="1"/>
    <col min="11010" max="11010" width="23.7109375" style="387" customWidth="1"/>
    <col min="11011" max="11011" width="12.5703125" style="387" customWidth="1"/>
    <col min="11012" max="11262" width="11.42578125" style="387"/>
    <col min="11263" max="11263" width="11.5703125" style="387" customWidth="1"/>
    <col min="11264" max="11264" width="8.42578125" style="387" customWidth="1"/>
    <col min="11265" max="11265" width="119.5703125" style="387" customWidth="1"/>
    <col min="11266" max="11266" width="23.7109375" style="387" customWidth="1"/>
    <col min="11267" max="11267" width="12.5703125" style="387" customWidth="1"/>
    <col min="11268" max="11518" width="11.42578125" style="387"/>
    <col min="11519" max="11519" width="11.5703125" style="387" customWidth="1"/>
    <col min="11520" max="11520" width="8.42578125" style="387" customWidth="1"/>
    <col min="11521" max="11521" width="119.5703125" style="387" customWidth="1"/>
    <col min="11522" max="11522" width="23.7109375" style="387" customWidth="1"/>
    <col min="11523" max="11523" width="12.5703125" style="387" customWidth="1"/>
    <col min="11524" max="11774" width="11.42578125" style="387"/>
    <col min="11775" max="11775" width="11.5703125" style="387" customWidth="1"/>
    <col min="11776" max="11776" width="8.42578125" style="387" customWidth="1"/>
    <col min="11777" max="11777" width="119.5703125" style="387" customWidth="1"/>
    <col min="11778" max="11778" width="23.7109375" style="387" customWidth="1"/>
    <col min="11779" max="11779" width="12.5703125" style="387" customWidth="1"/>
    <col min="11780" max="12030" width="11.42578125" style="387"/>
    <col min="12031" max="12031" width="11.5703125" style="387" customWidth="1"/>
    <col min="12032" max="12032" width="8.42578125" style="387" customWidth="1"/>
    <col min="12033" max="12033" width="119.5703125" style="387" customWidth="1"/>
    <col min="12034" max="12034" width="23.7109375" style="387" customWidth="1"/>
    <col min="12035" max="12035" width="12.5703125" style="387" customWidth="1"/>
    <col min="12036" max="12286" width="11.42578125" style="387"/>
    <col min="12287" max="12287" width="11.5703125" style="387" customWidth="1"/>
    <col min="12288" max="12288" width="8.42578125" style="387" customWidth="1"/>
    <col min="12289" max="12289" width="119.5703125" style="387" customWidth="1"/>
    <col min="12290" max="12290" width="23.7109375" style="387" customWidth="1"/>
    <col min="12291" max="12291" width="12.5703125" style="387" customWidth="1"/>
    <col min="12292" max="12542" width="11.42578125" style="387"/>
    <col min="12543" max="12543" width="11.5703125" style="387" customWidth="1"/>
    <col min="12544" max="12544" width="8.42578125" style="387" customWidth="1"/>
    <col min="12545" max="12545" width="119.5703125" style="387" customWidth="1"/>
    <col min="12546" max="12546" width="23.7109375" style="387" customWidth="1"/>
    <col min="12547" max="12547" width="12.5703125" style="387" customWidth="1"/>
    <col min="12548" max="12798" width="11.42578125" style="387"/>
    <col min="12799" max="12799" width="11.5703125" style="387" customWidth="1"/>
    <col min="12800" max="12800" width="8.42578125" style="387" customWidth="1"/>
    <col min="12801" max="12801" width="119.5703125" style="387" customWidth="1"/>
    <col min="12802" max="12802" width="23.7109375" style="387" customWidth="1"/>
    <col min="12803" max="12803" width="12.5703125" style="387" customWidth="1"/>
    <col min="12804" max="13054" width="11.42578125" style="387"/>
    <col min="13055" max="13055" width="11.5703125" style="387" customWidth="1"/>
    <col min="13056" max="13056" width="8.42578125" style="387" customWidth="1"/>
    <col min="13057" max="13057" width="119.5703125" style="387" customWidth="1"/>
    <col min="13058" max="13058" width="23.7109375" style="387" customWidth="1"/>
    <col min="13059" max="13059" width="12.5703125" style="387" customWidth="1"/>
    <col min="13060" max="13310" width="11.42578125" style="387"/>
    <col min="13311" max="13311" width="11.5703125" style="387" customWidth="1"/>
    <col min="13312" max="13312" width="8.42578125" style="387" customWidth="1"/>
    <col min="13313" max="13313" width="119.5703125" style="387" customWidth="1"/>
    <col min="13314" max="13314" width="23.7109375" style="387" customWidth="1"/>
    <col min="13315" max="13315" width="12.5703125" style="387" customWidth="1"/>
    <col min="13316" max="13566" width="11.42578125" style="387"/>
    <col min="13567" max="13567" width="11.5703125" style="387" customWidth="1"/>
    <col min="13568" max="13568" width="8.42578125" style="387" customWidth="1"/>
    <col min="13569" max="13569" width="119.5703125" style="387" customWidth="1"/>
    <col min="13570" max="13570" width="23.7109375" style="387" customWidth="1"/>
    <col min="13571" max="13571" width="12.5703125" style="387" customWidth="1"/>
    <col min="13572" max="13822" width="11.42578125" style="387"/>
    <col min="13823" max="13823" width="11.5703125" style="387" customWidth="1"/>
    <col min="13824" max="13824" width="8.42578125" style="387" customWidth="1"/>
    <col min="13825" max="13825" width="119.5703125" style="387" customWidth="1"/>
    <col min="13826" max="13826" width="23.7109375" style="387" customWidth="1"/>
    <col min="13827" max="13827" width="12.5703125" style="387" customWidth="1"/>
    <col min="13828" max="14078" width="11.42578125" style="387"/>
    <col min="14079" max="14079" width="11.5703125" style="387" customWidth="1"/>
    <col min="14080" max="14080" width="8.42578125" style="387" customWidth="1"/>
    <col min="14081" max="14081" width="119.5703125" style="387" customWidth="1"/>
    <col min="14082" max="14082" width="23.7109375" style="387" customWidth="1"/>
    <col min="14083" max="14083" width="12.5703125" style="387" customWidth="1"/>
    <col min="14084" max="14334" width="11.42578125" style="387"/>
    <col min="14335" max="14335" width="11.5703125" style="387" customWidth="1"/>
    <col min="14336" max="14336" width="8.42578125" style="387" customWidth="1"/>
    <col min="14337" max="14337" width="119.5703125" style="387" customWidth="1"/>
    <col min="14338" max="14338" width="23.7109375" style="387" customWidth="1"/>
    <col min="14339" max="14339" width="12.5703125" style="387" customWidth="1"/>
    <col min="14340" max="14590" width="11.42578125" style="387"/>
    <col min="14591" max="14591" width="11.5703125" style="387" customWidth="1"/>
    <col min="14592" max="14592" width="8.42578125" style="387" customWidth="1"/>
    <col min="14593" max="14593" width="119.5703125" style="387" customWidth="1"/>
    <col min="14594" max="14594" width="23.7109375" style="387" customWidth="1"/>
    <col min="14595" max="14595" width="12.5703125" style="387" customWidth="1"/>
    <col min="14596" max="14846" width="11.42578125" style="387"/>
    <col min="14847" max="14847" width="11.5703125" style="387" customWidth="1"/>
    <col min="14848" max="14848" width="8.42578125" style="387" customWidth="1"/>
    <col min="14849" max="14849" width="119.5703125" style="387" customWidth="1"/>
    <col min="14850" max="14850" width="23.7109375" style="387" customWidth="1"/>
    <col min="14851" max="14851" width="12.5703125" style="387" customWidth="1"/>
    <col min="14852" max="15102" width="11.42578125" style="387"/>
    <col min="15103" max="15103" width="11.5703125" style="387" customWidth="1"/>
    <col min="15104" max="15104" width="8.42578125" style="387" customWidth="1"/>
    <col min="15105" max="15105" width="119.5703125" style="387" customWidth="1"/>
    <col min="15106" max="15106" width="23.7109375" style="387" customWidth="1"/>
    <col min="15107" max="15107" width="12.5703125" style="387" customWidth="1"/>
    <col min="15108" max="15358" width="11.42578125" style="387"/>
    <col min="15359" max="15359" width="11.5703125" style="387" customWidth="1"/>
    <col min="15360" max="15360" width="8.42578125" style="387" customWidth="1"/>
    <col min="15361" max="15361" width="119.5703125" style="387" customWidth="1"/>
    <col min="15362" max="15362" width="23.7109375" style="387" customWidth="1"/>
    <col min="15363" max="15363" width="12.5703125" style="387" customWidth="1"/>
    <col min="15364" max="15614" width="11.42578125" style="387"/>
    <col min="15615" max="15615" width="11.5703125" style="387" customWidth="1"/>
    <col min="15616" max="15616" width="8.42578125" style="387" customWidth="1"/>
    <col min="15617" max="15617" width="119.5703125" style="387" customWidth="1"/>
    <col min="15618" max="15618" width="23.7109375" style="387" customWidth="1"/>
    <col min="15619" max="15619" width="12.5703125" style="387" customWidth="1"/>
    <col min="15620" max="15870" width="11.42578125" style="387"/>
    <col min="15871" max="15871" width="11.5703125" style="387" customWidth="1"/>
    <col min="15872" max="15872" width="8.42578125" style="387" customWidth="1"/>
    <col min="15873" max="15873" width="119.5703125" style="387" customWidth="1"/>
    <col min="15874" max="15874" width="23.7109375" style="387" customWidth="1"/>
    <col min="15875" max="15875" width="12.5703125" style="387" customWidth="1"/>
    <col min="15876" max="16126" width="11.42578125" style="387"/>
    <col min="16127" max="16127" width="11.5703125" style="387" customWidth="1"/>
    <col min="16128" max="16128" width="8.42578125" style="387" customWidth="1"/>
    <col min="16129" max="16129" width="119.5703125" style="387" customWidth="1"/>
    <col min="16130" max="16130" width="23.7109375" style="387" customWidth="1"/>
    <col min="16131" max="16131" width="12.5703125" style="387" customWidth="1"/>
    <col min="16132" max="16384" width="11.42578125" style="387"/>
  </cols>
  <sheetData>
    <row r="2" spans="2:5" s="392" customFormat="1">
      <c r="C2" s="839" t="s">
        <v>396</v>
      </c>
      <c r="D2" s="839"/>
      <c r="E2" s="839"/>
    </row>
    <row r="3" spans="2:5" s="393" customFormat="1" ht="18" customHeight="1">
      <c r="B3" s="839" t="s">
        <v>404</v>
      </c>
      <c r="C3" s="839"/>
      <c r="D3" s="839"/>
      <c r="E3" s="839"/>
    </row>
    <row r="4" spans="2:5">
      <c r="E4" s="553"/>
    </row>
    <row r="5" spans="2:5" ht="3.75" customHeight="1"/>
    <row r="6" spans="2:5" s="388" customFormat="1" ht="44.25" customHeight="1">
      <c r="B6" s="767" t="s">
        <v>292</v>
      </c>
      <c r="C6" s="767" t="s">
        <v>405</v>
      </c>
      <c r="D6" s="767" t="s">
        <v>490</v>
      </c>
      <c r="E6" s="767" t="s">
        <v>488</v>
      </c>
    </row>
    <row r="7" spans="2:5" s="388" customFormat="1" ht="27" customHeight="1">
      <c r="B7" s="768">
        <v>1</v>
      </c>
      <c r="C7" s="769" t="s">
        <v>406</v>
      </c>
      <c r="D7" s="770" t="str">
        <f>+VLOOKUP(B7,'AjusteK-PQ'!$A:$D,4,0)</f>
        <v>CY8760</v>
      </c>
      <c r="E7" s="771">
        <f>+ROUND(VLOOKUP(B7,'AjusteK-PQ'!$A:$L,12,0),2)</f>
        <v>4.93</v>
      </c>
    </row>
    <row r="8" spans="2:5" s="388" customFormat="1" ht="27" customHeight="1">
      <c r="B8" s="768">
        <v>2</v>
      </c>
      <c r="C8" s="769" t="s">
        <v>407</v>
      </c>
      <c r="D8" s="770" t="str">
        <f>+VLOOKUP(B8,'AjusteK-PQ'!$A:$D,4,0)</f>
        <v>CY8760W</v>
      </c>
      <c r="E8" s="771">
        <f>+ROUND(VLOOKUP(B8,'AjusteK-PQ'!$A:$L,12,0),2)</f>
        <v>3.66</v>
      </c>
    </row>
    <row r="9" spans="2:5" s="388" customFormat="1" ht="27" customHeight="1">
      <c r="B9" s="768">
        <v>3</v>
      </c>
      <c r="C9" s="772" t="s">
        <v>408</v>
      </c>
      <c r="D9" s="773" t="str">
        <f>+VLOOKUP(B9,'AjusteK-PQ'!$A:$D,4,0)</f>
        <v>CY802</v>
      </c>
      <c r="E9" s="771">
        <f>+ROUND(VLOOKUP(B9,'AjusteK-PQ'!$A:$L,12,0),2)</f>
        <v>3.66</v>
      </c>
    </row>
    <row r="10" spans="2:5" s="388" customFormat="1" ht="27" customHeight="1">
      <c r="B10" s="768">
        <v>4</v>
      </c>
      <c r="C10" s="772" t="s">
        <v>409</v>
      </c>
      <c r="D10" s="773" t="s">
        <v>491</v>
      </c>
      <c r="E10" s="771" t="s">
        <v>491</v>
      </c>
    </row>
    <row r="11" spans="2:5" s="388" customFormat="1" ht="27" customHeight="1">
      <c r="B11" s="768">
        <v>5</v>
      </c>
      <c r="C11" s="772" t="s">
        <v>410</v>
      </c>
      <c r="D11" s="773" t="str">
        <f>+VLOOKUP(B11,'AjusteK-PQ'!$A:$D,4,0)</f>
        <v>KPF28</v>
      </c>
      <c r="E11" s="771">
        <f>+ROUND(VLOOKUP(B11,'AjusteK-PQ'!$A:$L,12,0),2)</f>
        <v>3.91</v>
      </c>
    </row>
    <row r="12" spans="2:5" s="388" customFormat="1" ht="27" customHeight="1">
      <c r="B12" s="768">
        <v>6</v>
      </c>
      <c r="C12" s="769" t="s">
        <v>411</v>
      </c>
      <c r="D12" s="770" t="str">
        <f>+VLOOKUP(B12,'AjusteK-PQ'!$A:$D,4,0)</f>
        <v>IC7001</v>
      </c>
      <c r="E12" s="771">
        <f>+ROUND(VLOOKUP(B12,'AjusteK-PQ'!$A:$L,12,0),2)</f>
        <v>4.92</v>
      </c>
    </row>
    <row r="13" spans="2:5" s="388" customFormat="1" ht="27" customHeight="1">
      <c r="B13" s="768">
        <v>7</v>
      </c>
      <c r="C13" s="769" t="s">
        <v>412</v>
      </c>
      <c r="D13" s="770" t="str">
        <f>+VLOOKUP(B13,'AjusteK-PQ'!$A:$D,4,0)</f>
        <v>BSH970</v>
      </c>
      <c r="E13" s="771">
        <f>+ROUND(VLOOKUP(B13,'AjusteK-PQ'!$A:$L,12,0),2)</f>
        <v>3.97</v>
      </c>
    </row>
    <row r="14" spans="2:5" s="388" customFormat="1" ht="27" customHeight="1">
      <c r="B14" s="768">
        <v>8</v>
      </c>
      <c r="C14" s="769" t="s">
        <v>413</v>
      </c>
      <c r="D14" s="770" t="str">
        <f>+VLOOKUP(B14,'AjusteK-PQ'!$A:$D,4,0)</f>
        <v>SO4345</v>
      </c>
      <c r="E14" s="771">
        <f>+ROUND(VLOOKUP(B14,'AjusteK-PQ'!$A:$L,12,0),2)</f>
        <v>2.81</v>
      </c>
    </row>
    <row r="15" spans="2:5" s="388" customFormat="1" ht="27" customHeight="1">
      <c r="B15" s="768">
        <v>9</v>
      </c>
      <c r="C15" s="769" t="s">
        <v>414</v>
      </c>
      <c r="D15" s="770" t="str">
        <f>+VLOOKUP(B15,'AjusteK-PQ'!$A:$D,4,0)</f>
        <v>DPB58</v>
      </c>
      <c r="E15" s="771">
        <f>+ROUND(VLOOKUP(B15,'AjusteK-PQ'!$A:$L,12,0),2)</f>
        <v>3.52</v>
      </c>
    </row>
    <row r="16" spans="2:5" s="388" customFormat="1" ht="27" customHeight="1">
      <c r="B16" s="768">
        <v>10</v>
      </c>
      <c r="C16" s="769" t="s">
        <v>415</v>
      </c>
      <c r="D16" s="770" t="str">
        <f>+VLOOKUP(B16,'AjusteK-PQ'!$A:$D,4,0)</f>
        <v>IPB953</v>
      </c>
      <c r="E16" s="771">
        <f>+ROUND(VLOOKUP(B16,'AjusteK-PQ'!$A:$L,12,0),2)</f>
        <v>7.17</v>
      </c>
    </row>
    <row r="17" spans="2:5" s="388" customFormat="1" ht="27" customHeight="1">
      <c r="B17" s="768">
        <v>11</v>
      </c>
      <c r="C17" s="769" t="s">
        <v>416</v>
      </c>
      <c r="D17" s="770" t="str">
        <f>+VLOOKUP(B17,'AjusteK-PQ'!$A:$D,4,0)</f>
        <v>BHI30</v>
      </c>
      <c r="E17" s="771">
        <f>+ROUND(VLOOKUP(B17,'AjusteK-PQ'!$A:$L,12,0),2)</f>
        <v>3.45</v>
      </c>
    </row>
    <row r="18" spans="2:5" s="388" customFormat="1" ht="27" customHeight="1">
      <c r="B18" s="768">
        <v>12</v>
      </c>
      <c r="C18" s="769" t="s">
        <v>417</v>
      </c>
      <c r="D18" s="770" t="str">
        <f>+VLOOKUP(B18,'AjusteK-PQ'!$A:$D,4,0)</f>
        <v>SB14</v>
      </c>
      <c r="E18" s="771">
        <f>+ROUND(VLOOKUP(B18,'AjusteK-PQ'!$A:$L,12,0),2)</f>
        <v>1.89</v>
      </c>
    </row>
    <row r="19" spans="2:5" s="388" customFormat="1" ht="27" customHeight="1">
      <c r="B19" s="768">
        <v>13</v>
      </c>
      <c r="C19" s="772" t="s">
        <v>418</v>
      </c>
      <c r="D19" s="773" t="str">
        <f>+VLOOKUP(B19,'AjusteK-PQ'!$A:$D,4,0)</f>
        <v>BXC3234</v>
      </c>
      <c r="E19" s="771">
        <f>+ROUND(VLOOKUP(B19,'AjusteK-PQ'!$A:$L,12,0),2)</f>
        <v>6.52</v>
      </c>
    </row>
    <row r="20" spans="2:5" s="388" customFormat="1" ht="27" customHeight="1">
      <c r="B20" s="768">
        <v>14</v>
      </c>
      <c r="C20" s="769" t="s">
        <v>419</v>
      </c>
      <c r="D20" s="770" t="str">
        <f>+VLOOKUP(B20,'AjusteK-PQ'!$A:$D,4,0)</f>
        <v>BXC1133</v>
      </c>
      <c r="E20" s="771">
        <f>+ROUND(VLOOKUP(B20,'AjusteK-PQ'!$A:$L,12,0),2)</f>
        <v>2.91</v>
      </c>
    </row>
    <row r="21" spans="2:5" s="388" customFormat="1" ht="27" customHeight="1">
      <c r="B21" s="768">
        <v>15</v>
      </c>
      <c r="C21" s="769" t="s">
        <v>420</v>
      </c>
      <c r="D21" s="770" t="str">
        <f>+VLOOKUP(B21,'AjusteK-PQ'!$A:$D,4,0)</f>
        <v>BX989</v>
      </c>
      <c r="E21" s="771">
        <f>+ROUND(VLOOKUP(B21,'AjusteK-PQ'!$A:$L,12,0),2)</f>
        <v>4.95</v>
      </c>
    </row>
    <row r="22" spans="2:5" s="388" customFormat="1" ht="27" customHeight="1">
      <c r="B22" s="768">
        <v>16</v>
      </c>
      <c r="C22" s="769" t="s">
        <v>421</v>
      </c>
      <c r="D22" s="770" t="str">
        <f>+VLOOKUP(B22,'AjusteK-PQ'!$A:$D,4,0)</f>
        <v>DS600</v>
      </c>
      <c r="E22" s="771">
        <f>+ROUND(VLOOKUP(B22,'AjusteK-PQ'!$A:$L,12,0),2)</f>
        <v>1.5</v>
      </c>
    </row>
    <row r="23" spans="2:5" s="388" customFormat="1" ht="27" customHeight="1">
      <c r="B23" s="768">
        <v>17</v>
      </c>
      <c r="C23" s="769" t="s">
        <v>422</v>
      </c>
      <c r="D23" s="770" t="str">
        <f>+VLOOKUP(B23,'AjusteK-PQ'!$A:$D,4,0)</f>
        <v>IC110</v>
      </c>
      <c r="E23" s="771">
        <f>+ROUND(VLOOKUP(B23,'AjusteK-PQ'!$A:$L,12,0),2)</f>
        <v>3.1</v>
      </c>
    </row>
    <row r="24" spans="2:5" s="388" customFormat="1" ht="27" customHeight="1">
      <c r="B24" s="768">
        <v>18</v>
      </c>
      <c r="C24" s="769" t="s">
        <v>423</v>
      </c>
      <c r="D24" s="770" t="str">
        <f>+VLOOKUP(B24,'AjusteK-PQ'!$A:$D,4,0)</f>
        <v>BX150</v>
      </c>
      <c r="E24" s="771">
        <f>+ROUND(VLOOKUP(B24,'AjusteK-PQ'!$A:$L,12,0),2)</f>
        <v>1.03</v>
      </c>
    </row>
    <row r="25" spans="2:5" s="388" customFormat="1" ht="27" customHeight="1">
      <c r="B25" s="768">
        <v>19</v>
      </c>
      <c r="C25" s="769" t="s">
        <v>424</v>
      </c>
      <c r="D25" s="770" t="str">
        <f>+VLOOKUP(B25,'AjusteK-PQ'!$A:$D,4,0)</f>
        <v>RT75</v>
      </c>
      <c r="E25" s="771">
        <f>+ROUND(VLOOKUP(B25,'AjusteK-PQ'!$A:$L,12,0),2)</f>
        <v>3.8</v>
      </c>
    </row>
    <row r="26" spans="2:5" s="388" customFormat="1" ht="27" customHeight="1">
      <c r="B26" s="768">
        <v>20</v>
      </c>
      <c r="C26" s="769" t="s">
        <v>425</v>
      </c>
      <c r="D26" s="770" t="str">
        <f>+VLOOKUP(B26,'AjusteK-PQ'!$A:$D,4,0)</f>
        <v>DBN1488</v>
      </c>
      <c r="E26" s="771">
        <f>+ROUND(VLOOKUP(B26,'AjusteK-PQ'!$A:$L,12,0),2)</f>
        <v>5.48</v>
      </c>
    </row>
    <row r="27" spans="2:5" s="388" customFormat="1" ht="27" customHeight="1">
      <c r="B27" s="768">
        <v>21</v>
      </c>
      <c r="C27" s="769" t="s">
        <v>426</v>
      </c>
      <c r="D27" s="770" t="str">
        <f>+VLOOKUP(B27,'AjusteK-PQ'!$A:$D,4,0)</f>
        <v>ESB900</v>
      </c>
      <c r="E27" s="771">
        <f>+ROUND(VLOOKUP(B27,'AjusteK-PQ'!$A:$L,12,0),2)</f>
        <v>3.55</v>
      </c>
    </row>
    <row r="28" spans="2:5" s="388" customFormat="1" ht="27" customHeight="1">
      <c r="B28" s="768">
        <v>22</v>
      </c>
      <c r="C28" s="769" t="s">
        <v>427</v>
      </c>
      <c r="D28" s="770" t="str">
        <f>+VLOOKUP(B28,'AjusteK-PQ'!$A:$D,4,0)</f>
        <v>ESB9846</v>
      </c>
      <c r="E28" s="771">
        <f>+ROUND(VLOOKUP(B28,'AjusteK-PQ'!$A:$L,12,0),2)</f>
        <v>2.5099999999999998</v>
      </c>
    </row>
    <row r="29" spans="2:5" s="388" customFormat="1" ht="27" customHeight="1">
      <c r="B29" s="768">
        <v>23</v>
      </c>
      <c r="C29" s="769" t="s">
        <v>428</v>
      </c>
      <c r="D29" s="770" t="str">
        <f>+VLOOKUP(B29,'AjusteK-PQ'!$A:$D,4,0)</f>
        <v>ECY1022</v>
      </c>
      <c r="E29" s="771">
        <f>+ROUND(VLOOKUP(B29,'AjusteK-PQ'!$A:$L,12,0),2)</f>
        <v>4.7699999999999996</v>
      </c>
    </row>
    <row r="30" spans="2:5">
      <c r="C30" s="395"/>
      <c r="D30" s="395"/>
    </row>
    <row r="33" spans="3:4">
      <c r="C33" s="396"/>
      <c r="D33" s="396"/>
    </row>
  </sheetData>
  <mergeCells count="2">
    <mergeCell ref="C2:E2"/>
    <mergeCell ref="B3:E3"/>
  </mergeCells>
  <printOptions horizontalCentered="1"/>
  <pageMargins left="0.98425196850393704" right="0.78740157480314965" top="1.1811023622047245" bottom="0.78740157480314965" header="0.6692913385826772" footer="0.62992125984251968"/>
  <pageSetup paperSize="8" orientation="portrait" r:id="rId1"/>
  <headerFooter alignWithMargins="0">
    <oddHeader>&amp;L&amp;G&amp;C“SERVICIO DE PROVISIÓN, APLICACIÓN Y REPOSICIÓN
 DE PRODUCTOS QUÍMICOS, CONTROL Y MANTENIMIENTO DE SISTEMAS DE DOSIFICACIÓN”&amp;RPAMPA ENERGÍA S.A.
Doc3479828784</oddHeader>
    <oddFooter>&amp;LNeuquén, 09 de julio de 2022&amp;RPágina &amp;P de &amp;N</oddFooter>
  </headerFooter>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BF22E-AA7F-4DE2-81C2-10401BC4CDDC}">
  <dimension ref="A3:D31"/>
  <sheetViews>
    <sheetView topLeftCell="A12" workbookViewId="0">
      <selection activeCell="E30" sqref="E30"/>
    </sheetView>
  </sheetViews>
  <sheetFormatPr baseColWidth="10" defaultRowHeight="15"/>
  <cols>
    <col min="2" max="2" width="65.7109375" customWidth="1"/>
    <col min="3" max="3" width="18.28515625" customWidth="1"/>
  </cols>
  <sheetData>
    <row r="3" spans="1:4">
      <c r="A3">
        <v>14</v>
      </c>
      <c r="B3" s="774" t="s">
        <v>1171</v>
      </c>
      <c r="C3" s="775">
        <f>+VLOOKUP(A3,'Planilla A'!B:E,4,0)</f>
        <v>2.91</v>
      </c>
      <c r="D3" s="775" t="str">
        <f>+VLOOKUP(A3,'Planilla A'!B:F,3,0)</f>
        <v>BXC1133</v>
      </c>
    </row>
    <row r="4" spans="1:4">
      <c r="A4">
        <v>15</v>
      </c>
      <c r="B4" s="774" t="s">
        <v>1172</v>
      </c>
      <c r="C4" s="775">
        <f>+VLOOKUP(A4,'Planilla A'!B:E,4,0)</f>
        <v>4.95</v>
      </c>
      <c r="D4" s="775" t="str">
        <f>+VLOOKUP(A4,'Planilla A'!B:F,3,0)</f>
        <v>BX989</v>
      </c>
    </row>
    <row r="5" spans="1:4">
      <c r="A5">
        <v>13</v>
      </c>
      <c r="B5" s="774" t="s">
        <v>1183</v>
      </c>
      <c r="C5" s="775">
        <f>+VLOOKUP(A5,'Planilla A'!B:E,4,0)</f>
        <v>6.52</v>
      </c>
      <c r="D5" s="775" t="str">
        <f>+VLOOKUP(A5,'Planilla A'!B:F,3,0)</f>
        <v>BXC3234</v>
      </c>
    </row>
    <row r="6" spans="1:4">
      <c r="A6">
        <v>20</v>
      </c>
      <c r="B6" s="774" t="s">
        <v>425</v>
      </c>
      <c r="C6" s="775">
        <f>+VLOOKUP(A6,'Planilla A'!B:E,4,0)</f>
        <v>5.48</v>
      </c>
      <c r="D6" s="775" t="str">
        <f>+VLOOKUP(A6,'Planilla A'!B:F,3,0)</f>
        <v>DBN1488</v>
      </c>
    </row>
    <row r="7" spans="1:4">
      <c r="A7">
        <v>9</v>
      </c>
      <c r="B7" s="774" t="s">
        <v>1173</v>
      </c>
      <c r="C7" s="775">
        <f>+VLOOKUP(A7,'Planilla A'!B:E,4,0)</f>
        <v>3.52</v>
      </c>
      <c r="D7" s="775" t="str">
        <f>+VLOOKUP(A7,'Planilla A'!B:F,3,0)</f>
        <v>DPB58</v>
      </c>
    </row>
    <row r="8" spans="1:4">
      <c r="A8">
        <v>22</v>
      </c>
      <c r="B8" s="774" t="s">
        <v>1174</v>
      </c>
      <c r="C8" s="775">
        <f>+VLOOKUP(A8,'Planilla A'!B:E,4,0)</f>
        <v>2.5099999999999998</v>
      </c>
      <c r="D8" s="775" t="str">
        <f>+VLOOKUP(A8,'Planilla A'!B:F,3,0)</f>
        <v>ESB9846</v>
      </c>
    </row>
    <row r="9" spans="1:4">
      <c r="A9">
        <v>21</v>
      </c>
      <c r="B9" s="774" t="s">
        <v>1175</v>
      </c>
      <c r="C9" s="775">
        <f>+VLOOKUP(A9,'Planilla A'!B:E,4,0)</f>
        <v>3.55</v>
      </c>
      <c r="D9" s="775" t="str">
        <f>+VLOOKUP(A9,'Planilla A'!B:F,3,0)</f>
        <v>ESB900</v>
      </c>
    </row>
    <row r="10" spans="1:4">
      <c r="A10">
        <v>5</v>
      </c>
      <c r="B10" s="774" t="s">
        <v>410</v>
      </c>
      <c r="C10" s="775">
        <f>+VLOOKUP(A10,'Planilla A'!B:E,4,0)</f>
        <v>3.91</v>
      </c>
      <c r="D10" s="775" t="str">
        <f>+VLOOKUP(A10,'Planilla A'!B:F,3,0)</f>
        <v>KPF28</v>
      </c>
    </row>
    <row r="11" spans="1:4">
      <c r="A11">
        <v>18</v>
      </c>
      <c r="B11" s="774" t="s">
        <v>1176</v>
      </c>
      <c r="C11" s="775">
        <f>+VLOOKUP(A11,'Planilla A'!B:E,4,0)</f>
        <v>1.03</v>
      </c>
      <c r="D11" s="775" t="str">
        <f>+VLOOKUP(A11,'Planilla A'!B:F,3,0)</f>
        <v>BX150</v>
      </c>
    </row>
    <row r="12" spans="1:4" ht="30">
      <c r="A12">
        <v>1</v>
      </c>
      <c r="B12" s="774" t="s">
        <v>1184</v>
      </c>
      <c r="C12" s="775">
        <f>+VLOOKUP(A12,'Planilla A'!B:E,4,0)</f>
        <v>4.93</v>
      </c>
      <c r="D12" s="775" t="str">
        <f>+VLOOKUP(A12,'Planilla A'!B:F,3,0)</f>
        <v>CY8760</v>
      </c>
    </row>
    <row r="13" spans="1:4" ht="30">
      <c r="A13">
        <v>2</v>
      </c>
      <c r="B13" s="774" t="s">
        <v>1185</v>
      </c>
      <c r="C13" s="775">
        <f>+VLOOKUP(A13,'Planilla A'!B:E,4,0)</f>
        <v>3.66</v>
      </c>
      <c r="D13" s="775" t="str">
        <f>+VLOOKUP(A13,'Planilla A'!B:F,3,0)</f>
        <v>CY8760W</v>
      </c>
    </row>
    <row r="14" spans="1:4">
      <c r="A14">
        <v>3</v>
      </c>
      <c r="B14" s="774" t="s">
        <v>1186</v>
      </c>
      <c r="C14" s="775">
        <f>+VLOOKUP(A14,'Planilla A'!B:E,4,0)</f>
        <v>3.66</v>
      </c>
      <c r="D14" s="775" t="str">
        <f>+VLOOKUP(A14,'Planilla A'!B:F,3,0)</f>
        <v>CY802</v>
      </c>
    </row>
    <row r="15" spans="1:4">
      <c r="A15">
        <v>4</v>
      </c>
      <c r="B15" s="774" t="s">
        <v>1177</v>
      </c>
      <c r="C15" s="775" t="str">
        <f>+VLOOKUP(A15,'Planilla A'!B:E,4,0)</f>
        <v>Ver Nota 1</v>
      </c>
      <c r="D15" s="775" t="str">
        <f>+VLOOKUP(A15,'Planilla A'!B:F,3,0)</f>
        <v>Ver Nota 1</v>
      </c>
    </row>
    <row r="16" spans="1:4">
      <c r="A16">
        <v>11</v>
      </c>
      <c r="B16" s="774" t="s">
        <v>1178</v>
      </c>
      <c r="C16" s="775">
        <f>+VLOOKUP(A16,'Planilla A'!B:E,4,0)</f>
        <v>3.45</v>
      </c>
      <c r="D16" s="775" t="str">
        <f>+VLOOKUP(A16,'Planilla A'!B:F,3,0)</f>
        <v>BHI30</v>
      </c>
    </row>
    <row r="17" spans="1:4" ht="30">
      <c r="A17">
        <v>6</v>
      </c>
      <c r="B17" s="774" t="s">
        <v>1187</v>
      </c>
      <c r="C17" s="775">
        <f>+VLOOKUP(A17,'Planilla A'!B:E,4,0)</f>
        <v>4.92</v>
      </c>
      <c r="D17" s="775" t="str">
        <f>+VLOOKUP(A17,'Planilla A'!B:F,3,0)</f>
        <v>IC7001</v>
      </c>
    </row>
    <row r="18" spans="1:4">
      <c r="A18">
        <v>10</v>
      </c>
      <c r="B18" s="774" t="s">
        <v>1188</v>
      </c>
      <c r="C18" s="775">
        <f>+VLOOKUP(A18,'Planilla A'!B:E,4,0)</f>
        <v>7.17</v>
      </c>
      <c r="D18" s="775" t="str">
        <f>+VLOOKUP(A18,'Planilla A'!B:F,3,0)</f>
        <v>IPB953</v>
      </c>
    </row>
    <row r="19" spans="1:4">
      <c r="A19">
        <v>17</v>
      </c>
      <c r="B19" s="774" t="s">
        <v>1189</v>
      </c>
      <c r="C19" s="775">
        <f>+VLOOKUP(A19,'Planilla A'!B:E,4,0)</f>
        <v>3.1</v>
      </c>
      <c r="D19" s="775" t="str">
        <f>+VLOOKUP(A19,'Planilla A'!B:F,3,0)</f>
        <v>IC110</v>
      </c>
    </row>
    <row r="20" spans="1:4">
      <c r="A20">
        <v>16</v>
      </c>
      <c r="B20" s="774" t="s">
        <v>1179</v>
      </c>
      <c r="C20" s="775">
        <f>+VLOOKUP(A20,'Planilla A'!B:E,4,0)</f>
        <v>1.5</v>
      </c>
      <c r="D20" s="775" t="str">
        <f>+VLOOKUP(A20,'Planilla A'!B:F,3,0)</f>
        <v>DS600</v>
      </c>
    </row>
    <row r="21" spans="1:4">
      <c r="A21">
        <v>23</v>
      </c>
      <c r="B21" s="774" t="s">
        <v>1190</v>
      </c>
      <c r="C21" s="775">
        <f>+VLOOKUP(A21,'Planilla A'!B:E,4,0)</f>
        <v>4.7699999999999996</v>
      </c>
      <c r="D21" s="775" t="str">
        <f>+VLOOKUP(A21,'Planilla A'!B:F,3,0)</f>
        <v>ECY1022</v>
      </c>
    </row>
    <row r="22" spans="1:4">
      <c r="A22">
        <v>12</v>
      </c>
      <c r="B22" s="774" t="s">
        <v>1180</v>
      </c>
      <c r="C22" s="775">
        <f>+VLOOKUP(A22,'Planilla A'!B:E,4,0)</f>
        <v>1.89</v>
      </c>
      <c r="D22" s="775" t="str">
        <f>+VLOOKUP(A22,'Planilla A'!B:F,3,0)</f>
        <v>SB14</v>
      </c>
    </row>
    <row r="23" spans="1:4">
      <c r="A23">
        <v>19</v>
      </c>
      <c r="B23" s="774" t="s">
        <v>1181</v>
      </c>
      <c r="C23" s="775">
        <f>+VLOOKUP(A23,'Planilla A'!B:E,4,0)</f>
        <v>3.8</v>
      </c>
      <c r="D23" s="775" t="str">
        <f>+VLOOKUP(A23,'Planilla A'!B:F,3,0)</f>
        <v>RT75</v>
      </c>
    </row>
    <row r="24" spans="1:4">
      <c r="A24">
        <v>8</v>
      </c>
      <c r="B24" s="774" t="s">
        <v>1182</v>
      </c>
      <c r="C24" s="775">
        <f>+VLOOKUP(A24,'Planilla A'!B:E,4,0)</f>
        <v>2.81</v>
      </c>
      <c r="D24" s="775" t="str">
        <f>+VLOOKUP(A24,'Planilla A'!B:F,3,0)</f>
        <v>SO4345</v>
      </c>
    </row>
    <row r="25" spans="1:4" ht="30">
      <c r="A25">
        <v>7</v>
      </c>
      <c r="B25" s="774" t="s">
        <v>412</v>
      </c>
      <c r="C25" s="775">
        <f>+VLOOKUP(A25,'Planilla A'!B:E,4,0)</f>
        <v>3.97</v>
      </c>
      <c r="D25" s="775" t="str">
        <f>+VLOOKUP(A25,'Planilla A'!B:F,3,0)</f>
        <v>BSH970</v>
      </c>
    </row>
    <row r="31" spans="1:4">
      <c r="C31" s="775" t="s">
        <v>1191</v>
      </c>
    </row>
  </sheetData>
  <dataValidations count="1">
    <dataValidation operator="greaterThanOrEqual" allowBlank="1" showInputMessage="1" showErrorMessage="1" errorTitle="No se ha realizado la validación" error="Solo puede introducir valores mayores o iguales a 0.00 en esta celda." sqref="C3:D25" xr:uid="{C19BE1C6-D00A-46A4-B968-C529FBDBFFB2}"/>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pageSetUpPr fitToPage="1"/>
  </sheetPr>
  <dimension ref="B3:M16"/>
  <sheetViews>
    <sheetView showGridLines="0" topLeftCell="A12" zoomScale="60" zoomScaleNormal="60" zoomScaleSheetLayoutView="55" workbookViewId="0">
      <selection activeCell="L14" sqref="L14"/>
    </sheetView>
  </sheetViews>
  <sheetFormatPr baseColWidth="10" defaultRowHeight="12.75"/>
  <cols>
    <col min="1" max="1" width="11.5703125" style="372" customWidth="1"/>
    <col min="2" max="2" width="8.42578125" style="372" customWidth="1"/>
    <col min="3" max="3" width="99.28515625" style="372" customWidth="1"/>
    <col min="4" max="4" width="19.140625" style="372" customWidth="1"/>
    <col min="5" max="5" width="18.7109375" style="372" customWidth="1"/>
    <col min="6" max="6" width="19.85546875" style="372" customWidth="1"/>
    <col min="7" max="9" width="17.85546875" style="372" customWidth="1"/>
    <col min="10" max="10" width="18.140625" style="372" customWidth="1"/>
    <col min="11" max="11" width="15.85546875" style="372" bestFit="1" customWidth="1"/>
    <col min="12" max="12" width="18.140625" style="372" customWidth="1"/>
    <col min="13" max="253" width="11.42578125" style="372"/>
    <col min="254" max="254" width="11.5703125" style="372" customWidth="1"/>
    <col min="255" max="255" width="8.42578125" style="372" customWidth="1"/>
    <col min="256" max="256" width="99.28515625" style="372" customWidth="1"/>
    <col min="257" max="257" width="19.140625" style="372" customWidth="1"/>
    <col min="258" max="258" width="18.7109375" style="372" customWidth="1"/>
    <col min="259" max="259" width="19.85546875" style="372" customWidth="1"/>
    <col min="260" max="509" width="11.42578125" style="372"/>
    <col min="510" max="510" width="11.5703125" style="372" customWidth="1"/>
    <col min="511" max="511" width="8.42578125" style="372" customWidth="1"/>
    <col min="512" max="512" width="99.28515625" style="372" customWidth="1"/>
    <col min="513" max="513" width="19.140625" style="372" customWidth="1"/>
    <col min="514" max="514" width="18.7109375" style="372" customWidth="1"/>
    <col min="515" max="515" width="19.85546875" style="372" customWidth="1"/>
    <col min="516" max="765" width="11.42578125" style="372"/>
    <col min="766" max="766" width="11.5703125" style="372" customWidth="1"/>
    <col min="767" max="767" width="8.42578125" style="372" customWidth="1"/>
    <col min="768" max="768" width="99.28515625" style="372" customWidth="1"/>
    <col min="769" max="769" width="19.140625" style="372" customWidth="1"/>
    <col min="770" max="770" width="18.7109375" style="372" customWidth="1"/>
    <col min="771" max="771" width="19.85546875" style="372" customWidth="1"/>
    <col min="772" max="1021" width="11.42578125" style="372"/>
    <col min="1022" max="1022" width="11.5703125" style="372" customWidth="1"/>
    <col min="1023" max="1023" width="8.42578125" style="372" customWidth="1"/>
    <col min="1024" max="1024" width="99.28515625" style="372" customWidth="1"/>
    <col min="1025" max="1025" width="19.140625" style="372" customWidth="1"/>
    <col min="1026" max="1026" width="18.7109375" style="372" customWidth="1"/>
    <col min="1027" max="1027" width="19.85546875" style="372" customWidth="1"/>
    <col min="1028" max="1277" width="11.42578125" style="372"/>
    <col min="1278" max="1278" width="11.5703125" style="372" customWidth="1"/>
    <col min="1279" max="1279" width="8.42578125" style="372" customWidth="1"/>
    <col min="1280" max="1280" width="99.28515625" style="372" customWidth="1"/>
    <col min="1281" max="1281" width="19.140625" style="372" customWidth="1"/>
    <col min="1282" max="1282" width="18.7109375" style="372" customWidth="1"/>
    <col min="1283" max="1283" width="19.85546875" style="372" customWidth="1"/>
    <col min="1284" max="1533" width="11.42578125" style="372"/>
    <col min="1534" max="1534" width="11.5703125" style="372" customWidth="1"/>
    <col min="1535" max="1535" width="8.42578125" style="372" customWidth="1"/>
    <col min="1536" max="1536" width="99.28515625" style="372" customWidth="1"/>
    <col min="1537" max="1537" width="19.140625" style="372" customWidth="1"/>
    <col min="1538" max="1538" width="18.7109375" style="372" customWidth="1"/>
    <col min="1539" max="1539" width="19.85546875" style="372" customWidth="1"/>
    <col min="1540" max="1789" width="11.42578125" style="372"/>
    <col min="1790" max="1790" width="11.5703125" style="372" customWidth="1"/>
    <col min="1791" max="1791" width="8.42578125" style="372" customWidth="1"/>
    <col min="1792" max="1792" width="99.28515625" style="372" customWidth="1"/>
    <col min="1793" max="1793" width="19.140625" style="372" customWidth="1"/>
    <col min="1794" max="1794" width="18.7109375" style="372" customWidth="1"/>
    <col min="1795" max="1795" width="19.85546875" style="372" customWidth="1"/>
    <col min="1796" max="2045" width="11.42578125" style="372"/>
    <col min="2046" max="2046" width="11.5703125" style="372" customWidth="1"/>
    <col min="2047" max="2047" width="8.42578125" style="372" customWidth="1"/>
    <col min="2048" max="2048" width="99.28515625" style="372" customWidth="1"/>
    <col min="2049" max="2049" width="19.140625" style="372" customWidth="1"/>
    <col min="2050" max="2050" width="18.7109375" style="372" customWidth="1"/>
    <col min="2051" max="2051" width="19.85546875" style="372" customWidth="1"/>
    <col min="2052" max="2301" width="11.42578125" style="372"/>
    <col min="2302" max="2302" width="11.5703125" style="372" customWidth="1"/>
    <col min="2303" max="2303" width="8.42578125" style="372" customWidth="1"/>
    <col min="2304" max="2304" width="99.28515625" style="372" customWidth="1"/>
    <col min="2305" max="2305" width="19.140625" style="372" customWidth="1"/>
    <col min="2306" max="2306" width="18.7109375" style="372" customWidth="1"/>
    <col min="2307" max="2307" width="19.85546875" style="372" customWidth="1"/>
    <col min="2308" max="2557" width="11.42578125" style="372"/>
    <col min="2558" max="2558" width="11.5703125" style="372" customWidth="1"/>
    <col min="2559" max="2559" width="8.42578125" style="372" customWidth="1"/>
    <col min="2560" max="2560" width="99.28515625" style="372" customWidth="1"/>
    <col min="2561" max="2561" width="19.140625" style="372" customWidth="1"/>
    <col min="2562" max="2562" width="18.7109375" style="372" customWidth="1"/>
    <col min="2563" max="2563" width="19.85546875" style="372" customWidth="1"/>
    <col min="2564" max="2813" width="11.42578125" style="372"/>
    <col min="2814" max="2814" width="11.5703125" style="372" customWidth="1"/>
    <col min="2815" max="2815" width="8.42578125" style="372" customWidth="1"/>
    <col min="2816" max="2816" width="99.28515625" style="372" customWidth="1"/>
    <col min="2817" max="2817" width="19.140625" style="372" customWidth="1"/>
    <col min="2818" max="2818" width="18.7109375" style="372" customWidth="1"/>
    <col min="2819" max="2819" width="19.85546875" style="372" customWidth="1"/>
    <col min="2820" max="3069" width="11.42578125" style="372"/>
    <col min="3070" max="3070" width="11.5703125" style="372" customWidth="1"/>
    <col min="3071" max="3071" width="8.42578125" style="372" customWidth="1"/>
    <col min="3072" max="3072" width="99.28515625" style="372" customWidth="1"/>
    <col min="3073" max="3073" width="19.140625" style="372" customWidth="1"/>
    <col min="3074" max="3074" width="18.7109375" style="372" customWidth="1"/>
    <col min="3075" max="3075" width="19.85546875" style="372" customWidth="1"/>
    <col min="3076" max="3325" width="11.42578125" style="372"/>
    <col min="3326" max="3326" width="11.5703125" style="372" customWidth="1"/>
    <col min="3327" max="3327" width="8.42578125" style="372" customWidth="1"/>
    <col min="3328" max="3328" width="99.28515625" style="372" customWidth="1"/>
    <col min="3329" max="3329" width="19.140625" style="372" customWidth="1"/>
    <col min="3330" max="3330" width="18.7109375" style="372" customWidth="1"/>
    <col min="3331" max="3331" width="19.85546875" style="372" customWidth="1"/>
    <col min="3332" max="3581" width="11.42578125" style="372"/>
    <col min="3582" max="3582" width="11.5703125" style="372" customWidth="1"/>
    <col min="3583" max="3583" width="8.42578125" style="372" customWidth="1"/>
    <col min="3584" max="3584" width="99.28515625" style="372" customWidth="1"/>
    <col min="3585" max="3585" width="19.140625" style="372" customWidth="1"/>
    <col min="3586" max="3586" width="18.7109375" style="372" customWidth="1"/>
    <col min="3587" max="3587" width="19.85546875" style="372" customWidth="1"/>
    <col min="3588" max="3837" width="11.42578125" style="372"/>
    <col min="3838" max="3838" width="11.5703125" style="372" customWidth="1"/>
    <col min="3839" max="3839" width="8.42578125" style="372" customWidth="1"/>
    <col min="3840" max="3840" width="99.28515625" style="372" customWidth="1"/>
    <col min="3841" max="3841" width="19.140625" style="372" customWidth="1"/>
    <col min="3842" max="3842" width="18.7109375" style="372" customWidth="1"/>
    <col min="3843" max="3843" width="19.85546875" style="372" customWidth="1"/>
    <col min="3844" max="4093" width="11.42578125" style="372"/>
    <col min="4094" max="4094" width="11.5703125" style="372" customWidth="1"/>
    <col min="4095" max="4095" width="8.42578125" style="372" customWidth="1"/>
    <col min="4096" max="4096" width="99.28515625" style="372" customWidth="1"/>
    <col min="4097" max="4097" width="19.140625" style="372" customWidth="1"/>
    <col min="4098" max="4098" width="18.7109375" style="372" customWidth="1"/>
    <col min="4099" max="4099" width="19.85546875" style="372" customWidth="1"/>
    <col min="4100" max="4349" width="11.42578125" style="372"/>
    <col min="4350" max="4350" width="11.5703125" style="372" customWidth="1"/>
    <col min="4351" max="4351" width="8.42578125" style="372" customWidth="1"/>
    <col min="4352" max="4352" width="99.28515625" style="372" customWidth="1"/>
    <col min="4353" max="4353" width="19.140625" style="372" customWidth="1"/>
    <col min="4354" max="4354" width="18.7109375" style="372" customWidth="1"/>
    <col min="4355" max="4355" width="19.85546875" style="372" customWidth="1"/>
    <col min="4356" max="4605" width="11.42578125" style="372"/>
    <col min="4606" max="4606" width="11.5703125" style="372" customWidth="1"/>
    <col min="4607" max="4607" width="8.42578125" style="372" customWidth="1"/>
    <col min="4608" max="4608" width="99.28515625" style="372" customWidth="1"/>
    <col min="4609" max="4609" width="19.140625" style="372" customWidth="1"/>
    <col min="4610" max="4610" width="18.7109375" style="372" customWidth="1"/>
    <col min="4611" max="4611" width="19.85546875" style="372" customWidth="1"/>
    <col min="4612" max="4861" width="11.42578125" style="372"/>
    <col min="4862" max="4862" width="11.5703125" style="372" customWidth="1"/>
    <col min="4863" max="4863" width="8.42578125" style="372" customWidth="1"/>
    <col min="4864" max="4864" width="99.28515625" style="372" customWidth="1"/>
    <col min="4865" max="4865" width="19.140625" style="372" customWidth="1"/>
    <col min="4866" max="4866" width="18.7109375" style="372" customWidth="1"/>
    <col min="4867" max="4867" width="19.85546875" style="372" customWidth="1"/>
    <col min="4868" max="5117" width="11.42578125" style="372"/>
    <col min="5118" max="5118" width="11.5703125" style="372" customWidth="1"/>
    <col min="5119" max="5119" width="8.42578125" style="372" customWidth="1"/>
    <col min="5120" max="5120" width="99.28515625" style="372" customWidth="1"/>
    <col min="5121" max="5121" width="19.140625" style="372" customWidth="1"/>
    <col min="5122" max="5122" width="18.7109375" style="372" customWidth="1"/>
    <col min="5123" max="5123" width="19.85546875" style="372" customWidth="1"/>
    <col min="5124" max="5373" width="11.42578125" style="372"/>
    <col min="5374" max="5374" width="11.5703125" style="372" customWidth="1"/>
    <col min="5375" max="5375" width="8.42578125" style="372" customWidth="1"/>
    <col min="5376" max="5376" width="99.28515625" style="372" customWidth="1"/>
    <col min="5377" max="5377" width="19.140625" style="372" customWidth="1"/>
    <col min="5378" max="5378" width="18.7109375" style="372" customWidth="1"/>
    <col min="5379" max="5379" width="19.85546875" style="372" customWidth="1"/>
    <col min="5380" max="5629" width="11.42578125" style="372"/>
    <col min="5630" max="5630" width="11.5703125" style="372" customWidth="1"/>
    <col min="5631" max="5631" width="8.42578125" style="372" customWidth="1"/>
    <col min="5632" max="5632" width="99.28515625" style="372" customWidth="1"/>
    <col min="5633" max="5633" width="19.140625" style="372" customWidth="1"/>
    <col min="5634" max="5634" width="18.7109375" style="372" customWidth="1"/>
    <col min="5635" max="5635" width="19.85546875" style="372" customWidth="1"/>
    <col min="5636" max="5885" width="11.42578125" style="372"/>
    <col min="5886" max="5886" width="11.5703125" style="372" customWidth="1"/>
    <col min="5887" max="5887" width="8.42578125" style="372" customWidth="1"/>
    <col min="5888" max="5888" width="99.28515625" style="372" customWidth="1"/>
    <col min="5889" max="5889" width="19.140625" style="372" customWidth="1"/>
    <col min="5890" max="5890" width="18.7109375" style="372" customWidth="1"/>
    <col min="5891" max="5891" width="19.85546875" style="372" customWidth="1"/>
    <col min="5892" max="6141" width="11.42578125" style="372"/>
    <col min="6142" max="6142" width="11.5703125" style="372" customWidth="1"/>
    <col min="6143" max="6143" width="8.42578125" style="372" customWidth="1"/>
    <col min="6144" max="6144" width="99.28515625" style="372" customWidth="1"/>
    <col min="6145" max="6145" width="19.140625" style="372" customWidth="1"/>
    <col min="6146" max="6146" width="18.7109375" style="372" customWidth="1"/>
    <col min="6147" max="6147" width="19.85546875" style="372" customWidth="1"/>
    <col min="6148" max="6397" width="11.42578125" style="372"/>
    <col min="6398" max="6398" width="11.5703125" style="372" customWidth="1"/>
    <col min="6399" max="6399" width="8.42578125" style="372" customWidth="1"/>
    <col min="6400" max="6400" width="99.28515625" style="372" customWidth="1"/>
    <col min="6401" max="6401" width="19.140625" style="372" customWidth="1"/>
    <col min="6402" max="6402" width="18.7109375" style="372" customWidth="1"/>
    <col min="6403" max="6403" width="19.85546875" style="372" customWidth="1"/>
    <col min="6404" max="6653" width="11.42578125" style="372"/>
    <col min="6654" max="6654" width="11.5703125" style="372" customWidth="1"/>
    <col min="6655" max="6655" width="8.42578125" style="372" customWidth="1"/>
    <col min="6656" max="6656" width="99.28515625" style="372" customWidth="1"/>
    <col min="6657" max="6657" width="19.140625" style="372" customWidth="1"/>
    <col min="6658" max="6658" width="18.7109375" style="372" customWidth="1"/>
    <col min="6659" max="6659" width="19.85546875" style="372" customWidth="1"/>
    <col min="6660" max="6909" width="11.42578125" style="372"/>
    <col min="6910" max="6910" width="11.5703125" style="372" customWidth="1"/>
    <col min="6911" max="6911" width="8.42578125" style="372" customWidth="1"/>
    <col min="6912" max="6912" width="99.28515625" style="372" customWidth="1"/>
    <col min="6913" max="6913" width="19.140625" style="372" customWidth="1"/>
    <col min="6914" max="6914" width="18.7109375" style="372" customWidth="1"/>
    <col min="6915" max="6915" width="19.85546875" style="372" customWidth="1"/>
    <col min="6916" max="7165" width="11.42578125" style="372"/>
    <col min="7166" max="7166" width="11.5703125" style="372" customWidth="1"/>
    <col min="7167" max="7167" width="8.42578125" style="372" customWidth="1"/>
    <col min="7168" max="7168" width="99.28515625" style="372" customWidth="1"/>
    <col min="7169" max="7169" width="19.140625" style="372" customWidth="1"/>
    <col min="7170" max="7170" width="18.7109375" style="372" customWidth="1"/>
    <col min="7171" max="7171" width="19.85546875" style="372" customWidth="1"/>
    <col min="7172" max="7421" width="11.42578125" style="372"/>
    <col min="7422" max="7422" width="11.5703125" style="372" customWidth="1"/>
    <col min="7423" max="7423" width="8.42578125" style="372" customWidth="1"/>
    <col min="7424" max="7424" width="99.28515625" style="372" customWidth="1"/>
    <col min="7425" max="7425" width="19.140625" style="372" customWidth="1"/>
    <col min="7426" max="7426" width="18.7109375" style="372" customWidth="1"/>
    <col min="7427" max="7427" width="19.85546875" style="372" customWidth="1"/>
    <col min="7428" max="7677" width="11.42578125" style="372"/>
    <col min="7678" max="7678" width="11.5703125" style="372" customWidth="1"/>
    <col min="7679" max="7679" width="8.42578125" style="372" customWidth="1"/>
    <col min="7680" max="7680" width="99.28515625" style="372" customWidth="1"/>
    <col min="7681" max="7681" width="19.140625" style="372" customWidth="1"/>
    <col min="7682" max="7682" width="18.7109375" style="372" customWidth="1"/>
    <col min="7683" max="7683" width="19.85546875" style="372" customWidth="1"/>
    <col min="7684" max="7933" width="11.42578125" style="372"/>
    <col min="7934" max="7934" width="11.5703125" style="372" customWidth="1"/>
    <col min="7935" max="7935" width="8.42578125" style="372" customWidth="1"/>
    <col min="7936" max="7936" width="99.28515625" style="372" customWidth="1"/>
    <col min="7937" max="7937" width="19.140625" style="372" customWidth="1"/>
    <col min="7938" max="7938" width="18.7109375" style="372" customWidth="1"/>
    <col min="7939" max="7939" width="19.85546875" style="372" customWidth="1"/>
    <col min="7940" max="8189" width="11.42578125" style="372"/>
    <col min="8190" max="8190" width="11.5703125" style="372" customWidth="1"/>
    <col min="8191" max="8191" width="8.42578125" style="372" customWidth="1"/>
    <col min="8192" max="8192" width="99.28515625" style="372" customWidth="1"/>
    <col min="8193" max="8193" width="19.140625" style="372" customWidth="1"/>
    <col min="8194" max="8194" width="18.7109375" style="372" customWidth="1"/>
    <col min="8195" max="8195" width="19.85546875" style="372" customWidth="1"/>
    <col min="8196" max="8445" width="11.42578125" style="372"/>
    <col min="8446" max="8446" width="11.5703125" style="372" customWidth="1"/>
    <col min="8447" max="8447" width="8.42578125" style="372" customWidth="1"/>
    <col min="8448" max="8448" width="99.28515625" style="372" customWidth="1"/>
    <col min="8449" max="8449" width="19.140625" style="372" customWidth="1"/>
    <col min="8450" max="8450" width="18.7109375" style="372" customWidth="1"/>
    <col min="8451" max="8451" width="19.85546875" style="372" customWidth="1"/>
    <col min="8452" max="8701" width="11.42578125" style="372"/>
    <col min="8702" max="8702" width="11.5703125" style="372" customWidth="1"/>
    <col min="8703" max="8703" width="8.42578125" style="372" customWidth="1"/>
    <col min="8704" max="8704" width="99.28515625" style="372" customWidth="1"/>
    <col min="8705" max="8705" width="19.140625" style="372" customWidth="1"/>
    <col min="8706" max="8706" width="18.7109375" style="372" customWidth="1"/>
    <col min="8707" max="8707" width="19.85546875" style="372" customWidth="1"/>
    <col min="8708" max="8957" width="11.42578125" style="372"/>
    <col min="8958" max="8958" width="11.5703125" style="372" customWidth="1"/>
    <col min="8959" max="8959" width="8.42578125" style="372" customWidth="1"/>
    <col min="8960" max="8960" width="99.28515625" style="372" customWidth="1"/>
    <col min="8961" max="8961" width="19.140625" style="372" customWidth="1"/>
    <col min="8962" max="8962" width="18.7109375" style="372" customWidth="1"/>
    <col min="8963" max="8963" width="19.85546875" style="372" customWidth="1"/>
    <col min="8964" max="9213" width="11.42578125" style="372"/>
    <col min="9214" max="9214" width="11.5703125" style="372" customWidth="1"/>
    <col min="9215" max="9215" width="8.42578125" style="372" customWidth="1"/>
    <col min="9216" max="9216" width="99.28515625" style="372" customWidth="1"/>
    <col min="9217" max="9217" width="19.140625" style="372" customWidth="1"/>
    <col min="9218" max="9218" width="18.7109375" style="372" customWidth="1"/>
    <col min="9219" max="9219" width="19.85546875" style="372" customWidth="1"/>
    <col min="9220" max="9469" width="11.42578125" style="372"/>
    <col min="9470" max="9470" width="11.5703125" style="372" customWidth="1"/>
    <col min="9471" max="9471" width="8.42578125" style="372" customWidth="1"/>
    <col min="9472" max="9472" width="99.28515625" style="372" customWidth="1"/>
    <col min="9473" max="9473" width="19.140625" style="372" customWidth="1"/>
    <col min="9474" max="9474" width="18.7109375" style="372" customWidth="1"/>
    <col min="9475" max="9475" width="19.85546875" style="372" customWidth="1"/>
    <col min="9476" max="9725" width="11.42578125" style="372"/>
    <col min="9726" max="9726" width="11.5703125" style="372" customWidth="1"/>
    <col min="9727" max="9727" width="8.42578125" style="372" customWidth="1"/>
    <col min="9728" max="9728" width="99.28515625" style="372" customWidth="1"/>
    <col min="9729" max="9729" width="19.140625" style="372" customWidth="1"/>
    <col min="9730" max="9730" width="18.7109375" style="372" customWidth="1"/>
    <col min="9731" max="9731" width="19.85546875" style="372" customWidth="1"/>
    <col min="9732" max="9981" width="11.42578125" style="372"/>
    <col min="9982" max="9982" width="11.5703125" style="372" customWidth="1"/>
    <col min="9983" max="9983" width="8.42578125" style="372" customWidth="1"/>
    <col min="9984" max="9984" width="99.28515625" style="372" customWidth="1"/>
    <col min="9985" max="9985" width="19.140625" style="372" customWidth="1"/>
    <col min="9986" max="9986" width="18.7109375" style="372" customWidth="1"/>
    <col min="9987" max="9987" width="19.85546875" style="372" customWidth="1"/>
    <col min="9988" max="10237" width="11.42578125" style="372"/>
    <col min="10238" max="10238" width="11.5703125" style="372" customWidth="1"/>
    <col min="10239" max="10239" width="8.42578125" style="372" customWidth="1"/>
    <col min="10240" max="10240" width="99.28515625" style="372" customWidth="1"/>
    <col min="10241" max="10241" width="19.140625" style="372" customWidth="1"/>
    <col min="10242" max="10242" width="18.7109375" style="372" customWidth="1"/>
    <col min="10243" max="10243" width="19.85546875" style="372" customWidth="1"/>
    <col min="10244" max="10493" width="11.42578125" style="372"/>
    <col min="10494" max="10494" width="11.5703125" style="372" customWidth="1"/>
    <col min="10495" max="10495" width="8.42578125" style="372" customWidth="1"/>
    <col min="10496" max="10496" width="99.28515625" style="372" customWidth="1"/>
    <col min="10497" max="10497" width="19.140625" style="372" customWidth="1"/>
    <col min="10498" max="10498" width="18.7109375" style="372" customWidth="1"/>
    <col min="10499" max="10499" width="19.85546875" style="372" customWidth="1"/>
    <col min="10500" max="10749" width="11.42578125" style="372"/>
    <col min="10750" max="10750" width="11.5703125" style="372" customWidth="1"/>
    <col min="10751" max="10751" width="8.42578125" style="372" customWidth="1"/>
    <col min="10752" max="10752" width="99.28515625" style="372" customWidth="1"/>
    <col min="10753" max="10753" width="19.140625" style="372" customWidth="1"/>
    <col min="10754" max="10754" width="18.7109375" style="372" customWidth="1"/>
    <col min="10755" max="10755" width="19.85546875" style="372" customWidth="1"/>
    <col min="10756" max="11005" width="11.42578125" style="372"/>
    <col min="11006" max="11006" width="11.5703125" style="372" customWidth="1"/>
    <col min="11007" max="11007" width="8.42578125" style="372" customWidth="1"/>
    <col min="11008" max="11008" width="99.28515625" style="372" customWidth="1"/>
    <col min="11009" max="11009" width="19.140625" style="372" customWidth="1"/>
    <col min="11010" max="11010" width="18.7109375" style="372" customWidth="1"/>
    <col min="11011" max="11011" width="19.85546875" style="372" customWidth="1"/>
    <col min="11012" max="11261" width="11.42578125" style="372"/>
    <col min="11262" max="11262" width="11.5703125" style="372" customWidth="1"/>
    <col min="11263" max="11263" width="8.42578125" style="372" customWidth="1"/>
    <col min="11264" max="11264" width="99.28515625" style="372" customWidth="1"/>
    <col min="11265" max="11265" width="19.140625" style="372" customWidth="1"/>
    <col min="11266" max="11266" width="18.7109375" style="372" customWidth="1"/>
    <col min="11267" max="11267" width="19.85546875" style="372" customWidth="1"/>
    <col min="11268" max="11517" width="11.42578125" style="372"/>
    <col min="11518" max="11518" width="11.5703125" style="372" customWidth="1"/>
    <col min="11519" max="11519" width="8.42578125" style="372" customWidth="1"/>
    <col min="11520" max="11520" width="99.28515625" style="372" customWidth="1"/>
    <col min="11521" max="11521" width="19.140625" style="372" customWidth="1"/>
    <col min="11522" max="11522" width="18.7109375" style="372" customWidth="1"/>
    <col min="11523" max="11523" width="19.85546875" style="372" customWidth="1"/>
    <col min="11524" max="11773" width="11.42578125" style="372"/>
    <col min="11774" max="11774" width="11.5703125" style="372" customWidth="1"/>
    <col min="11775" max="11775" width="8.42578125" style="372" customWidth="1"/>
    <col min="11776" max="11776" width="99.28515625" style="372" customWidth="1"/>
    <col min="11777" max="11777" width="19.140625" style="372" customWidth="1"/>
    <col min="11778" max="11778" width="18.7109375" style="372" customWidth="1"/>
    <col min="11779" max="11779" width="19.85546875" style="372" customWidth="1"/>
    <col min="11780" max="12029" width="11.42578125" style="372"/>
    <col min="12030" max="12030" width="11.5703125" style="372" customWidth="1"/>
    <col min="12031" max="12031" width="8.42578125" style="372" customWidth="1"/>
    <col min="12032" max="12032" width="99.28515625" style="372" customWidth="1"/>
    <col min="12033" max="12033" width="19.140625" style="372" customWidth="1"/>
    <col min="12034" max="12034" width="18.7109375" style="372" customWidth="1"/>
    <col min="12035" max="12035" width="19.85546875" style="372" customWidth="1"/>
    <col min="12036" max="12285" width="11.42578125" style="372"/>
    <col min="12286" max="12286" width="11.5703125" style="372" customWidth="1"/>
    <col min="12287" max="12287" width="8.42578125" style="372" customWidth="1"/>
    <col min="12288" max="12288" width="99.28515625" style="372" customWidth="1"/>
    <col min="12289" max="12289" width="19.140625" style="372" customWidth="1"/>
    <col min="12290" max="12290" width="18.7109375" style="372" customWidth="1"/>
    <col min="12291" max="12291" width="19.85546875" style="372" customWidth="1"/>
    <col min="12292" max="12541" width="11.42578125" style="372"/>
    <col min="12542" max="12542" width="11.5703125" style="372" customWidth="1"/>
    <col min="12543" max="12543" width="8.42578125" style="372" customWidth="1"/>
    <col min="12544" max="12544" width="99.28515625" style="372" customWidth="1"/>
    <col min="12545" max="12545" width="19.140625" style="372" customWidth="1"/>
    <col min="12546" max="12546" width="18.7109375" style="372" customWidth="1"/>
    <col min="12547" max="12547" width="19.85546875" style="372" customWidth="1"/>
    <col min="12548" max="12797" width="11.42578125" style="372"/>
    <col min="12798" max="12798" width="11.5703125" style="372" customWidth="1"/>
    <col min="12799" max="12799" width="8.42578125" style="372" customWidth="1"/>
    <col min="12800" max="12800" width="99.28515625" style="372" customWidth="1"/>
    <col min="12801" max="12801" width="19.140625" style="372" customWidth="1"/>
    <col min="12802" max="12802" width="18.7109375" style="372" customWidth="1"/>
    <col min="12803" max="12803" width="19.85546875" style="372" customWidth="1"/>
    <col min="12804" max="13053" width="11.42578125" style="372"/>
    <col min="13054" max="13054" width="11.5703125" style="372" customWidth="1"/>
    <col min="13055" max="13055" width="8.42578125" style="372" customWidth="1"/>
    <col min="13056" max="13056" width="99.28515625" style="372" customWidth="1"/>
    <col min="13057" max="13057" width="19.140625" style="372" customWidth="1"/>
    <col min="13058" max="13058" width="18.7109375" style="372" customWidth="1"/>
    <col min="13059" max="13059" width="19.85546875" style="372" customWidth="1"/>
    <col min="13060" max="13309" width="11.42578125" style="372"/>
    <col min="13310" max="13310" width="11.5703125" style="372" customWidth="1"/>
    <col min="13311" max="13311" width="8.42578125" style="372" customWidth="1"/>
    <col min="13312" max="13312" width="99.28515625" style="372" customWidth="1"/>
    <col min="13313" max="13313" width="19.140625" style="372" customWidth="1"/>
    <col min="13314" max="13314" width="18.7109375" style="372" customWidth="1"/>
    <col min="13315" max="13315" width="19.85546875" style="372" customWidth="1"/>
    <col min="13316" max="13565" width="11.42578125" style="372"/>
    <col min="13566" max="13566" width="11.5703125" style="372" customWidth="1"/>
    <col min="13567" max="13567" width="8.42578125" style="372" customWidth="1"/>
    <col min="13568" max="13568" width="99.28515625" style="372" customWidth="1"/>
    <col min="13569" max="13569" width="19.140625" style="372" customWidth="1"/>
    <col min="13570" max="13570" width="18.7109375" style="372" customWidth="1"/>
    <col min="13571" max="13571" width="19.85546875" style="372" customWidth="1"/>
    <col min="13572" max="13821" width="11.42578125" style="372"/>
    <col min="13822" max="13822" width="11.5703125" style="372" customWidth="1"/>
    <col min="13823" max="13823" width="8.42578125" style="372" customWidth="1"/>
    <col min="13824" max="13824" width="99.28515625" style="372" customWidth="1"/>
    <col min="13825" max="13825" width="19.140625" style="372" customWidth="1"/>
    <col min="13826" max="13826" width="18.7109375" style="372" customWidth="1"/>
    <col min="13827" max="13827" width="19.85546875" style="372" customWidth="1"/>
    <col min="13828" max="14077" width="11.42578125" style="372"/>
    <col min="14078" max="14078" width="11.5703125" style="372" customWidth="1"/>
    <col min="14079" max="14079" width="8.42578125" style="372" customWidth="1"/>
    <col min="14080" max="14080" width="99.28515625" style="372" customWidth="1"/>
    <col min="14081" max="14081" width="19.140625" style="372" customWidth="1"/>
    <col min="14082" max="14082" width="18.7109375" style="372" customWidth="1"/>
    <col min="14083" max="14083" width="19.85546875" style="372" customWidth="1"/>
    <col min="14084" max="14333" width="11.42578125" style="372"/>
    <col min="14334" max="14334" width="11.5703125" style="372" customWidth="1"/>
    <col min="14335" max="14335" width="8.42578125" style="372" customWidth="1"/>
    <col min="14336" max="14336" width="99.28515625" style="372" customWidth="1"/>
    <col min="14337" max="14337" width="19.140625" style="372" customWidth="1"/>
    <col min="14338" max="14338" width="18.7109375" style="372" customWidth="1"/>
    <col min="14339" max="14339" width="19.85546875" style="372" customWidth="1"/>
    <col min="14340" max="14589" width="11.42578125" style="372"/>
    <col min="14590" max="14590" width="11.5703125" style="372" customWidth="1"/>
    <col min="14591" max="14591" width="8.42578125" style="372" customWidth="1"/>
    <col min="14592" max="14592" width="99.28515625" style="372" customWidth="1"/>
    <col min="14593" max="14593" width="19.140625" style="372" customWidth="1"/>
    <col min="14594" max="14594" width="18.7109375" style="372" customWidth="1"/>
    <col min="14595" max="14595" width="19.85546875" style="372" customWidth="1"/>
    <col min="14596" max="14845" width="11.42578125" style="372"/>
    <col min="14846" max="14846" width="11.5703125" style="372" customWidth="1"/>
    <col min="14847" max="14847" width="8.42578125" style="372" customWidth="1"/>
    <col min="14848" max="14848" width="99.28515625" style="372" customWidth="1"/>
    <col min="14849" max="14849" width="19.140625" style="372" customWidth="1"/>
    <col min="14850" max="14850" width="18.7109375" style="372" customWidth="1"/>
    <col min="14851" max="14851" width="19.85546875" style="372" customWidth="1"/>
    <col min="14852" max="15101" width="11.42578125" style="372"/>
    <col min="15102" max="15102" width="11.5703125" style="372" customWidth="1"/>
    <col min="15103" max="15103" width="8.42578125" style="372" customWidth="1"/>
    <col min="15104" max="15104" width="99.28515625" style="372" customWidth="1"/>
    <col min="15105" max="15105" width="19.140625" style="372" customWidth="1"/>
    <col min="15106" max="15106" width="18.7109375" style="372" customWidth="1"/>
    <col min="15107" max="15107" width="19.85546875" style="372" customWidth="1"/>
    <col min="15108" max="15357" width="11.42578125" style="372"/>
    <col min="15358" max="15358" width="11.5703125" style="372" customWidth="1"/>
    <col min="15359" max="15359" width="8.42578125" style="372" customWidth="1"/>
    <col min="15360" max="15360" width="99.28515625" style="372" customWidth="1"/>
    <col min="15361" max="15361" width="19.140625" style="372" customWidth="1"/>
    <col min="15362" max="15362" width="18.7109375" style="372" customWidth="1"/>
    <col min="15363" max="15363" width="19.85546875" style="372" customWidth="1"/>
    <col min="15364" max="15613" width="11.42578125" style="372"/>
    <col min="15614" max="15614" width="11.5703125" style="372" customWidth="1"/>
    <col min="15615" max="15615" width="8.42578125" style="372" customWidth="1"/>
    <col min="15616" max="15616" width="99.28515625" style="372" customWidth="1"/>
    <col min="15617" max="15617" width="19.140625" style="372" customWidth="1"/>
    <col min="15618" max="15618" width="18.7109375" style="372" customWidth="1"/>
    <col min="15619" max="15619" width="19.85546875" style="372" customWidth="1"/>
    <col min="15620" max="15869" width="11.42578125" style="372"/>
    <col min="15870" max="15870" width="11.5703125" style="372" customWidth="1"/>
    <col min="15871" max="15871" width="8.42578125" style="372" customWidth="1"/>
    <col min="15872" max="15872" width="99.28515625" style="372" customWidth="1"/>
    <col min="15873" max="15873" width="19.140625" style="372" customWidth="1"/>
    <col min="15874" max="15874" width="18.7109375" style="372" customWidth="1"/>
    <col min="15875" max="15875" width="19.85546875" style="372" customWidth="1"/>
    <col min="15876" max="16125" width="11.42578125" style="372"/>
    <col min="16126" max="16126" width="11.5703125" style="372" customWidth="1"/>
    <col min="16127" max="16127" width="8.42578125" style="372" customWidth="1"/>
    <col min="16128" max="16128" width="99.28515625" style="372" customWidth="1"/>
    <col min="16129" max="16129" width="19.140625" style="372" customWidth="1"/>
    <col min="16130" max="16130" width="18.7109375" style="372" customWidth="1"/>
    <col min="16131" max="16131" width="19.85546875" style="372" customWidth="1"/>
    <col min="16132" max="16384" width="11.42578125" style="372"/>
  </cols>
  <sheetData>
    <row r="3" spans="2:13" s="370" customFormat="1" ht="15.75">
      <c r="B3" s="840" t="s">
        <v>396</v>
      </c>
      <c r="C3" s="840"/>
      <c r="D3" s="840"/>
      <c r="E3" s="840"/>
      <c r="F3" s="840"/>
    </row>
    <row r="4" spans="2:13" s="371" customFormat="1" ht="18" customHeight="1">
      <c r="B4" s="840" t="s">
        <v>397</v>
      </c>
      <c r="C4" s="840"/>
      <c r="D4" s="840"/>
      <c r="E4" s="840"/>
      <c r="F4" s="840"/>
    </row>
    <row r="5" spans="2:13" ht="13.5" thickBot="1"/>
    <row r="6" spans="2:13" ht="15" customHeight="1">
      <c r="B6" s="847" t="s">
        <v>292</v>
      </c>
      <c r="C6" s="847" t="s">
        <v>5</v>
      </c>
      <c r="D6" s="841" t="s">
        <v>429</v>
      </c>
      <c r="E6" s="842"/>
      <c r="F6" s="843"/>
      <c r="G6" s="841" t="s">
        <v>489</v>
      </c>
      <c r="H6" s="842"/>
      <c r="I6" s="843"/>
    </row>
    <row r="7" spans="2:13" ht="13.5" thickBot="1">
      <c r="B7" s="848"/>
      <c r="C7" s="848"/>
      <c r="D7" s="844"/>
      <c r="E7" s="845"/>
      <c r="F7" s="846"/>
      <c r="G7" s="844"/>
      <c r="H7" s="845"/>
      <c r="I7" s="846"/>
    </row>
    <row r="8" spans="2:13" s="373" customFormat="1" ht="46.5" customHeight="1" thickBot="1">
      <c r="B8" s="849"/>
      <c r="C8" s="849"/>
      <c r="D8" s="379" t="s">
        <v>398</v>
      </c>
      <c r="E8" s="379" t="s">
        <v>399</v>
      </c>
      <c r="F8" s="379" t="s">
        <v>400</v>
      </c>
      <c r="G8" s="379" t="s">
        <v>398</v>
      </c>
      <c r="H8" s="379" t="s">
        <v>399</v>
      </c>
      <c r="I8" s="379" t="s">
        <v>400</v>
      </c>
    </row>
    <row r="9" spans="2:13" s="373" customFormat="1" ht="175.5" customHeight="1">
      <c r="B9" s="377">
        <v>1</v>
      </c>
      <c r="C9" s="378" t="s">
        <v>293</v>
      </c>
      <c r="D9" s="584" t="s">
        <v>401</v>
      </c>
      <c r="E9" s="585" t="s">
        <v>402</v>
      </c>
      <c r="F9" s="585" t="s">
        <v>402</v>
      </c>
      <c r="G9" s="586">
        <f>+' AjusteK-Scio'!J10</f>
        <v>28943048.432650864</v>
      </c>
      <c r="H9" s="587">
        <f>+' AjusteK-Scio'!K10</f>
        <v>236257.77414858446</v>
      </c>
      <c r="I9" s="587">
        <f>+' AjusteK-Scio'!L10</f>
        <v>297018.9271173345</v>
      </c>
    </row>
    <row r="10" spans="2:13" s="373" customFormat="1" ht="175.5" customHeight="1">
      <c r="B10" s="374">
        <v>2</v>
      </c>
      <c r="C10" s="375" t="s">
        <v>294</v>
      </c>
      <c r="D10" s="588" t="s">
        <v>401</v>
      </c>
      <c r="E10" s="589" t="s">
        <v>402</v>
      </c>
      <c r="F10" s="589" t="s">
        <v>402</v>
      </c>
      <c r="G10" s="590">
        <f>+' AjusteK-Scio'!J11</f>
        <v>39289936.377155177</v>
      </c>
      <c r="H10" s="591">
        <f>+' AjusteK-Scio'!K11</f>
        <v>342919.33374804078</v>
      </c>
      <c r="I10" s="591">
        <f>+' AjusteK-Scio'!L11</f>
        <v>444187.92202929081</v>
      </c>
      <c r="J10" s="591">
        <f>+G10/2</f>
        <v>19644968.188577589</v>
      </c>
      <c r="K10" s="591">
        <f t="shared" ref="K10:L10" si="0">+H10/2</f>
        <v>171459.66687402039</v>
      </c>
      <c r="L10" s="591">
        <f t="shared" si="0"/>
        <v>222093.96101464541</v>
      </c>
    </row>
    <row r="11" spans="2:13" s="373" customFormat="1" ht="175.5" customHeight="1">
      <c r="B11" s="374">
        <v>3</v>
      </c>
      <c r="C11" s="375" t="s">
        <v>295</v>
      </c>
      <c r="D11" s="588" t="s">
        <v>401</v>
      </c>
      <c r="E11" s="589" t="s">
        <v>402</v>
      </c>
      <c r="F11" s="589" t="s">
        <v>402</v>
      </c>
      <c r="G11" s="590">
        <f>+' AjusteK-Scio'!J12</f>
        <v>5261726.7942857137</v>
      </c>
      <c r="H11" s="591">
        <f>+' AjusteK-Scio'!K12</f>
        <v>101136.90437094154</v>
      </c>
      <c r="I11" s="591">
        <f>+' AjusteK-Scio'!L12</f>
        <v>132482.82530844153</v>
      </c>
      <c r="K11" s="596"/>
    </row>
    <row r="12" spans="2:13" s="373" customFormat="1" ht="175.5" customHeight="1">
      <c r="B12" s="374">
        <v>4</v>
      </c>
      <c r="C12" s="375" t="s">
        <v>296</v>
      </c>
      <c r="D12" s="588" t="s">
        <v>402</v>
      </c>
      <c r="E12" s="589" t="s">
        <v>402</v>
      </c>
      <c r="F12" s="589" t="s">
        <v>402</v>
      </c>
      <c r="G12" s="590">
        <f>+' AjusteK-Scio'!J13</f>
        <v>54941.090491071431</v>
      </c>
      <c r="H12" s="591">
        <f>+' AjusteK-Scio'!K13</f>
        <v>84942.618877840912</v>
      </c>
      <c r="I12" s="591">
        <f>+' AjusteK-Scio'!L13</f>
        <v>105196.33653409091</v>
      </c>
    </row>
    <row r="13" spans="2:13" s="373" customFormat="1" ht="175.5" customHeight="1">
      <c r="B13" s="376">
        <v>5</v>
      </c>
      <c r="C13" s="375" t="s">
        <v>297</v>
      </c>
      <c r="D13" s="588" t="s">
        <v>401</v>
      </c>
      <c r="E13" s="589" t="s">
        <v>402</v>
      </c>
      <c r="F13" s="589" t="s">
        <v>402</v>
      </c>
      <c r="G13" s="590">
        <f>+' AjusteK-Scio'!J14</f>
        <v>1863899.1712869462</v>
      </c>
      <c r="H13" s="591">
        <f>+' AjusteK-Scio'!K14</f>
        <v>64309.035726793416</v>
      </c>
      <c r="I13" s="591">
        <f>+' AjusteK-Scio'!L14</f>
        <v>84562.753383043426</v>
      </c>
      <c r="K13" s="591">
        <f>+G13*1.03</f>
        <v>1919816.1464255545</v>
      </c>
      <c r="L13" s="591">
        <f t="shared" ref="L13:M13" si="1">+H13*1.03</f>
        <v>66238.306798597216</v>
      </c>
      <c r="M13" s="591">
        <f t="shared" si="1"/>
        <v>87099.635984534732</v>
      </c>
    </row>
    <row r="14" spans="2:13" s="373" customFormat="1" ht="175.5" customHeight="1">
      <c r="B14" s="376">
        <v>6</v>
      </c>
      <c r="C14" s="375" t="s">
        <v>298</v>
      </c>
      <c r="D14" s="588" t="s">
        <v>401</v>
      </c>
      <c r="E14" s="589" t="s">
        <v>402</v>
      </c>
      <c r="F14" s="589" t="s">
        <v>402</v>
      </c>
      <c r="G14" s="590">
        <f>+' AjusteK-Scio'!J15</f>
        <v>1863899.1712869462</v>
      </c>
      <c r="H14" s="591">
        <f>+' AjusteK-Scio'!K15</f>
        <v>64309.035726793416</v>
      </c>
      <c r="I14" s="591">
        <f>+' AjusteK-Scio'!L15</f>
        <v>84562.753383043426</v>
      </c>
    </row>
    <row r="15" spans="2:13" s="373" customFormat="1" ht="175.5" customHeight="1">
      <c r="B15" s="376">
        <v>7</v>
      </c>
      <c r="C15" s="375" t="s">
        <v>299</v>
      </c>
      <c r="D15" s="588" t="s">
        <v>403</v>
      </c>
      <c r="E15" s="589" t="s">
        <v>402</v>
      </c>
      <c r="F15" s="589" t="s">
        <v>402</v>
      </c>
      <c r="G15" s="590">
        <f>+' AjusteK-Scio'!J16</f>
        <v>1194030.4141325434</v>
      </c>
      <c r="H15" s="591">
        <f>+' AjusteK-Scio'!K16</f>
        <v>185695.40546332841</v>
      </c>
      <c r="I15" s="591">
        <f>+' AjusteK-Scio'!L16</f>
        <v>246456.55843207843</v>
      </c>
      <c r="K15" s="765"/>
      <c r="L15" s="766"/>
    </row>
    <row r="16" spans="2:13" ht="175.5" customHeight="1" thickBot="1">
      <c r="B16" s="380">
        <v>8</v>
      </c>
      <c r="C16" s="381" t="s">
        <v>300</v>
      </c>
      <c r="D16" s="592" t="s">
        <v>401</v>
      </c>
      <c r="E16" s="593" t="s">
        <v>31</v>
      </c>
      <c r="F16" s="593" t="s">
        <v>31</v>
      </c>
      <c r="G16" s="594">
        <f>+' AjusteK-Scio'!J17</f>
        <v>4013375</v>
      </c>
      <c r="H16" s="595"/>
      <c r="I16" s="595"/>
    </row>
  </sheetData>
  <mergeCells count="6">
    <mergeCell ref="B3:F3"/>
    <mergeCell ref="B4:F4"/>
    <mergeCell ref="D6:F7"/>
    <mergeCell ref="G6:I7"/>
    <mergeCell ref="B6:B8"/>
    <mergeCell ref="C6:C8"/>
  </mergeCells>
  <printOptions horizontalCentered="1"/>
  <pageMargins left="0.98425196850393704" right="0.78740157480314965" top="1.1811023622047245" bottom="0.78740157480314965" header="0.6692913385826772" footer="0.62992125984251968"/>
  <pageSetup scale="31" orientation="landscape" r:id="rId1"/>
  <headerFooter alignWithMargins="0">
    <oddHeader>&amp;L&amp;G&amp;C“SERVICIO DE PROVISIÓN, APLICACIÓN Y REPOSICIÓN
 DE PRODUCTOS QUÍMICOS, CONTROL Y MANTENIMIENTO DE SISTEMAS DE DOSIFICACIÓN”&amp;RPAMPA ENERGÍA S.A.
Doc3479828784</oddHeader>
    <oddFooter>&amp;LNeuquén, 09 de julio de 2022&amp;RPágina &amp;P de &amp;N</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Y37"/>
  <sheetViews>
    <sheetView showGridLines="0" zoomScale="80" zoomScaleNormal="80" workbookViewId="0">
      <selection activeCell="R13" sqref="R13"/>
    </sheetView>
  </sheetViews>
  <sheetFormatPr baseColWidth="10" defaultRowHeight="15"/>
  <cols>
    <col min="1" max="1" width="3" customWidth="1"/>
    <col min="2" max="2" width="13.5703125" customWidth="1"/>
    <col min="3" max="3" width="8.7109375" customWidth="1"/>
    <col min="4" max="4" width="20" customWidth="1"/>
    <col min="5" max="5" width="8.140625" customWidth="1"/>
    <col min="6" max="6" width="9.7109375" customWidth="1"/>
    <col min="7" max="7" width="13.140625" customWidth="1"/>
    <col min="8" max="8" width="10.7109375" customWidth="1"/>
    <col min="9" max="9" width="11.5703125" customWidth="1"/>
    <col min="10" max="10" width="11.28515625" customWidth="1"/>
    <col min="11" max="11" width="9" customWidth="1"/>
    <col min="12" max="12" width="10.42578125" customWidth="1"/>
    <col min="13" max="13" width="10.28515625" customWidth="1"/>
    <col min="14" max="14" width="3.7109375" customWidth="1"/>
    <col min="15" max="15" width="19.5703125" bestFit="1" customWidth="1"/>
    <col min="16" max="16" width="17.140625" customWidth="1"/>
    <col min="17" max="17" width="11" customWidth="1"/>
  </cols>
  <sheetData>
    <row r="1" spans="2:25" ht="18.75">
      <c r="B1" s="850" t="s">
        <v>495</v>
      </c>
      <c r="C1" s="850"/>
      <c r="D1" s="850"/>
      <c r="E1" s="850"/>
      <c r="F1" s="850"/>
      <c r="G1" s="850"/>
      <c r="H1" s="850"/>
      <c r="I1" s="850"/>
      <c r="J1" s="850"/>
      <c r="K1" s="850"/>
      <c r="L1" s="850"/>
      <c r="M1" s="850"/>
      <c r="N1" s="850"/>
    </row>
    <row r="8" spans="2:25">
      <c r="B8" s="855" t="s">
        <v>280</v>
      </c>
      <c r="C8" s="855" t="s">
        <v>290</v>
      </c>
      <c r="D8" s="855" t="s">
        <v>286</v>
      </c>
      <c r="E8" s="855" t="s">
        <v>287</v>
      </c>
      <c r="F8" s="854" t="s">
        <v>1036</v>
      </c>
      <c r="G8" s="854"/>
      <c r="H8" s="854"/>
      <c r="I8" s="854"/>
      <c r="J8" s="854"/>
      <c r="K8" s="854"/>
      <c r="L8" s="854"/>
      <c r="M8" s="854"/>
    </row>
    <row r="9" spans="2:25" s="260" customFormat="1" ht="62.25" customHeight="1">
      <c r="B9" s="855"/>
      <c r="C9" s="855"/>
      <c r="D9" s="855"/>
      <c r="E9" s="855"/>
      <c r="F9" s="597" t="str">
        <f>+'1. S'!B6</f>
        <v>1. Servicio de reposición</v>
      </c>
      <c r="G9" s="597" t="str">
        <f>+'1. S'!B9</f>
        <v>2. Servicio de control y mantenimiento</v>
      </c>
      <c r="H9" s="597" t="str">
        <f>+'1. S'!B12</f>
        <v>3. Servicio Responsable Técnico</v>
      </c>
      <c r="I9" s="597" t="str">
        <f>+'1. S'!B15</f>
        <v>4. Servicio Ing. Aplicación</v>
      </c>
      <c r="J9" s="597" t="str">
        <f>+'1. S'!B18</f>
        <v>5. Servicio Laboratorista</v>
      </c>
      <c r="K9" s="597" t="str">
        <f>+'1. S'!B21</f>
        <v>6. Servicio Técnico en Seguridad</v>
      </c>
      <c r="L9" s="597" t="str">
        <f>+'1. S'!B24</f>
        <v>7. Servicio de Batch con camión</v>
      </c>
      <c r="M9" s="597" t="str">
        <f>+'1. S'!B27</f>
        <v>8. Servicio de Trailer Vestidor</v>
      </c>
      <c r="O9" s="621" t="s">
        <v>1147</v>
      </c>
      <c r="P9" s="621" t="s">
        <v>1148</v>
      </c>
      <c r="Q9" s="702"/>
      <c r="R9" s="621" t="str">
        <f>+F9</f>
        <v>1. Servicio de reposición</v>
      </c>
      <c r="S9" s="621" t="str">
        <f t="shared" ref="S9:Y9" si="0">+G9</f>
        <v>2. Servicio de control y mantenimiento</v>
      </c>
      <c r="T9" s="621" t="str">
        <f t="shared" si="0"/>
        <v>3. Servicio Responsable Técnico</v>
      </c>
      <c r="U9" s="621" t="str">
        <f t="shared" si="0"/>
        <v>4. Servicio Ing. Aplicación</v>
      </c>
      <c r="V9" s="621" t="str">
        <f t="shared" si="0"/>
        <v>5. Servicio Laboratorista</v>
      </c>
      <c r="W9" s="621" t="str">
        <f t="shared" si="0"/>
        <v>6. Servicio Técnico en Seguridad</v>
      </c>
      <c r="X9" s="621" t="str">
        <f t="shared" si="0"/>
        <v>7. Servicio de Batch con camión</v>
      </c>
      <c r="Y9" s="621" t="str">
        <f t="shared" si="0"/>
        <v>8. Servicio de Trailer Vestidor</v>
      </c>
    </row>
    <row r="10" spans="2:25" s="260" customFormat="1" ht="49.5" customHeight="1">
      <c r="B10" s="598" t="s">
        <v>281</v>
      </c>
      <c r="C10" s="599" t="s">
        <v>276</v>
      </c>
      <c r="D10" s="598" t="s">
        <v>288</v>
      </c>
      <c r="E10" s="600">
        <v>44743</v>
      </c>
      <c r="F10" s="601">
        <f>+SUMIFS('1. S'!J$29:J$69,'1. S'!K$29:K$69,FA!$C10)</f>
        <v>0.67178718217067868</v>
      </c>
      <c r="G10" s="601">
        <f>++SUMIFS('1. S'!L$29:L$69,'1. S'!M$29:M$69,FA!$C10)</f>
        <v>0.82479004137156575</v>
      </c>
      <c r="H10" s="601">
        <f>++SUMIFS('1. S'!N$29:N$69,'1. S'!O$29:O$69,FA!$C10)</f>
        <v>0.76254013879195948</v>
      </c>
      <c r="I10" s="602">
        <f>++SUMIFS('1. S'!P$29:P$69,'1. S'!Q$29:Q$69,FA!$C10)</f>
        <v>0.73728852031218661</v>
      </c>
      <c r="J10" s="601">
        <f>++SUMIFS('1. S'!R$29:R$69,'1. S'!S$29:S$69,FA!$C10)</f>
        <v>0.69544423323338944</v>
      </c>
      <c r="K10" s="601">
        <f>++SUMIFS('1. S'!T$29:T$69,'1. S'!U$29:U$69,FA!$C10)</f>
        <v>0.69544423323338944</v>
      </c>
      <c r="L10" s="601">
        <f>++SUMIFS('1. S'!V$29:V$69,'1. S'!W$29:W$69,FA!$C10)</f>
        <v>0.54279937707521042</v>
      </c>
      <c r="M10" s="383">
        <f>++SUMIFS('1. S'!X$29:X$69,'1. S'!Y$29:Y$69,FA!$C10)</f>
        <v>0</v>
      </c>
      <c r="O10" s="383">
        <v>1</v>
      </c>
      <c r="P10" s="383">
        <v>6.97</v>
      </c>
      <c r="Q10" s="701"/>
      <c r="R10" s="699">
        <f>+F10*$P$10/$O$10+F11*$P$11/$O$11+F12*$P$12/$O$12+F13*$P$13/$O$13</f>
        <v>6.2054154862143269</v>
      </c>
      <c r="S10" s="699">
        <f t="shared" ref="S10:X10" si="1">+G10*$P$10/$O$10+G11*$P$11/$O$11+G12*$P$12/$O$12+G13*$P$13/$O$13</f>
        <v>6.6221870675167427</v>
      </c>
      <c r="T10" s="699">
        <f t="shared" si="1"/>
        <v>6.4659440570126119</v>
      </c>
      <c r="U10" s="699">
        <f t="shared" si="1"/>
        <v>7.6610018719388382</v>
      </c>
      <c r="V10" s="699">
        <f t="shared" si="1"/>
        <v>6.2831797639979383</v>
      </c>
      <c r="W10" s="699">
        <f t="shared" si="1"/>
        <v>6.2831797639979383</v>
      </c>
      <c r="X10" s="699">
        <f t="shared" si="1"/>
        <v>6.011750647854277</v>
      </c>
      <c r="Y10" s="699">
        <f>+M10*$P$10/$O$10+M11*$P$11/$O$11+M12*$P$12/$O$12+M13*$P$13/$O$13</f>
        <v>6.9533364083640832</v>
      </c>
    </row>
    <row r="11" spans="2:25" s="260" customFormat="1" ht="49.5" customHeight="1">
      <c r="B11" s="598" t="s">
        <v>282</v>
      </c>
      <c r="C11" s="599" t="s">
        <v>277</v>
      </c>
      <c r="D11" s="603" t="s">
        <v>393</v>
      </c>
      <c r="E11" s="600">
        <v>44743</v>
      </c>
      <c r="F11" s="601">
        <f>+SUMIFS('1. S'!J$29:J$69,'1. S'!K$29:K$69,FA!$C11)</f>
        <v>0.26210957071964458</v>
      </c>
      <c r="G11" s="601">
        <f>++SUMIFS('1. S'!L$29:L$69,'1. S'!M$29:M$69,FA!$C11)</f>
        <v>0.11306987003885964</v>
      </c>
      <c r="H11" s="601">
        <f>++SUMIFS('1. S'!N$29:N$69,'1. S'!O$29:O$69,FA!$C11)</f>
        <v>0.16886121889964362</v>
      </c>
      <c r="I11" s="602">
        <f>++SUMIFS('1. S'!P$29:P$69,'1. S'!Q$29:Q$69,FA!$C11)</f>
        <v>0.25268587455969993</v>
      </c>
      <c r="J11" s="601">
        <f>++SUMIFS('1. S'!R$29:R$69,'1. S'!S$29:S$69,FA!$C11)</f>
        <v>0.23834486695611493</v>
      </c>
      <c r="K11" s="601">
        <f>++SUMIFS('1. S'!T$29:T$69,'1. S'!U$29:U$69,FA!$C11)</f>
        <v>0.23834486695611493</v>
      </c>
      <c r="L11" s="601">
        <f>++SUMIFS('1. S'!V$29:V$69,'1. S'!W$29:W$69,FA!$C11)</f>
        <v>0.31767406885993643</v>
      </c>
      <c r="M11" s="383">
        <f>++SUMIFS('1. S'!X$29:X$69,'1. S'!Y$29:Y$69,FA!$C11)</f>
        <v>0</v>
      </c>
      <c r="O11" s="698">
        <f>84*O15</f>
        <v>23184</v>
      </c>
      <c r="P11" s="698">
        <f>93.5*P15</f>
        <v>97240</v>
      </c>
      <c r="Q11" s="700"/>
    </row>
    <row r="12" spans="2:25" s="260" customFormat="1" ht="49.5" customHeight="1">
      <c r="B12" s="598" t="s">
        <v>283</v>
      </c>
      <c r="C12" s="599" t="s">
        <v>278</v>
      </c>
      <c r="D12" s="598" t="s">
        <v>394</v>
      </c>
      <c r="E12" s="600">
        <v>44743</v>
      </c>
      <c r="F12" s="601">
        <f>+SUMIFS('1. S'!J$29:J$69,'1. S'!K$29:K$69,FA!$C12)</f>
        <v>5.6023400706153248E-2</v>
      </c>
      <c r="G12" s="601">
        <f>++SUMIFS('1. S'!L$29:L$69,'1. S'!M$29:M$69,FA!$C12)</f>
        <v>5.1328258224734233E-2</v>
      </c>
      <c r="H12" s="601">
        <f>++SUMIFS('1. S'!N$29:N$69,'1. S'!O$29:O$69,FA!$C12)</f>
        <v>5.331392625522962E-2</v>
      </c>
      <c r="I12" s="602">
        <f>++SUMIFS('1. S'!P$29:P$69,'1. S'!Q$29:Q$69,FA!$C12)</f>
        <v>0.22941435794850742</v>
      </c>
      <c r="J12" s="601">
        <f>++SUMIFS('1. S'!R$29:R$69,'1. S'!S$29:S$69,FA!$C12)</f>
        <v>3.7625870353816461E-2</v>
      </c>
      <c r="K12" s="601">
        <f>++SUMIFS('1. S'!T$29:T$69,'1. S'!U$29:U$69,FA!$C12)</f>
        <v>3.7625870353816461E-2</v>
      </c>
      <c r="L12" s="601">
        <f>++SUMIFS('1. S'!V$29:V$69,'1. S'!W$29:W$69,FA!$C12)</f>
        <v>0.11558750796165201</v>
      </c>
      <c r="M12" s="383">
        <f>++SUMIFS('1. S'!X$29:X$69,'1. S'!Y$29:Y$69,FA!$C12)</f>
        <v>0</v>
      </c>
      <c r="O12" s="383">
        <v>173.8</v>
      </c>
      <c r="P12" s="383">
        <v>1097</v>
      </c>
      <c r="Q12" s="701"/>
    </row>
    <row r="13" spans="2:25" s="260" customFormat="1" ht="49.5" customHeight="1">
      <c r="B13" s="598" t="s">
        <v>284</v>
      </c>
      <c r="C13" s="599" t="s">
        <v>279</v>
      </c>
      <c r="D13" s="598" t="s">
        <v>289</v>
      </c>
      <c r="E13" s="600">
        <v>44743</v>
      </c>
      <c r="F13" s="601">
        <f>+SUMIFS('1. S'!J$29:J$69,'1. S'!K$29:K$69,FA!$C13)</f>
        <v>1.0079846403523492E-2</v>
      </c>
      <c r="G13" s="601">
        <f>++SUMIFS('1. S'!L$29:L$69,'1. S'!M$29:M$69,FA!$C13)</f>
        <v>1.0811830364840364E-2</v>
      </c>
      <c r="H13" s="601">
        <f>++SUMIFS('1. S'!N$29:N$69,'1. S'!O$29:O$69,FA!$C13)</f>
        <v>1.5284716053167422E-2</v>
      </c>
      <c r="I13" s="602">
        <f>++SUMIFS('1. S'!P$29:P$69,'1. S'!Q$29:Q$69,FA!$C13)</f>
        <v>2.0476477440556544E-3</v>
      </c>
      <c r="J13" s="601">
        <f>++SUMIFS('1. S'!R$29:R$69,'1. S'!S$29:S$69,FA!$C13)</f>
        <v>2.8585029456679165E-2</v>
      </c>
      <c r="K13" s="601">
        <f>++SUMIFS('1. S'!T$29:T$69,'1. S'!U$29:U$69,FA!$C13)</f>
        <v>2.8585029456679165E-2</v>
      </c>
      <c r="L13" s="601">
        <f>++SUMIFS('1. S'!V$29:V$69,'1. S'!W$29:W$69,FA!$C13)</f>
        <v>2.3939046103200967E-2</v>
      </c>
      <c r="M13" s="604">
        <v>1</v>
      </c>
      <c r="O13" s="383">
        <v>1300.8</v>
      </c>
      <c r="P13" s="383">
        <v>9044.9</v>
      </c>
      <c r="Q13" s="701"/>
    </row>
    <row r="14" spans="2:25" s="260" customFormat="1" ht="42" customHeight="1">
      <c r="B14" s="397"/>
      <c r="C14" s="398" t="s">
        <v>508</v>
      </c>
      <c r="D14" s="397"/>
      <c r="E14" s="399"/>
      <c r="F14" s="400"/>
      <c r="G14" s="400"/>
      <c r="H14" s="400"/>
      <c r="I14" s="400"/>
      <c r="J14" s="400"/>
      <c r="K14" s="400"/>
      <c r="L14" s="400"/>
      <c r="M14" s="401"/>
      <c r="O14" s="383">
        <v>131.27000000000001</v>
      </c>
      <c r="P14" s="383">
        <v>876.5</v>
      </c>
      <c r="Q14" s="701"/>
    </row>
    <row r="15" spans="2:25" s="260" customFormat="1" ht="42" customHeight="1">
      <c r="B15" s="404" t="s">
        <v>497</v>
      </c>
      <c r="D15" s="398"/>
      <c r="E15" s="405"/>
      <c r="F15" s="406"/>
      <c r="G15" s="406"/>
      <c r="H15" s="406"/>
      <c r="I15" s="406"/>
      <c r="J15" s="406"/>
      <c r="K15" s="400"/>
      <c r="L15" s="400"/>
      <c r="M15" s="401"/>
      <c r="O15" s="748">
        <v>276</v>
      </c>
      <c r="P15" s="748">
        <v>1040</v>
      </c>
    </row>
    <row r="16" spans="2:25">
      <c r="B16" s="403" t="s">
        <v>498</v>
      </c>
    </row>
    <row r="17" spans="2:14">
      <c r="B17" s="403" t="s">
        <v>499</v>
      </c>
    </row>
    <row r="18" spans="2:14">
      <c r="B18" s="403" t="s">
        <v>500</v>
      </c>
    </row>
    <row r="19" spans="2:14">
      <c r="C19" s="403"/>
    </row>
    <row r="20" spans="2:14" ht="18.75">
      <c r="B20" s="850" t="s">
        <v>496</v>
      </c>
      <c r="C20" s="850"/>
      <c r="D20" s="850"/>
      <c r="E20" s="850"/>
      <c r="F20" s="850"/>
      <c r="G20" s="850"/>
      <c r="H20" s="850"/>
      <c r="I20" s="850"/>
      <c r="J20" s="850"/>
      <c r="K20" s="850"/>
      <c r="L20" s="850"/>
      <c r="M20" s="850"/>
      <c r="N20" s="850"/>
    </row>
    <row r="26" spans="2:14" ht="18" customHeight="1">
      <c r="C26" s="851" t="s">
        <v>290</v>
      </c>
      <c r="D26" s="851" t="s">
        <v>286</v>
      </c>
      <c r="E26" s="851" t="s">
        <v>287</v>
      </c>
      <c r="F26" s="852" t="s">
        <v>285</v>
      </c>
    </row>
    <row r="27" spans="2:14" ht="45" customHeight="1">
      <c r="C27" s="851"/>
      <c r="D27" s="851"/>
      <c r="E27" s="851"/>
      <c r="F27" s="853"/>
    </row>
    <row r="28" spans="2:14">
      <c r="C28" s="369" t="s">
        <v>493</v>
      </c>
      <c r="D28" s="261"/>
      <c r="E28" s="262">
        <v>44927</v>
      </c>
      <c r="F28" s="367">
        <v>0.6</v>
      </c>
    </row>
    <row r="29" spans="2:14">
      <c r="C29" s="369" t="s">
        <v>278</v>
      </c>
      <c r="D29" s="261"/>
      <c r="E29" s="262">
        <v>44927</v>
      </c>
      <c r="F29" s="367">
        <v>0.25</v>
      </c>
    </row>
    <row r="30" spans="2:14">
      <c r="C30" s="369" t="s">
        <v>279</v>
      </c>
      <c r="D30" s="261"/>
      <c r="E30" s="262">
        <v>44927</v>
      </c>
      <c r="F30" s="367">
        <v>0.15</v>
      </c>
    </row>
    <row r="31" spans="2:14" ht="30">
      <c r="C31" s="369" t="s">
        <v>494</v>
      </c>
      <c r="D31" s="261"/>
      <c r="E31" s="262">
        <v>44927</v>
      </c>
      <c r="F31" s="367"/>
    </row>
    <row r="34" spans="2:2" ht="15.75">
      <c r="B34" s="404" t="s">
        <v>501</v>
      </c>
    </row>
    <row r="35" spans="2:2">
      <c r="B35" s="402"/>
    </row>
    <row r="36" spans="2:2">
      <c r="B36" s="403" t="s">
        <v>498</v>
      </c>
    </row>
    <row r="37" spans="2:2">
      <c r="B37" s="403" t="s">
        <v>1035</v>
      </c>
    </row>
  </sheetData>
  <mergeCells count="11">
    <mergeCell ref="B1:N1"/>
    <mergeCell ref="C26:C27"/>
    <mergeCell ref="D26:D27"/>
    <mergeCell ref="E26:E27"/>
    <mergeCell ref="F26:F27"/>
    <mergeCell ref="F8:M8"/>
    <mergeCell ref="B20:N20"/>
    <mergeCell ref="B8:B9"/>
    <mergeCell ref="C8:C9"/>
    <mergeCell ref="D8:D9"/>
    <mergeCell ref="E8:E9"/>
  </mergeCells>
  <hyperlinks>
    <hyperlink ref="D11" r:id="rId1" xr:uid="{00000000-0004-0000-0300-000000000000}"/>
  </hyperlink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pageSetUpPr fitToPage="1"/>
  </sheetPr>
  <dimension ref="B1:W41"/>
  <sheetViews>
    <sheetView showGridLines="0" tabSelected="1" zoomScale="70" zoomScaleNormal="70" workbookViewId="0">
      <selection activeCell="I17" sqref="I17"/>
    </sheetView>
  </sheetViews>
  <sheetFormatPr baseColWidth="10" defaultRowHeight="15"/>
  <cols>
    <col min="1" max="1" width="1.42578125" style="421" customWidth="1"/>
    <col min="2" max="2" width="5.28515625" style="421" customWidth="1"/>
    <col min="3" max="3" width="51" style="421" customWidth="1"/>
    <col min="4" max="4" width="8.7109375" style="425" customWidth="1"/>
    <col min="5" max="5" width="14" style="421" bestFit="1" customWidth="1"/>
    <col min="6" max="6" width="11.85546875" style="421" bestFit="1" customWidth="1"/>
    <col min="7" max="7" width="13" style="421" bestFit="1" customWidth="1"/>
    <col min="8" max="8" width="11" style="280" customWidth="1"/>
    <col min="9" max="9" width="13.85546875" style="421" customWidth="1"/>
    <col min="10" max="10" width="23.28515625" style="421" customWidth="1"/>
    <col min="11" max="11" width="21.85546875" style="421" customWidth="1"/>
    <col min="12" max="12" width="11.42578125" style="421"/>
    <col min="13" max="13" width="23.7109375" style="421" customWidth="1"/>
    <col min="14" max="14" width="25.28515625" style="421" customWidth="1"/>
    <col min="15" max="15" width="21.7109375" style="421" customWidth="1"/>
    <col min="16" max="16" width="16.42578125" style="421" customWidth="1"/>
    <col min="17" max="17" width="20.85546875" style="421" customWidth="1"/>
    <col min="18" max="18" width="12.42578125" style="421" customWidth="1"/>
    <col min="19" max="19" width="11" style="421" customWidth="1"/>
    <col min="20" max="20" width="21" style="421" customWidth="1"/>
    <col min="21" max="21" width="27" style="421" customWidth="1"/>
    <col min="22" max="22" width="0.7109375" style="421" customWidth="1"/>
    <col min="23" max="263" width="11.42578125" style="421"/>
    <col min="264" max="264" width="11.5703125" style="421" customWidth="1"/>
    <col min="265" max="265" width="8.42578125" style="421" customWidth="1"/>
    <col min="266" max="266" width="99.28515625" style="421" customWidth="1"/>
    <col min="267" max="267" width="19.140625" style="421" customWidth="1"/>
    <col min="268" max="268" width="18.7109375" style="421" customWidth="1"/>
    <col min="269" max="269" width="19.85546875" style="421" customWidth="1"/>
    <col min="270" max="519" width="11.42578125" style="421"/>
    <col min="520" max="520" width="11.5703125" style="421" customWidth="1"/>
    <col min="521" max="521" width="8.42578125" style="421" customWidth="1"/>
    <col min="522" max="522" width="99.28515625" style="421" customWidth="1"/>
    <col min="523" max="523" width="19.140625" style="421" customWidth="1"/>
    <col min="524" max="524" width="18.7109375" style="421" customWidth="1"/>
    <col min="525" max="525" width="19.85546875" style="421" customWidth="1"/>
    <col min="526" max="775" width="11.42578125" style="421"/>
    <col min="776" max="776" width="11.5703125" style="421" customWidth="1"/>
    <col min="777" max="777" width="8.42578125" style="421" customWidth="1"/>
    <col min="778" max="778" width="99.28515625" style="421" customWidth="1"/>
    <col min="779" max="779" width="19.140625" style="421" customWidth="1"/>
    <col min="780" max="780" width="18.7109375" style="421" customWidth="1"/>
    <col min="781" max="781" width="19.85546875" style="421" customWidth="1"/>
    <col min="782" max="1031" width="11.42578125" style="421"/>
    <col min="1032" max="1032" width="11.5703125" style="421" customWidth="1"/>
    <col min="1033" max="1033" width="8.42578125" style="421" customWidth="1"/>
    <col min="1034" max="1034" width="99.28515625" style="421" customWidth="1"/>
    <col min="1035" max="1035" width="19.140625" style="421" customWidth="1"/>
    <col min="1036" max="1036" width="18.7109375" style="421" customWidth="1"/>
    <col min="1037" max="1037" width="19.85546875" style="421" customWidth="1"/>
    <col min="1038" max="1287" width="11.42578125" style="421"/>
    <col min="1288" max="1288" width="11.5703125" style="421" customWidth="1"/>
    <col min="1289" max="1289" width="8.42578125" style="421" customWidth="1"/>
    <col min="1290" max="1290" width="99.28515625" style="421" customWidth="1"/>
    <col min="1291" max="1291" width="19.140625" style="421" customWidth="1"/>
    <col min="1292" max="1292" width="18.7109375" style="421" customWidth="1"/>
    <col min="1293" max="1293" width="19.85546875" style="421" customWidth="1"/>
    <col min="1294" max="1543" width="11.42578125" style="421"/>
    <col min="1544" max="1544" width="11.5703125" style="421" customWidth="1"/>
    <col min="1545" max="1545" width="8.42578125" style="421" customWidth="1"/>
    <col min="1546" max="1546" width="99.28515625" style="421" customWidth="1"/>
    <col min="1547" max="1547" width="19.140625" style="421" customWidth="1"/>
    <col min="1548" max="1548" width="18.7109375" style="421" customWidth="1"/>
    <col min="1549" max="1549" width="19.85546875" style="421" customWidth="1"/>
    <col min="1550" max="1799" width="11.42578125" style="421"/>
    <col min="1800" max="1800" width="11.5703125" style="421" customWidth="1"/>
    <col min="1801" max="1801" width="8.42578125" style="421" customWidth="1"/>
    <col min="1802" max="1802" width="99.28515625" style="421" customWidth="1"/>
    <col min="1803" max="1803" width="19.140625" style="421" customWidth="1"/>
    <col min="1804" max="1804" width="18.7109375" style="421" customWidth="1"/>
    <col min="1805" max="1805" width="19.85546875" style="421" customWidth="1"/>
    <col min="1806" max="2055" width="11.42578125" style="421"/>
    <col min="2056" max="2056" width="11.5703125" style="421" customWidth="1"/>
    <col min="2057" max="2057" width="8.42578125" style="421" customWidth="1"/>
    <col min="2058" max="2058" width="99.28515625" style="421" customWidth="1"/>
    <col min="2059" max="2059" width="19.140625" style="421" customWidth="1"/>
    <col min="2060" max="2060" width="18.7109375" style="421" customWidth="1"/>
    <col min="2061" max="2061" width="19.85546875" style="421" customWidth="1"/>
    <col min="2062" max="2311" width="11.42578125" style="421"/>
    <col min="2312" max="2312" width="11.5703125" style="421" customWidth="1"/>
    <col min="2313" max="2313" width="8.42578125" style="421" customWidth="1"/>
    <col min="2314" max="2314" width="99.28515625" style="421" customWidth="1"/>
    <col min="2315" max="2315" width="19.140625" style="421" customWidth="1"/>
    <col min="2316" max="2316" width="18.7109375" style="421" customWidth="1"/>
    <col min="2317" max="2317" width="19.85546875" style="421" customWidth="1"/>
    <col min="2318" max="2567" width="11.42578125" style="421"/>
    <col min="2568" max="2568" width="11.5703125" style="421" customWidth="1"/>
    <col min="2569" max="2569" width="8.42578125" style="421" customWidth="1"/>
    <col min="2570" max="2570" width="99.28515625" style="421" customWidth="1"/>
    <col min="2571" max="2571" width="19.140625" style="421" customWidth="1"/>
    <col min="2572" max="2572" width="18.7109375" style="421" customWidth="1"/>
    <col min="2573" max="2573" width="19.85546875" style="421" customWidth="1"/>
    <col min="2574" max="2823" width="11.42578125" style="421"/>
    <col min="2824" max="2824" width="11.5703125" style="421" customWidth="1"/>
    <col min="2825" max="2825" width="8.42578125" style="421" customWidth="1"/>
    <col min="2826" max="2826" width="99.28515625" style="421" customWidth="1"/>
    <col min="2827" max="2827" width="19.140625" style="421" customWidth="1"/>
    <col min="2828" max="2828" width="18.7109375" style="421" customWidth="1"/>
    <col min="2829" max="2829" width="19.85546875" style="421" customWidth="1"/>
    <col min="2830" max="3079" width="11.42578125" style="421"/>
    <col min="3080" max="3080" width="11.5703125" style="421" customWidth="1"/>
    <col min="3081" max="3081" width="8.42578125" style="421" customWidth="1"/>
    <col min="3082" max="3082" width="99.28515625" style="421" customWidth="1"/>
    <col min="3083" max="3083" width="19.140625" style="421" customWidth="1"/>
    <col min="3084" max="3084" width="18.7109375" style="421" customWidth="1"/>
    <col min="3085" max="3085" width="19.85546875" style="421" customWidth="1"/>
    <col min="3086" max="3335" width="11.42578125" style="421"/>
    <col min="3336" max="3336" width="11.5703125" style="421" customWidth="1"/>
    <col min="3337" max="3337" width="8.42578125" style="421" customWidth="1"/>
    <col min="3338" max="3338" width="99.28515625" style="421" customWidth="1"/>
    <col min="3339" max="3339" width="19.140625" style="421" customWidth="1"/>
    <col min="3340" max="3340" width="18.7109375" style="421" customWidth="1"/>
    <col min="3341" max="3341" width="19.85546875" style="421" customWidth="1"/>
    <col min="3342" max="3591" width="11.42578125" style="421"/>
    <col min="3592" max="3592" width="11.5703125" style="421" customWidth="1"/>
    <col min="3593" max="3593" width="8.42578125" style="421" customWidth="1"/>
    <col min="3594" max="3594" width="99.28515625" style="421" customWidth="1"/>
    <col min="3595" max="3595" width="19.140625" style="421" customWidth="1"/>
    <col min="3596" max="3596" width="18.7109375" style="421" customWidth="1"/>
    <col min="3597" max="3597" width="19.85546875" style="421" customWidth="1"/>
    <col min="3598" max="3847" width="11.42578125" style="421"/>
    <col min="3848" max="3848" width="11.5703125" style="421" customWidth="1"/>
    <col min="3849" max="3849" width="8.42578125" style="421" customWidth="1"/>
    <col min="3850" max="3850" width="99.28515625" style="421" customWidth="1"/>
    <col min="3851" max="3851" width="19.140625" style="421" customWidth="1"/>
    <col min="3852" max="3852" width="18.7109375" style="421" customWidth="1"/>
    <col min="3853" max="3853" width="19.85546875" style="421" customWidth="1"/>
    <col min="3854" max="4103" width="11.42578125" style="421"/>
    <col min="4104" max="4104" width="11.5703125" style="421" customWidth="1"/>
    <col min="4105" max="4105" width="8.42578125" style="421" customWidth="1"/>
    <col min="4106" max="4106" width="99.28515625" style="421" customWidth="1"/>
    <col min="4107" max="4107" width="19.140625" style="421" customWidth="1"/>
    <col min="4108" max="4108" width="18.7109375" style="421" customWidth="1"/>
    <col min="4109" max="4109" width="19.85546875" style="421" customWidth="1"/>
    <col min="4110" max="4359" width="11.42578125" style="421"/>
    <col min="4360" max="4360" width="11.5703125" style="421" customWidth="1"/>
    <col min="4361" max="4361" width="8.42578125" style="421" customWidth="1"/>
    <col min="4362" max="4362" width="99.28515625" style="421" customWidth="1"/>
    <col min="4363" max="4363" width="19.140625" style="421" customWidth="1"/>
    <col min="4364" max="4364" width="18.7109375" style="421" customWidth="1"/>
    <col min="4365" max="4365" width="19.85546875" style="421" customWidth="1"/>
    <col min="4366" max="4615" width="11.42578125" style="421"/>
    <col min="4616" max="4616" width="11.5703125" style="421" customWidth="1"/>
    <col min="4617" max="4617" width="8.42578125" style="421" customWidth="1"/>
    <col min="4618" max="4618" width="99.28515625" style="421" customWidth="1"/>
    <col min="4619" max="4619" width="19.140625" style="421" customWidth="1"/>
    <col min="4620" max="4620" width="18.7109375" style="421" customWidth="1"/>
    <col min="4621" max="4621" width="19.85546875" style="421" customWidth="1"/>
    <col min="4622" max="4871" width="11.42578125" style="421"/>
    <col min="4872" max="4872" width="11.5703125" style="421" customWidth="1"/>
    <col min="4873" max="4873" width="8.42578125" style="421" customWidth="1"/>
    <col min="4874" max="4874" width="99.28515625" style="421" customWidth="1"/>
    <col min="4875" max="4875" width="19.140625" style="421" customWidth="1"/>
    <col min="4876" max="4876" width="18.7109375" style="421" customWidth="1"/>
    <col min="4877" max="4877" width="19.85546875" style="421" customWidth="1"/>
    <col min="4878" max="5127" width="11.42578125" style="421"/>
    <col min="5128" max="5128" width="11.5703125" style="421" customWidth="1"/>
    <col min="5129" max="5129" width="8.42578125" style="421" customWidth="1"/>
    <col min="5130" max="5130" width="99.28515625" style="421" customWidth="1"/>
    <col min="5131" max="5131" width="19.140625" style="421" customWidth="1"/>
    <col min="5132" max="5132" width="18.7109375" style="421" customWidth="1"/>
    <col min="5133" max="5133" width="19.85546875" style="421" customWidth="1"/>
    <col min="5134" max="5383" width="11.42578125" style="421"/>
    <col min="5384" max="5384" width="11.5703125" style="421" customWidth="1"/>
    <col min="5385" max="5385" width="8.42578125" style="421" customWidth="1"/>
    <col min="5386" max="5386" width="99.28515625" style="421" customWidth="1"/>
    <col min="5387" max="5387" width="19.140625" style="421" customWidth="1"/>
    <col min="5388" max="5388" width="18.7109375" style="421" customWidth="1"/>
    <col min="5389" max="5389" width="19.85546875" style="421" customWidth="1"/>
    <col min="5390" max="5639" width="11.42578125" style="421"/>
    <col min="5640" max="5640" width="11.5703125" style="421" customWidth="1"/>
    <col min="5641" max="5641" width="8.42578125" style="421" customWidth="1"/>
    <col min="5642" max="5642" width="99.28515625" style="421" customWidth="1"/>
    <col min="5643" max="5643" width="19.140625" style="421" customWidth="1"/>
    <col min="5644" max="5644" width="18.7109375" style="421" customWidth="1"/>
    <col min="5645" max="5645" width="19.85546875" style="421" customWidth="1"/>
    <col min="5646" max="5895" width="11.42578125" style="421"/>
    <col min="5896" max="5896" width="11.5703125" style="421" customWidth="1"/>
    <col min="5897" max="5897" width="8.42578125" style="421" customWidth="1"/>
    <col min="5898" max="5898" width="99.28515625" style="421" customWidth="1"/>
    <col min="5899" max="5899" width="19.140625" style="421" customWidth="1"/>
    <col min="5900" max="5900" width="18.7109375" style="421" customWidth="1"/>
    <col min="5901" max="5901" width="19.85546875" style="421" customWidth="1"/>
    <col min="5902" max="6151" width="11.42578125" style="421"/>
    <col min="6152" max="6152" width="11.5703125" style="421" customWidth="1"/>
    <col min="6153" max="6153" width="8.42578125" style="421" customWidth="1"/>
    <col min="6154" max="6154" width="99.28515625" style="421" customWidth="1"/>
    <col min="6155" max="6155" width="19.140625" style="421" customWidth="1"/>
    <col min="6156" max="6156" width="18.7109375" style="421" customWidth="1"/>
    <col min="6157" max="6157" width="19.85546875" style="421" customWidth="1"/>
    <col min="6158" max="6407" width="11.42578125" style="421"/>
    <col min="6408" max="6408" width="11.5703125" style="421" customWidth="1"/>
    <col min="6409" max="6409" width="8.42578125" style="421" customWidth="1"/>
    <col min="6410" max="6410" width="99.28515625" style="421" customWidth="1"/>
    <col min="6411" max="6411" width="19.140625" style="421" customWidth="1"/>
    <col min="6412" max="6412" width="18.7109375" style="421" customWidth="1"/>
    <col min="6413" max="6413" width="19.85546875" style="421" customWidth="1"/>
    <col min="6414" max="6663" width="11.42578125" style="421"/>
    <col min="6664" max="6664" width="11.5703125" style="421" customWidth="1"/>
    <col min="6665" max="6665" width="8.42578125" style="421" customWidth="1"/>
    <col min="6666" max="6666" width="99.28515625" style="421" customWidth="1"/>
    <col min="6667" max="6667" width="19.140625" style="421" customWidth="1"/>
    <col min="6668" max="6668" width="18.7109375" style="421" customWidth="1"/>
    <col min="6669" max="6669" width="19.85546875" style="421" customWidth="1"/>
    <col min="6670" max="6919" width="11.42578125" style="421"/>
    <col min="6920" max="6920" width="11.5703125" style="421" customWidth="1"/>
    <col min="6921" max="6921" width="8.42578125" style="421" customWidth="1"/>
    <col min="6922" max="6922" width="99.28515625" style="421" customWidth="1"/>
    <col min="6923" max="6923" width="19.140625" style="421" customWidth="1"/>
    <col min="6924" max="6924" width="18.7109375" style="421" customWidth="1"/>
    <col min="6925" max="6925" width="19.85546875" style="421" customWidth="1"/>
    <col min="6926" max="7175" width="11.42578125" style="421"/>
    <col min="7176" max="7176" width="11.5703125" style="421" customWidth="1"/>
    <col min="7177" max="7177" width="8.42578125" style="421" customWidth="1"/>
    <col min="7178" max="7178" width="99.28515625" style="421" customWidth="1"/>
    <col min="7179" max="7179" width="19.140625" style="421" customWidth="1"/>
    <col min="7180" max="7180" width="18.7109375" style="421" customWidth="1"/>
    <col min="7181" max="7181" width="19.85546875" style="421" customWidth="1"/>
    <col min="7182" max="7431" width="11.42578125" style="421"/>
    <col min="7432" max="7432" width="11.5703125" style="421" customWidth="1"/>
    <col min="7433" max="7433" width="8.42578125" style="421" customWidth="1"/>
    <col min="7434" max="7434" width="99.28515625" style="421" customWidth="1"/>
    <col min="7435" max="7435" width="19.140625" style="421" customWidth="1"/>
    <col min="7436" max="7436" width="18.7109375" style="421" customWidth="1"/>
    <col min="7437" max="7437" width="19.85546875" style="421" customWidth="1"/>
    <col min="7438" max="7687" width="11.42578125" style="421"/>
    <col min="7688" max="7688" width="11.5703125" style="421" customWidth="1"/>
    <col min="7689" max="7689" width="8.42578125" style="421" customWidth="1"/>
    <col min="7690" max="7690" width="99.28515625" style="421" customWidth="1"/>
    <col min="7691" max="7691" width="19.140625" style="421" customWidth="1"/>
    <col min="7692" max="7692" width="18.7109375" style="421" customWidth="1"/>
    <col min="7693" max="7693" width="19.85546875" style="421" customWidth="1"/>
    <col min="7694" max="7943" width="11.42578125" style="421"/>
    <col min="7944" max="7944" width="11.5703125" style="421" customWidth="1"/>
    <col min="7945" max="7945" width="8.42578125" style="421" customWidth="1"/>
    <col min="7946" max="7946" width="99.28515625" style="421" customWidth="1"/>
    <col min="7947" max="7947" width="19.140625" style="421" customWidth="1"/>
    <col min="7948" max="7948" width="18.7109375" style="421" customWidth="1"/>
    <col min="7949" max="7949" width="19.85546875" style="421" customWidth="1"/>
    <col min="7950" max="8199" width="11.42578125" style="421"/>
    <col min="8200" max="8200" width="11.5703125" style="421" customWidth="1"/>
    <col min="8201" max="8201" width="8.42578125" style="421" customWidth="1"/>
    <col min="8202" max="8202" width="99.28515625" style="421" customWidth="1"/>
    <col min="8203" max="8203" width="19.140625" style="421" customWidth="1"/>
    <col min="8204" max="8204" width="18.7109375" style="421" customWidth="1"/>
    <col min="8205" max="8205" width="19.85546875" style="421" customWidth="1"/>
    <col min="8206" max="8455" width="11.42578125" style="421"/>
    <col min="8456" max="8456" width="11.5703125" style="421" customWidth="1"/>
    <col min="8457" max="8457" width="8.42578125" style="421" customWidth="1"/>
    <col min="8458" max="8458" width="99.28515625" style="421" customWidth="1"/>
    <col min="8459" max="8459" width="19.140625" style="421" customWidth="1"/>
    <col min="8460" max="8460" width="18.7109375" style="421" customWidth="1"/>
    <col min="8461" max="8461" width="19.85546875" style="421" customWidth="1"/>
    <col min="8462" max="8711" width="11.42578125" style="421"/>
    <col min="8712" max="8712" width="11.5703125" style="421" customWidth="1"/>
    <col min="8713" max="8713" width="8.42578125" style="421" customWidth="1"/>
    <col min="8714" max="8714" width="99.28515625" style="421" customWidth="1"/>
    <col min="8715" max="8715" width="19.140625" style="421" customWidth="1"/>
    <col min="8716" max="8716" width="18.7109375" style="421" customWidth="1"/>
    <col min="8717" max="8717" width="19.85546875" style="421" customWidth="1"/>
    <col min="8718" max="8967" width="11.42578125" style="421"/>
    <col min="8968" max="8968" width="11.5703125" style="421" customWidth="1"/>
    <col min="8969" max="8969" width="8.42578125" style="421" customWidth="1"/>
    <col min="8970" max="8970" width="99.28515625" style="421" customWidth="1"/>
    <col min="8971" max="8971" width="19.140625" style="421" customWidth="1"/>
    <col min="8972" max="8972" width="18.7109375" style="421" customWidth="1"/>
    <col min="8973" max="8973" width="19.85546875" style="421" customWidth="1"/>
    <col min="8974" max="9223" width="11.42578125" style="421"/>
    <col min="9224" max="9224" width="11.5703125" style="421" customWidth="1"/>
    <col min="9225" max="9225" width="8.42578125" style="421" customWidth="1"/>
    <col min="9226" max="9226" width="99.28515625" style="421" customWidth="1"/>
    <col min="9227" max="9227" width="19.140625" style="421" customWidth="1"/>
    <col min="9228" max="9228" width="18.7109375" style="421" customWidth="1"/>
    <col min="9229" max="9229" width="19.85546875" style="421" customWidth="1"/>
    <col min="9230" max="9479" width="11.42578125" style="421"/>
    <col min="9480" max="9480" width="11.5703125" style="421" customWidth="1"/>
    <col min="9481" max="9481" width="8.42578125" style="421" customWidth="1"/>
    <col min="9482" max="9482" width="99.28515625" style="421" customWidth="1"/>
    <col min="9483" max="9483" width="19.140625" style="421" customWidth="1"/>
    <col min="9484" max="9484" width="18.7109375" style="421" customWidth="1"/>
    <col min="9485" max="9485" width="19.85546875" style="421" customWidth="1"/>
    <col min="9486" max="9735" width="11.42578125" style="421"/>
    <col min="9736" max="9736" width="11.5703125" style="421" customWidth="1"/>
    <col min="9737" max="9737" width="8.42578125" style="421" customWidth="1"/>
    <col min="9738" max="9738" width="99.28515625" style="421" customWidth="1"/>
    <col min="9739" max="9739" width="19.140625" style="421" customWidth="1"/>
    <col min="9740" max="9740" width="18.7109375" style="421" customWidth="1"/>
    <col min="9741" max="9741" width="19.85546875" style="421" customWidth="1"/>
    <col min="9742" max="9991" width="11.42578125" style="421"/>
    <col min="9992" max="9992" width="11.5703125" style="421" customWidth="1"/>
    <col min="9993" max="9993" width="8.42578125" style="421" customWidth="1"/>
    <col min="9994" max="9994" width="99.28515625" style="421" customWidth="1"/>
    <col min="9995" max="9995" width="19.140625" style="421" customWidth="1"/>
    <col min="9996" max="9996" width="18.7109375" style="421" customWidth="1"/>
    <col min="9997" max="9997" width="19.85546875" style="421" customWidth="1"/>
    <col min="9998" max="10247" width="11.42578125" style="421"/>
    <col min="10248" max="10248" width="11.5703125" style="421" customWidth="1"/>
    <col min="10249" max="10249" width="8.42578125" style="421" customWidth="1"/>
    <col min="10250" max="10250" width="99.28515625" style="421" customWidth="1"/>
    <col min="10251" max="10251" width="19.140625" style="421" customWidth="1"/>
    <col min="10252" max="10252" width="18.7109375" style="421" customWidth="1"/>
    <col min="10253" max="10253" width="19.85546875" style="421" customWidth="1"/>
    <col min="10254" max="10503" width="11.42578125" style="421"/>
    <col min="10504" max="10504" width="11.5703125" style="421" customWidth="1"/>
    <col min="10505" max="10505" width="8.42578125" style="421" customWidth="1"/>
    <col min="10506" max="10506" width="99.28515625" style="421" customWidth="1"/>
    <col min="10507" max="10507" width="19.140625" style="421" customWidth="1"/>
    <col min="10508" max="10508" width="18.7109375" style="421" customWidth="1"/>
    <col min="10509" max="10509" width="19.85546875" style="421" customWidth="1"/>
    <col min="10510" max="10759" width="11.42578125" style="421"/>
    <col min="10760" max="10760" width="11.5703125" style="421" customWidth="1"/>
    <col min="10761" max="10761" width="8.42578125" style="421" customWidth="1"/>
    <col min="10762" max="10762" width="99.28515625" style="421" customWidth="1"/>
    <col min="10763" max="10763" width="19.140625" style="421" customWidth="1"/>
    <col min="10764" max="10764" width="18.7109375" style="421" customWidth="1"/>
    <col min="10765" max="10765" width="19.85546875" style="421" customWidth="1"/>
    <col min="10766" max="11015" width="11.42578125" style="421"/>
    <col min="11016" max="11016" width="11.5703125" style="421" customWidth="1"/>
    <col min="11017" max="11017" width="8.42578125" style="421" customWidth="1"/>
    <col min="11018" max="11018" width="99.28515625" style="421" customWidth="1"/>
    <col min="11019" max="11019" width="19.140625" style="421" customWidth="1"/>
    <col min="11020" max="11020" width="18.7109375" style="421" customWidth="1"/>
    <col min="11021" max="11021" width="19.85546875" style="421" customWidth="1"/>
    <col min="11022" max="11271" width="11.42578125" style="421"/>
    <col min="11272" max="11272" width="11.5703125" style="421" customWidth="1"/>
    <col min="11273" max="11273" width="8.42578125" style="421" customWidth="1"/>
    <col min="11274" max="11274" width="99.28515625" style="421" customWidth="1"/>
    <col min="11275" max="11275" width="19.140625" style="421" customWidth="1"/>
    <col min="11276" max="11276" width="18.7109375" style="421" customWidth="1"/>
    <col min="11277" max="11277" width="19.85546875" style="421" customWidth="1"/>
    <col min="11278" max="11527" width="11.42578125" style="421"/>
    <col min="11528" max="11528" width="11.5703125" style="421" customWidth="1"/>
    <col min="11529" max="11529" width="8.42578125" style="421" customWidth="1"/>
    <col min="11530" max="11530" width="99.28515625" style="421" customWidth="1"/>
    <col min="11531" max="11531" width="19.140625" style="421" customWidth="1"/>
    <col min="11532" max="11532" width="18.7109375" style="421" customWidth="1"/>
    <col min="11533" max="11533" width="19.85546875" style="421" customWidth="1"/>
    <col min="11534" max="11783" width="11.42578125" style="421"/>
    <col min="11784" max="11784" width="11.5703125" style="421" customWidth="1"/>
    <col min="11785" max="11785" width="8.42578125" style="421" customWidth="1"/>
    <col min="11786" max="11786" width="99.28515625" style="421" customWidth="1"/>
    <col min="11787" max="11787" width="19.140625" style="421" customWidth="1"/>
    <col min="11788" max="11788" width="18.7109375" style="421" customWidth="1"/>
    <col min="11789" max="11789" width="19.85546875" style="421" customWidth="1"/>
    <col min="11790" max="12039" width="11.42578125" style="421"/>
    <col min="12040" max="12040" width="11.5703125" style="421" customWidth="1"/>
    <col min="12041" max="12041" width="8.42578125" style="421" customWidth="1"/>
    <col min="12042" max="12042" width="99.28515625" style="421" customWidth="1"/>
    <col min="12043" max="12043" width="19.140625" style="421" customWidth="1"/>
    <col min="12044" max="12044" width="18.7109375" style="421" customWidth="1"/>
    <col min="12045" max="12045" width="19.85546875" style="421" customWidth="1"/>
    <col min="12046" max="12295" width="11.42578125" style="421"/>
    <col min="12296" max="12296" width="11.5703125" style="421" customWidth="1"/>
    <col min="12297" max="12297" width="8.42578125" style="421" customWidth="1"/>
    <col min="12298" max="12298" width="99.28515625" style="421" customWidth="1"/>
    <col min="12299" max="12299" width="19.140625" style="421" customWidth="1"/>
    <col min="12300" max="12300" width="18.7109375" style="421" customWidth="1"/>
    <col min="12301" max="12301" width="19.85546875" style="421" customWidth="1"/>
    <col min="12302" max="12551" width="11.42578125" style="421"/>
    <col min="12552" max="12552" width="11.5703125" style="421" customWidth="1"/>
    <col min="12553" max="12553" width="8.42578125" style="421" customWidth="1"/>
    <col min="12554" max="12554" width="99.28515625" style="421" customWidth="1"/>
    <col min="12555" max="12555" width="19.140625" style="421" customWidth="1"/>
    <col min="12556" max="12556" width="18.7109375" style="421" customWidth="1"/>
    <col min="12557" max="12557" width="19.85546875" style="421" customWidth="1"/>
    <col min="12558" max="12807" width="11.42578125" style="421"/>
    <col min="12808" max="12808" width="11.5703125" style="421" customWidth="1"/>
    <col min="12809" max="12809" width="8.42578125" style="421" customWidth="1"/>
    <col min="12810" max="12810" width="99.28515625" style="421" customWidth="1"/>
    <col min="12811" max="12811" width="19.140625" style="421" customWidth="1"/>
    <col min="12812" max="12812" width="18.7109375" style="421" customWidth="1"/>
    <col min="12813" max="12813" width="19.85546875" style="421" customWidth="1"/>
    <col min="12814" max="13063" width="11.42578125" style="421"/>
    <col min="13064" max="13064" width="11.5703125" style="421" customWidth="1"/>
    <col min="13065" max="13065" width="8.42578125" style="421" customWidth="1"/>
    <col min="13066" max="13066" width="99.28515625" style="421" customWidth="1"/>
    <col min="13067" max="13067" width="19.140625" style="421" customWidth="1"/>
    <col min="13068" max="13068" width="18.7109375" style="421" customWidth="1"/>
    <col min="13069" max="13069" width="19.85546875" style="421" customWidth="1"/>
    <col min="13070" max="13319" width="11.42578125" style="421"/>
    <col min="13320" max="13320" width="11.5703125" style="421" customWidth="1"/>
    <col min="13321" max="13321" width="8.42578125" style="421" customWidth="1"/>
    <col min="13322" max="13322" width="99.28515625" style="421" customWidth="1"/>
    <col min="13323" max="13323" width="19.140625" style="421" customWidth="1"/>
    <col min="13324" max="13324" width="18.7109375" style="421" customWidth="1"/>
    <col min="13325" max="13325" width="19.85546875" style="421" customWidth="1"/>
    <col min="13326" max="13575" width="11.42578125" style="421"/>
    <col min="13576" max="13576" width="11.5703125" style="421" customWidth="1"/>
    <col min="13577" max="13577" width="8.42578125" style="421" customWidth="1"/>
    <col min="13578" max="13578" width="99.28515625" style="421" customWidth="1"/>
    <col min="13579" max="13579" width="19.140625" style="421" customWidth="1"/>
    <col min="13580" max="13580" width="18.7109375" style="421" customWidth="1"/>
    <col min="13581" max="13581" width="19.85546875" style="421" customWidth="1"/>
    <col min="13582" max="13831" width="11.42578125" style="421"/>
    <col min="13832" max="13832" width="11.5703125" style="421" customWidth="1"/>
    <col min="13833" max="13833" width="8.42578125" style="421" customWidth="1"/>
    <col min="13834" max="13834" width="99.28515625" style="421" customWidth="1"/>
    <col min="13835" max="13835" width="19.140625" style="421" customWidth="1"/>
    <col min="13836" max="13836" width="18.7109375" style="421" customWidth="1"/>
    <col min="13837" max="13837" width="19.85546875" style="421" customWidth="1"/>
    <col min="13838" max="14087" width="11.42578125" style="421"/>
    <col min="14088" max="14088" width="11.5703125" style="421" customWidth="1"/>
    <col min="14089" max="14089" width="8.42578125" style="421" customWidth="1"/>
    <col min="14090" max="14090" width="99.28515625" style="421" customWidth="1"/>
    <col min="14091" max="14091" width="19.140625" style="421" customWidth="1"/>
    <col min="14092" max="14092" width="18.7109375" style="421" customWidth="1"/>
    <col min="14093" max="14093" width="19.85546875" style="421" customWidth="1"/>
    <col min="14094" max="14343" width="11.42578125" style="421"/>
    <col min="14344" max="14344" width="11.5703125" style="421" customWidth="1"/>
    <col min="14345" max="14345" width="8.42578125" style="421" customWidth="1"/>
    <col min="14346" max="14346" width="99.28515625" style="421" customWidth="1"/>
    <col min="14347" max="14347" width="19.140625" style="421" customWidth="1"/>
    <col min="14348" max="14348" width="18.7109375" style="421" customWidth="1"/>
    <col min="14349" max="14349" width="19.85546875" style="421" customWidth="1"/>
    <col min="14350" max="14599" width="11.42578125" style="421"/>
    <col min="14600" max="14600" width="11.5703125" style="421" customWidth="1"/>
    <col min="14601" max="14601" width="8.42578125" style="421" customWidth="1"/>
    <col min="14602" max="14602" width="99.28515625" style="421" customWidth="1"/>
    <col min="14603" max="14603" width="19.140625" style="421" customWidth="1"/>
    <col min="14604" max="14604" width="18.7109375" style="421" customWidth="1"/>
    <col min="14605" max="14605" width="19.85546875" style="421" customWidth="1"/>
    <col min="14606" max="14855" width="11.42578125" style="421"/>
    <col min="14856" max="14856" width="11.5703125" style="421" customWidth="1"/>
    <col min="14857" max="14857" width="8.42578125" style="421" customWidth="1"/>
    <col min="14858" max="14858" width="99.28515625" style="421" customWidth="1"/>
    <col min="14859" max="14859" width="19.140625" style="421" customWidth="1"/>
    <col min="14860" max="14860" width="18.7109375" style="421" customWidth="1"/>
    <col min="14861" max="14861" width="19.85546875" style="421" customWidth="1"/>
    <col min="14862" max="15111" width="11.42578125" style="421"/>
    <col min="15112" max="15112" width="11.5703125" style="421" customWidth="1"/>
    <col min="15113" max="15113" width="8.42578125" style="421" customWidth="1"/>
    <col min="15114" max="15114" width="99.28515625" style="421" customWidth="1"/>
    <col min="15115" max="15115" width="19.140625" style="421" customWidth="1"/>
    <col min="15116" max="15116" width="18.7109375" style="421" customWidth="1"/>
    <col min="15117" max="15117" width="19.85546875" style="421" customWidth="1"/>
    <col min="15118" max="15367" width="11.42578125" style="421"/>
    <col min="15368" max="15368" width="11.5703125" style="421" customWidth="1"/>
    <col min="15369" max="15369" width="8.42578125" style="421" customWidth="1"/>
    <col min="15370" max="15370" width="99.28515625" style="421" customWidth="1"/>
    <col min="15371" max="15371" width="19.140625" style="421" customWidth="1"/>
    <col min="15372" max="15372" width="18.7109375" style="421" customWidth="1"/>
    <col min="15373" max="15373" width="19.85546875" style="421" customWidth="1"/>
    <col min="15374" max="15623" width="11.42578125" style="421"/>
    <col min="15624" max="15624" width="11.5703125" style="421" customWidth="1"/>
    <col min="15625" max="15625" width="8.42578125" style="421" customWidth="1"/>
    <col min="15626" max="15626" width="99.28515625" style="421" customWidth="1"/>
    <col min="15627" max="15627" width="19.140625" style="421" customWidth="1"/>
    <col min="15628" max="15628" width="18.7109375" style="421" customWidth="1"/>
    <col min="15629" max="15629" width="19.85546875" style="421" customWidth="1"/>
    <col min="15630" max="15879" width="11.42578125" style="421"/>
    <col min="15880" max="15880" width="11.5703125" style="421" customWidth="1"/>
    <col min="15881" max="15881" width="8.42578125" style="421" customWidth="1"/>
    <col min="15882" max="15882" width="99.28515625" style="421" customWidth="1"/>
    <col min="15883" max="15883" width="19.140625" style="421" customWidth="1"/>
    <col min="15884" max="15884" width="18.7109375" style="421" customWidth="1"/>
    <col min="15885" max="15885" width="19.85546875" style="421" customWidth="1"/>
    <col min="15886" max="16135" width="11.42578125" style="421"/>
    <col min="16136" max="16136" width="11.5703125" style="421" customWidth="1"/>
    <col min="16137" max="16137" width="8.42578125" style="421" customWidth="1"/>
    <col min="16138" max="16138" width="99.28515625" style="421" customWidth="1"/>
    <col min="16139" max="16139" width="19.140625" style="421" customWidth="1"/>
    <col min="16140" max="16140" width="18.7109375" style="421" customWidth="1"/>
    <col min="16141" max="16141" width="19.85546875" style="421" customWidth="1"/>
    <col min="16142" max="16384" width="11.42578125" style="421"/>
  </cols>
  <sheetData>
    <row r="1" spans="2:23" ht="15" customHeight="1" thickBot="1">
      <c r="J1" s="574" t="s">
        <v>1027</v>
      </c>
      <c r="K1" s="619">
        <f>+EERR!C23</f>
        <v>1.5</v>
      </c>
    </row>
    <row r="2" spans="2:23" ht="15" customHeight="1" thickBot="1">
      <c r="C2" s="435"/>
      <c r="D2" s="436"/>
      <c r="J2" s="575" t="s">
        <v>1028</v>
      </c>
      <c r="K2" s="619">
        <f>+EERR!C24</f>
        <v>1.5</v>
      </c>
    </row>
    <row r="3" spans="2:23" s="430" customFormat="1" ht="11.25" customHeight="1" thickBot="1">
      <c r="C3" s="435"/>
      <c r="D3" s="436"/>
      <c r="H3" s="573"/>
    </row>
    <row r="4" spans="2:23" s="264" customFormat="1" ht="16.5" customHeight="1" thickBot="1">
      <c r="B4" s="281"/>
      <c r="C4" s="435"/>
      <c r="D4" s="435"/>
      <c r="E4" s="281"/>
      <c r="F4" s="281"/>
      <c r="G4" s="281"/>
      <c r="H4" s="868" t="s">
        <v>755</v>
      </c>
      <c r="I4" s="869"/>
      <c r="J4" s="869"/>
      <c r="K4" s="869"/>
      <c r="L4" s="869"/>
      <c r="M4" s="869"/>
      <c r="N4" s="870"/>
      <c r="O4" s="871" t="s">
        <v>757</v>
      </c>
      <c r="P4" s="872"/>
      <c r="Q4" s="872"/>
      <c r="R4" s="872"/>
      <c r="S4" s="872"/>
      <c r="T4" s="872"/>
      <c r="U4" s="873"/>
    </row>
    <row r="5" spans="2:23" s="265" customFormat="1" ht="2.1" customHeight="1">
      <c r="B5" s="281"/>
      <c r="C5" s="281"/>
      <c r="D5" s="281"/>
      <c r="E5" s="281"/>
      <c r="F5" s="281"/>
      <c r="G5" s="281"/>
      <c r="H5" s="427"/>
      <c r="I5" s="428"/>
      <c r="J5" s="428"/>
      <c r="K5" s="428"/>
      <c r="L5" s="428"/>
      <c r="M5" s="428"/>
      <c r="N5" s="429"/>
      <c r="O5" s="427"/>
      <c r="P5" s="428"/>
      <c r="Q5" s="428"/>
      <c r="R5" s="428"/>
      <c r="S5" s="428"/>
      <c r="T5" s="428"/>
      <c r="U5" s="429"/>
    </row>
    <row r="6" spans="2:23" ht="2.1" customHeight="1">
      <c r="H6" s="427"/>
      <c r="I6" s="430"/>
      <c r="J6" s="430"/>
      <c r="K6" s="430"/>
      <c r="L6" s="430"/>
      <c r="M6" s="430"/>
      <c r="N6" s="431"/>
      <c r="O6" s="427"/>
      <c r="P6" s="430"/>
      <c r="Q6" s="430"/>
      <c r="R6" s="430"/>
      <c r="S6" s="430"/>
      <c r="T6" s="430"/>
      <c r="U6" s="431"/>
    </row>
    <row r="7" spans="2:23" ht="2.1" customHeight="1" thickBot="1">
      <c r="H7" s="427"/>
      <c r="I7" s="430"/>
      <c r="J7" s="430"/>
      <c r="K7" s="430"/>
      <c r="L7" s="430"/>
      <c r="M7" s="430"/>
      <c r="N7" s="431"/>
      <c r="O7" s="427"/>
      <c r="P7" s="430"/>
      <c r="Q7" s="430"/>
      <c r="R7" s="430"/>
      <c r="S7" s="430"/>
      <c r="T7" s="430"/>
      <c r="U7" s="431"/>
    </row>
    <row r="8" spans="2:23" ht="15" customHeight="1">
      <c r="B8" s="860" t="s">
        <v>292</v>
      </c>
      <c r="C8" s="858" t="s">
        <v>5</v>
      </c>
      <c r="D8" s="856" t="s">
        <v>2</v>
      </c>
      <c r="E8" s="862" t="s">
        <v>368</v>
      </c>
      <c r="F8" s="862"/>
      <c r="G8" s="863"/>
      <c r="H8" s="864" t="s">
        <v>369</v>
      </c>
      <c r="I8" s="866" t="s">
        <v>379</v>
      </c>
      <c r="J8" s="862" t="s">
        <v>370</v>
      </c>
      <c r="K8" s="862"/>
      <c r="L8" s="862"/>
      <c r="M8" s="866" t="s">
        <v>368</v>
      </c>
      <c r="N8" s="874" t="s">
        <v>528</v>
      </c>
      <c r="O8" s="864" t="s">
        <v>369</v>
      </c>
      <c r="P8" s="866" t="s">
        <v>379</v>
      </c>
      <c r="Q8" s="862" t="s">
        <v>370</v>
      </c>
      <c r="R8" s="862"/>
      <c r="S8" s="862"/>
      <c r="T8" s="866" t="s">
        <v>368</v>
      </c>
      <c r="U8" s="874" t="s">
        <v>528</v>
      </c>
    </row>
    <row r="9" spans="2:23" s="423" customFormat="1" ht="33" customHeight="1" thickBot="1">
      <c r="B9" s="861"/>
      <c r="C9" s="859"/>
      <c r="D9" s="857"/>
      <c r="E9" s="459" t="s">
        <v>376</v>
      </c>
      <c r="F9" s="459" t="s">
        <v>377</v>
      </c>
      <c r="G9" s="460" t="s">
        <v>378</v>
      </c>
      <c r="H9" s="865"/>
      <c r="I9" s="867"/>
      <c r="J9" s="459" t="s">
        <v>376</v>
      </c>
      <c r="K9" s="459" t="s">
        <v>377</v>
      </c>
      <c r="L9" s="459" t="s">
        <v>378</v>
      </c>
      <c r="M9" s="867"/>
      <c r="N9" s="875"/>
      <c r="O9" s="865"/>
      <c r="P9" s="867"/>
      <c r="Q9" s="459" t="s">
        <v>376</v>
      </c>
      <c r="R9" s="459" t="s">
        <v>377</v>
      </c>
      <c r="S9" s="459" t="s">
        <v>378</v>
      </c>
      <c r="T9" s="867"/>
      <c r="U9" s="875"/>
      <c r="W9" s="423" t="s">
        <v>721</v>
      </c>
    </row>
    <row r="10" spans="2:23" s="423" customFormat="1" ht="54" customHeight="1">
      <c r="B10" s="461">
        <v>1</v>
      </c>
      <c r="C10" s="453" t="s">
        <v>293</v>
      </c>
      <c r="D10" s="454" t="s">
        <v>8</v>
      </c>
      <c r="E10" s="455">
        <f>+'1. S'!G6</f>
        <v>19295365.621767242</v>
      </c>
      <c r="F10" s="455">
        <f>+'1. S'!G7</f>
        <v>157505.18276572297</v>
      </c>
      <c r="G10" s="456">
        <f>+'1. S'!G8</f>
        <v>198012.61807822299</v>
      </c>
      <c r="H10" s="457">
        <f>+K1</f>
        <v>1.5</v>
      </c>
      <c r="I10" s="455">
        <f>5*12</f>
        <v>60</v>
      </c>
      <c r="J10" s="458">
        <f>IF(EERR!$F$23=2024,H10*$E10,' AjusteK-Scio'!J30)</f>
        <v>28943048.432650864</v>
      </c>
      <c r="K10" s="455">
        <f>IF(EERR!$F$23=2024,$H10*$F10,' AjusteK-Scio'!K30)</f>
        <v>236257.77414858446</v>
      </c>
      <c r="L10" s="455">
        <f>IF(EERR!$F$23=2024,$H10*$G10,' AjusteK-Scio'!L30)</f>
        <v>297018.9271173345</v>
      </c>
      <c r="M10" s="455">
        <f>+E10*I10</f>
        <v>1157721937.3060346</v>
      </c>
      <c r="N10" s="456">
        <f>+I10*J10</f>
        <v>1736582905.9590518</v>
      </c>
      <c r="O10" s="457">
        <f>+H10</f>
        <v>1.5</v>
      </c>
      <c r="P10" s="455">
        <f>5*12</f>
        <v>60</v>
      </c>
      <c r="Q10" s="458">
        <f>+IF(EERR!$F$23=2024,H10*$E10,' AjusteK-Scio'!J30)</f>
        <v>28943048.432650864</v>
      </c>
      <c r="R10" s="455">
        <f>+IF(EERR!$F$23=2024,$H10*$F10,' AjusteK-Scio'!K30)</f>
        <v>236257.77414858446</v>
      </c>
      <c r="S10" s="455">
        <f>+IF(EERR!$F$23=2024,$H10*$G10,' AjusteK-Scio'!L30)</f>
        <v>297018.9271173345</v>
      </c>
      <c r="T10" s="455">
        <f>+M10</f>
        <v>1157721937.3060346</v>
      </c>
      <c r="U10" s="456">
        <f>+P10*Q10*(1-W10)</f>
        <v>1601629890.9135087</v>
      </c>
      <c r="W10" s="540">
        <f>IF(EERR!H2="SI",(Penalidades!G3+Penalidades!G6)*(1-EERR!J2),Penalidades!G3+Penalidades!G6)</f>
        <v>7.7711818181818174E-2</v>
      </c>
    </row>
    <row r="11" spans="2:23" s="423" customFormat="1" ht="54" customHeight="1">
      <c r="B11" s="461">
        <v>2</v>
      </c>
      <c r="C11" s="437" t="s">
        <v>294</v>
      </c>
      <c r="D11" s="438" t="s">
        <v>8</v>
      </c>
      <c r="E11" s="439">
        <f>+'1. S'!G9</f>
        <v>26193290.918103453</v>
      </c>
      <c r="F11" s="439">
        <f>+'1. S'!G10</f>
        <v>228612.88916536051</v>
      </c>
      <c r="G11" s="440">
        <f>+'1. S'!G11</f>
        <v>296125.28135286056</v>
      </c>
      <c r="H11" s="441">
        <f>+K1</f>
        <v>1.5</v>
      </c>
      <c r="I11" s="439">
        <f>+I10</f>
        <v>60</v>
      </c>
      <c r="J11" s="458">
        <f>IF(EERR!$F$23=2024,H11*$E11,' AjusteK-Scio'!J31)</f>
        <v>39289936.377155177</v>
      </c>
      <c r="K11" s="455">
        <f>IF(EERR!$F$23=2024,$H11*$F11,' AjusteK-Scio'!K31)</f>
        <v>342919.33374804078</v>
      </c>
      <c r="L11" s="455">
        <f>IF(EERR!$F$23=2024,$H11*$G11,' AjusteK-Scio'!L31)</f>
        <v>444187.92202929081</v>
      </c>
      <c r="M11" s="439">
        <f t="shared" ref="M11:M17" si="0">+E11*I11</f>
        <v>1571597455.0862072</v>
      </c>
      <c r="N11" s="440">
        <f t="shared" ref="N11:N17" si="1">+I11*J11</f>
        <v>2357396182.6293106</v>
      </c>
      <c r="O11" s="441">
        <f t="shared" ref="O11:O17" si="2">+H11</f>
        <v>1.5</v>
      </c>
      <c r="P11" s="439">
        <f>+P10</f>
        <v>60</v>
      </c>
      <c r="Q11" s="458">
        <f>+IF(EERR!$F$23=2024,H11*$E11,' AjusteK-Scio'!J31)</f>
        <v>39289936.377155177</v>
      </c>
      <c r="R11" s="455">
        <f>+IF(EERR!$F$23=2024,$H11*$F11,' AjusteK-Scio'!K31)</f>
        <v>342919.33374804078</v>
      </c>
      <c r="S11" s="455">
        <f>+IF(EERR!$F$23=2024,$H11*$G11,' AjusteK-Scio'!L31)</f>
        <v>444187.92202929081</v>
      </c>
      <c r="T11" s="439">
        <f t="shared" ref="T11:T17" si="3">+M11</f>
        <v>1571597455.0862072</v>
      </c>
      <c r="U11" s="440">
        <f>+P11*Q11*(1-W11)</f>
        <v>2196664624.7227669</v>
      </c>
      <c r="W11" s="540">
        <f>IF(EERR!H2="SI",(Penalidades!G4*(1-EERR!J2)),Penalidades!G4)</f>
        <v>6.8181818181818177E-2</v>
      </c>
    </row>
    <row r="12" spans="2:23" s="423" customFormat="1" ht="54" customHeight="1">
      <c r="B12" s="461">
        <v>3</v>
      </c>
      <c r="C12" s="434" t="s">
        <v>295</v>
      </c>
      <c r="D12" s="279" t="s">
        <v>8</v>
      </c>
      <c r="E12" s="424">
        <f>+'1. S'!G12</f>
        <v>3507817.8628571425</v>
      </c>
      <c r="F12" s="424">
        <f>+'1. S'!G13</f>
        <v>67424.602913961033</v>
      </c>
      <c r="G12" s="433">
        <f>+'1. S'!G14</f>
        <v>88321.883538961032</v>
      </c>
      <c r="H12" s="432">
        <f>+K1</f>
        <v>1.5</v>
      </c>
      <c r="I12" s="424">
        <f>+I11</f>
        <v>60</v>
      </c>
      <c r="J12" s="458">
        <f>IF(EERR!$F$23=2024,H12*$E12,' AjusteK-Scio'!J32)</f>
        <v>5261726.7942857137</v>
      </c>
      <c r="K12" s="455">
        <f>IF(EERR!$F$23=2024,$H12*$F12,' AjusteK-Scio'!K32)</f>
        <v>101136.90437094154</v>
      </c>
      <c r="L12" s="455">
        <f>IF(EERR!$F$23=2024,$H12*$G12,' AjusteK-Scio'!L32)</f>
        <v>132482.82530844153</v>
      </c>
      <c r="M12" s="424">
        <f t="shared" si="0"/>
        <v>210469071.77142856</v>
      </c>
      <c r="N12" s="433">
        <f t="shared" si="1"/>
        <v>315703607.65714282</v>
      </c>
      <c r="O12" s="432">
        <f t="shared" si="2"/>
        <v>1.5</v>
      </c>
      <c r="P12" s="424">
        <f>+P11</f>
        <v>60</v>
      </c>
      <c r="Q12" s="458">
        <f>+IF(EERR!$F$23=2024,H12*$E12,' AjusteK-Scio'!J32)</f>
        <v>5261726.7942857137</v>
      </c>
      <c r="R12" s="455">
        <f>+IF(EERR!$F$23=2024,$H12*$F12,' AjusteK-Scio'!K32)</f>
        <v>101136.90437094154</v>
      </c>
      <c r="S12" s="455">
        <f>+IF(EERR!$F$23=2024,$H12*$G12,' AjusteK-Scio'!L32)</f>
        <v>132482.82530844153</v>
      </c>
      <c r="T12" s="424">
        <f t="shared" si="3"/>
        <v>210469071.77142856</v>
      </c>
      <c r="U12" s="433">
        <f t="shared" ref="U12:U17" si="4">+P12*Q12</f>
        <v>315703607.65714282</v>
      </c>
    </row>
    <row r="13" spans="2:23" s="423" customFormat="1" ht="54" customHeight="1">
      <c r="B13" s="461">
        <v>4</v>
      </c>
      <c r="C13" s="437" t="s">
        <v>296</v>
      </c>
      <c r="D13" s="438" t="s">
        <v>373</v>
      </c>
      <c r="E13" s="439">
        <f>+'1. S'!G15/20/8</f>
        <v>36627.39366071429</v>
      </c>
      <c r="F13" s="439">
        <f>+'1. S'!G16</f>
        <v>56628.412585227277</v>
      </c>
      <c r="G13" s="440">
        <f>+'1. S'!G17</f>
        <v>70130.891022727272</v>
      </c>
      <c r="H13" s="441">
        <f>+K2</f>
        <v>1.5</v>
      </c>
      <c r="I13" s="439">
        <v>1440</v>
      </c>
      <c r="J13" s="458">
        <f>IF(EERR!$F$23=2024,H13*$E13,' AjusteK-Scio'!J33)</f>
        <v>54941.090491071431</v>
      </c>
      <c r="K13" s="455">
        <f>IF(EERR!$F$23=2024,$H13*$F13,' AjusteK-Scio'!K33)</f>
        <v>84942.618877840912</v>
      </c>
      <c r="L13" s="455">
        <f>IF(EERR!$F$23=2024,$H13*$G13,' AjusteK-Scio'!L33)</f>
        <v>105196.33653409091</v>
      </c>
      <c r="M13" s="439">
        <f t="shared" si="0"/>
        <v>52743446.871428579</v>
      </c>
      <c r="N13" s="440">
        <f t="shared" si="1"/>
        <v>79115170.307142854</v>
      </c>
      <c r="O13" s="441">
        <f>+H13</f>
        <v>1.5</v>
      </c>
      <c r="P13" s="439">
        <f>4*(30.5/7)*12*5</f>
        <v>1045.7142857142856</v>
      </c>
      <c r="Q13" s="458">
        <f>+IF(EERR!$F$23=2024,H13*$E13,' AjusteK-Scio'!J33)</f>
        <v>54941.090491071431</v>
      </c>
      <c r="R13" s="455">
        <f>+IF(EERR!$F$23=2024,$H13*$F13,' AjusteK-Scio'!K33)</f>
        <v>84942.618877840912</v>
      </c>
      <c r="S13" s="455">
        <f>+IF(EERR!$F$23=2024,$H13*$G13,' AjusteK-Scio'!L33)</f>
        <v>105196.33653409091</v>
      </c>
      <c r="T13" s="439">
        <f t="shared" si="3"/>
        <v>52743446.871428579</v>
      </c>
      <c r="U13" s="440">
        <f t="shared" si="4"/>
        <v>57452683.199234687</v>
      </c>
    </row>
    <row r="14" spans="2:23" s="423" customFormat="1" ht="54" customHeight="1">
      <c r="B14" s="462">
        <v>5</v>
      </c>
      <c r="C14" s="434" t="s">
        <v>297</v>
      </c>
      <c r="D14" s="279" t="s">
        <v>8</v>
      </c>
      <c r="E14" s="424">
        <f>+'1. S'!G18</f>
        <v>1242599.4475246307</v>
      </c>
      <c r="F14" s="424">
        <f>+'1. S'!G19</f>
        <v>42872.690484528946</v>
      </c>
      <c r="G14" s="433">
        <f>+'1. S'!G20</f>
        <v>56375.168922028948</v>
      </c>
      <c r="H14" s="432">
        <f>+K1</f>
        <v>1.5</v>
      </c>
      <c r="I14" s="424">
        <v>60</v>
      </c>
      <c r="J14" s="458">
        <f>IF(EERR!$F$23=2024,H14*$E14,' AjusteK-Scio'!J34)</f>
        <v>1863899.1712869462</v>
      </c>
      <c r="K14" s="455">
        <f>IF(EERR!$F$23=2024,$H14*$F14,' AjusteK-Scio'!K34)</f>
        <v>64309.035726793416</v>
      </c>
      <c r="L14" s="455">
        <f>IF(EERR!$F$23=2024,$H14*$G14,' AjusteK-Scio'!L34)</f>
        <v>84562.753383043426</v>
      </c>
      <c r="M14" s="424">
        <f t="shared" si="0"/>
        <v>74555966.851477847</v>
      </c>
      <c r="N14" s="433">
        <f t="shared" si="1"/>
        <v>111833950.27721676</v>
      </c>
      <c r="O14" s="432">
        <f t="shared" si="2"/>
        <v>1.5</v>
      </c>
      <c r="P14" s="424">
        <v>60</v>
      </c>
      <c r="Q14" s="458">
        <f>+IF(EERR!$F$23=2024,H14*$E14,' AjusteK-Scio'!J34)</f>
        <v>1863899.1712869462</v>
      </c>
      <c r="R14" s="455">
        <f>+IF(EERR!$F$23=2024,$H14*$F14,' AjusteK-Scio'!K34)</f>
        <v>64309.035726793416</v>
      </c>
      <c r="S14" s="455">
        <f>+IF(EERR!$F$23=2024,$H14*$G14,' AjusteK-Scio'!L34)</f>
        <v>84562.753383043426</v>
      </c>
      <c r="T14" s="424">
        <f t="shared" si="3"/>
        <v>74555966.851477847</v>
      </c>
      <c r="U14" s="433">
        <f t="shared" si="4"/>
        <v>111833950.27721676</v>
      </c>
    </row>
    <row r="15" spans="2:23" s="423" customFormat="1" ht="54" customHeight="1">
      <c r="B15" s="462">
        <v>6</v>
      </c>
      <c r="C15" s="437" t="s">
        <v>298</v>
      </c>
      <c r="D15" s="438" t="s">
        <v>8</v>
      </c>
      <c r="E15" s="439">
        <f>+'1. S'!G21</f>
        <v>1242599.4475246307</v>
      </c>
      <c r="F15" s="439">
        <f>+'1. S'!G22</f>
        <v>42872.690484528946</v>
      </c>
      <c r="G15" s="440">
        <f>+'1. S'!G23</f>
        <v>56375.168922028948</v>
      </c>
      <c r="H15" s="441">
        <f>+K1</f>
        <v>1.5</v>
      </c>
      <c r="I15" s="439">
        <v>60</v>
      </c>
      <c r="J15" s="458">
        <f>IF(EERR!$F$23=2024,H15*$E15,' AjusteK-Scio'!J35)</f>
        <v>1863899.1712869462</v>
      </c>
      <c r="K15" s="455">
        <f>IF(EERR!$F$23=2024,$H15*$F15,' AjusteK-Scio'!K35)</f>
        <v>64309.035726793416</v>
      </c>
      <c r="L15" s="455">
        <f>IF(EERR!$F$23=2024,$H15*$G15,' AjusteK-Scio'!L35)</f>
        <v>84562.753383043426</v>
      </c>
      <c r="M15" s="439">
        <f t="shared" si="0"/>
        <v>74555966.851477847</v>
      </c>
      <c r="N15" s="440">
        <f t="shared" si="1"/>
        <v>111833950.27721676</v>
      </c>
      <c r="O15" s="441">
        <f t="shared" si="2"/>
        <v>1.5</v>
      </c>
      <c r="P15" s="439">
        <v>60</v>
      </c>
      <c r="Q15" s="458">
        <f>+IF(EERR!$F$23=2024,H15*$E15,' AjusteK-Scio'!J35)</f>
        <v>1863899.1712869462</v>
      </c>
      <c r="R15" s="455">
        <f>+IF(EERR!$F$23=2024,$H15*$F15,' AjusteK-Scio'!K35)</f>
        <v>64309.035726793416</v>
      </c>
      <c r="S15" s="455">
        <f>+IF(EERR!$F$23=2024,$H15*$G15,' AjusteK-Scio'!L35)</f>
        <v>84562.753383043426</v>
      </c>
      <c r="T15" s="439">
        <f t="shared" si="3"/>
        <v>74555966.851477847</v>
      </c>
      <c r="U15" s="440">
        <f t="shared" si="4"/>
        <v>111833950.27721676</v>
      </c>
    </row>
    <row r="16" spans="2:23" s="423" customFormat="1" ht="54" customHeight="1">
      <c r="B16" s="462">
        <v>7</v>
      </c>
      <c r="C16" s="434" t="s">
        <v>299</v>
      </c>
      <c r="D16" s="279" t="s">
        <v>352</v>
      </c>
      <c r="E16" s="424">
        <f>+'1. S'!G24</f>
        <v>796020.27608836221</v>
      </c>
      <c r="F16" s="424">
        <f>+'1. S'!G25</f>
        <v>123796.93697555228</v>
      </c>
      <c r="G16" s="433">
        <f>+'1. S'!G26</f>
        <v>164304.37228805228</v>
      </c>
      <c r="H16" s="432">
        <f>+K2</f>
        <v>1.5</v>
      </c>
      <c r="I16" s="424">
        <v>120</v>
      </c>
      <c r="J16" s="458">
        <f>IF(EERR!$F$23=2024,H16*$E16,' AjusteK-Scio'!J36)</f>
        <v>1194030.4141325434</v>
      </c>
      <c r="K16" s="455">
        <f>IF(EERR!$F$23=2024,$H16*$F16,' AjusteK-Scio'!K36)</f>
        <v>185695.40546332841</v>
      </c>
      <c r="L16" s="455">
        <f>IF(EERR!$F$23=2024,$H16*$G16,' AjusteK-Scio'!L36)</f>
        <v>246456.55843207843</v>
      </c>
      <c r="M16" s="424">
        <f t="shared" si="0"/>
        <v>95522433.130603462</v>
      </c>
      <c r="N16" s="433">
        <f t="shared" si="1"/>
        <v>143283649.69590521</v>
      </c>
      <c r="O16" s="432">
        <f t="shared" si="2"/>
        <v>1.5</v>
      </c>
      <c r="P16" s="424">
        <f>5*12*5</f>
        <v>300</v>
      </c>
      <c r="Q16" s="458">
        <f>+IF(EERR!$F$23=2024,H16*$E16,' AjusteK-Scio'!J36)</f>
        <v>1194030.4141325434</v>
      </c>
      <c r="R16" s="455">
        <f>+IF(EERR!$F$23=2024,$H16*$F16,' AjusteK-Scio'!K36)</f>
        <v>185695.40546332841</v>
      </c>
      <c r="S16" s="455">
        <f>+IF(EERR!$F$23=2024,$H16*$G16,' AjusteK-Scio'!L36)</f>
        <v>246456.55843207843</v>
      </c>
      <c r="T16" s="424">
        <f t="shared" si="3"/>
        <v>95522433.130603462</v>
      </c>
      <c r="U16" s="433">
        <f t="shared" si="4"/>
        <v>358209124.23976302</v>
      </c>
    </row>
    <row r="17" spans="2:21" ht="54" customHeight="1" thickBot="1">
      <c r="B17" s="463">
        <v>8</v>
      </c>
      <c r="C17" s="442" t="s">
        <v>300</v>
      </c>
      <c r="D17" s="443" t="s">
        <v>8</v>
      </c>
      <c r="E17" s="444">
        <f>+'1. S'!G27</f>
        <v>2675583.3333333335</v>
      </c>
      <c r="F17" s="445" t="s">
        <v>31</v>
      </c>
      <c r="G17" s="446" t="s">
        <v>31</v>
      </c>
      <c r="H17" s="447">
        <f>+K1</f>
        <v>1.5</v>
      </c>
      <c r="I17" s="444">
        <v>60</v>
      </c>
      <c r="J17" s="458">
        <f>IF(EERR!$F$23=2024,H17*$E17,' AjusteK-Scio'!J37)</f>
        <v>4013375</v>
      </c>
      <c r="K17" s="455"/>
      <c r="L17" s="455"/>
      <c r="M17" s="444">
        <f t="shared" si="0"/>
        <v>160535000</v>
      </c>
      <c r="N17" s="448">
        <f t="shared" si="1"/>
        <v>240802500</v>
      </c>
      <c r="O17" s="447">
        <f t="shared" si="2"/>
        <v>1.5</v>
      </c>
      <c r="P17" s="444">
        <v>60</v>
      </c>
      <c r="Q17" s="458">
        <f>+IF(EERR!$F$23=2024,H17*$E17,' AjusteK-Scio'!J37)</f>
        <v>4013375</v>
      </c>
      <c r="R17" s="455"/>
      <c r="S17" s="455"/>
      <c r="T17" s="444">
        <f t="shared" si="3"/>
        <v>160535000</v>
      </c>
      <c r="U17" s="448">
        <f t="shared" si="4"/>
        <v>240802500</v>
      </c>
    </row>
    <row r="18" spans="2:21" ht="5.25" customHeight="1">
      <c r="O18" s="280"/>
    </row>
    <row r="19" spans="2:21" ht="15.75">
      <c r="H19" s="879" t="s">
        <v>532</v>
      </c>
      <c r="I19" s="879"/>
      <c r="J19" s="879"/>
      <c r="K19" s="879"/>
      <c r="L19" s="879"/>
      <c r="M19" s="449">
        <f>+SUM(M10:M17)</f>
        <v>3397701277.8686571</v>
      </c>
      <c r="N19" s="450">
        <f>+SUM(N10:N17)</f>
        <v>5096551916.8029881</v>
      </c>
      <c r="O19" s="280"/>
      <c r="T19" s="449">
        <f>+SUM(T10:T17)</f>
        <v>3397701277.8686571</v>
      </c>
      <c r="U19" s="450">
        <f>+SUM(U10:U17)</f>
        <v>4994130331.286849</v>
      </c>
    </row>
    <row r="20" spans="2:21" ht="15.75">
      <c r="H20" s="879"/>
      <c r="I20" s="879"/>
      <c r="J20" s="879"/>
      <c r="K20" s="879"/>
      <c r="L20" s="879"/>
      <c r="M20" s="422" t="s">
        <v>454</v>
      </c>
      <c r="N20" s="451">
        <f>+N19-M19-5.5%*N19</f>
        <v>1418540283.5101666</v>
      </c>
      <c r="O20" s="280">
        <f>+N19/M19</f>
        <v>1.5000000000000007</v>
      </c>
      <c r="T20" s="422" t="s">
        <v>454</v>
      </c>
      <c r="U20" s="451">
        <f>+U19-T19-5.5%*U19</f>
        <v>1321751885.1974154</v>
      </c>
    </row>
    <row r="21" spans="2:21" ht="15.75">
      <c r="H21" s="880">
        <f>+N19/U19-1</f>
        <v>2.0508392597304859E-2</v>
      </c>
      <c r="I21" s="881"/>
      <c r="J21" s="881"/>
      <c r="K21" s="881"/>
      <c r="L21" s="882"/>
      <c r="M21" s="422" t="s">
        <v>454</v>
      </c>
      <c r="N21" s="452">
        <f>+N20/N19</f>
        <v>0.27833333333333365</v>
      </c>
      <c r="O21" s="280"/>
      <c r="T21" s="422" t="s">
        <v>454</v>
      </c>
      <c r="U21" s="452">
        <f>+U20/U19</f>
        <v>0.26466107160179708</v>
      </c>
    </row>
    <row r="22" spans="2:21" ht="3.75" customHeight="1"/>
    <row r="23" spans="2:21" ht="3.75" customHeight="1">
      <c r="N23" s="426"/>
      <c r="O23" s="426"/>
      <c r="P23" s="426"/>
      <c r="Q23" s="426"/>
      <c r="R23" s="426"/>
      <c r="S23" s="426"/>
      <c r="T23" s="426"/>
    </row>
    <row r="24" spans="2:21" ht="3.75" customHeight="1"/>
    <row r="25" spans="2:21" ht="3.75" customHeight="1"/>
    <row r="26" spans="2:21" ht="3.75" customHeight="1">
      <c r="G26" s="423"/>
      <c r="H26" s="425"/>
      <c r="I26" s="423"/>
      <c r="J26" s="423"/>
      <c r="K26" s="423"/>
      <c r="L26" s="423"/>
      <c r="M26" s="423"/>
    </row>
    <row r="27" spans="2:21" ht="15.75">
      <c r="G27" s="876" t="s">
        <v>1150</v>
      </c>
      <c r="H27" s="877"/>
      <c r="I27" s="878"/>
      <c r="J27" s="876" t="s">
        <v>1151</v>
      </c>
      <c r="K27" s="877"/>
      <c r="L27" s="878"/>
      <c r="M27" s="423"/>
    </row>
    <row r="28" spans="2:21" ht="15.75">
      <c r="G28" s="876" t="s">
        <v>370</v>
      </c>
      <c r="H28" s="877"/>
      <c r="I28" s="878"/>
      <c r="J28" s="876" t="s">
        <v>370</v>
      </c>
      <c r="K28" s="877"/>
      <c r="L28" s="878"/>
      <c r="M28" s="423"/>
    </row>
    <row r="29" spans="2:21" ht="87.75" customHeight="1">
      <c r="G29" s="708" t="s">
        <v>376</v>
      </c>
      <c r="H29" s="708" t="s">
        <v>377</v>
      </c>
      <c r="I29" s="708" t="s">
        <v>378</v>
      </c>
      <c r="J29" s="708" t="s">
        <v>376</v>
      </c>
      <c r="K29" s="708" t="s">
        <v>377</v>
      </c>
      <c r="L29" s="708" t="s">
        <v>378</v>
      </c>
      <c r="M29" s="708" t="s">
        <v>1162</v>
      </c>
      <c r="N29" s="708" t="s">
        <v>1153</v>
      </c>
    </row>
    <row r="30" spans="2:21" ht="50.25" customHeight="1">
      <c r="C30" s="703" t="s">
        <v>293</v>
      </c>
      <c r="D30" s="704">
        <f t="array" ref="D30:D37">TRANSPOSE(FA!R10:Y10)</f>
        <v>6.2054154862143269</v>
      </c>
      <c r="G30" s="709">
        <v>5170799.3367412072</v>
      </c>
      <c r="H30" s="709">
        <v>40575.284150216139</v>
      </c>
      <c r="I30" s="709">
        <v>51771.026614402697</v>
      </c>
      <c r="J30" s="709">
        <f t="shared" ref="J30:L37" si="5">+G30*$D30</f>
        <v>32086958.280320656</v>
      </c>
      <c r="K30" s="709">
        <f t="shared" si="5"/>
        <v>251786.49662329795</v>
      </c>
      <c r="L30" s="709">
        <f t="shared" si="5"/>
        <v>321260.73029022856</v>
      </c>
      <c r="M30" s="715">
        <f>+J30/J10-1</f>
        <v>0.10862400534572325</v>
      </c>
      <c r="N30" s="715">
        <f>+J30/G30-1</f>
        <v>5.2054154862143269</v>
      </c>
      <c r="O30" s="455">
        <f>5*12</f>
        <v>60</v>
      </c>
      <c r="P30" s="426"/>
    </row>
    <row r="31" spans="2:21" ht="50.25" customHeight="1">
      <c r="C31" s="705" t="s">
        <v>294</v>
      </c>
      <c r="D31" s="704">
        <v>6.6221870675167427</v>
      </c>
      <c r="G31" s="709">
        <v>8095776.6858757483</v>
      </c>
      <c r="H31" s="709">
        <v>64498.006074332137</v>
      </c>
      <c r="I31" s="709">
        <v>82997.280978915704</v>
      </c>
      <c r="J31" s="709">
        <f t="shared" si="5"/>
        <v>53611747.670709938</v>
      </c>
      <c r="K31" s="709">
        <f t="shared" si="5"/>
        <v>427117.86170605861</v>
      </c>
      <c r="L31" s="709">
        <f t="shared" si="5"/>
        <v>549623.52073762892</v>
      </c>
      <c r="M31" s="715">
        <f t="shared" ref="M31:M37" si="6">+J31/J11-1</f>
        <v>0.36451602150931617</v>
      </c>
      <c r="N31" s="715">
        <f t="shared" ref="N31:N37" si="7">+J31/G31-1</f>
        <v>5.6221870675167427</v>
      </c>
      <c r="O31" s="439">
        <f>+O30</f>
        <v>60</v>
      </c>
    </row>
    <row r="32" spans="2:21" ht="50.25" customHeight="1">
      <c r="C32" s="703" t="s">
        <v>295</v>
      </c>
      <c r="D32" s="704">
        <v>6.4659440570126119</v>
      </c>
      <c r="G32" s="709">
        <v>1287219.0737551446</v>
      </c>
      <c r="H32" s="709">
        <v>22960.013655693871</v>
      </c>
      <c r="I32" s="709">
        <v>30071.95407317056</v>
      </c>
      <c r="J32" s="709">
        <f t="shared" si="5"/>
        <v>8323086.5200203564</v>
      </c>
      <c r="K32" s="709">
        <f t="shared" si="5"/>
        <v>148458.1638459622</v>
      </c>
      <c r="L32" s="709">
        <f t="shared" si="5"/>
        <v>194443.57272217338</v>
      </c>
      <c r="M32" s="715">
        <f t="shared" si="6"/>
        <v>0.58181654909550007</v>
      </c>
      <c r="N32" s="715">
        <f t="shared" si="7"/>
        <v>5.4659440570126119</v>
      </c>
      <c r="O32" s="424">
        <f>+O31</f>
        <v>60</v>
      </c>
    </row>
    <row r="33" spans="3:15" ht="50.25" customHeight="1">
      <c r="C33" s="705" t="s">
        <v>296</v>
      </c>
      <c r="D33" s="704">
        <v>7.6610018719388382</v>
      </c>
      <c r="G33" s="709">
        <v>11900.436584393641</v>
      </c>
      <c r="H33" s="709">
        <v>17779.683681411494</v>
      </c>
      <c r="I33" s="709">
        <v>21358.785814167928</v>
      </c>
      <c r="J33" s="709">
        <f t="shared" si="5"/>
        <v>91169.266949929122</v>
      </c>
      <c r="K33" s="709">
        <f t="shared" si="5"/>
        <v>136210.18996577387</v>
      </c>
      <c r="L33" s="709">
        <f t="shared" si="5"/>
        <v>163629.69810468119</v>
      </c>
      <c r="M33" s="715">
        <f t="shared" si="6"/>
        <v>0.65940038930871236</v>
      </c>
      <c r="N33" s="715">
        <f t="shared" si="7"/>
        <v>6.6610018719388382</v>
      </c>
      <c r="O33" s="439">
        <f>4*(30.5/7)*12*5</f>
        <v>1045.7142857142856</v>
      </c>
    </row>
    <row r="34" spans="3:15" ht="50.25" customHeight="1">
      <c r="C34" s="703" t="s">
        <v>297</v>
      </c>
      <c r="D34" s="704">
        <v>6.2831797639979383</v>
      </c>
      <c r="G34" s="709">
        <v>363185.40281072381</v>
      </c>
      <c r="H34" s="709">
        <v>10700.718914197338</v>
      </c>
      <c r="I34" s="709">
        <v>14022.705640788263</v>
      </c>
      <c r="J34" s="709">
        <f t="shared" si="5"/>
        <v>2281959.1735197799</v>
      </c>
      <c r="K34" s="709">
        <f t="shared" si="5"/>
        <v>67234.540541914699</v>
      </c>
      <c r="L34" s="709">
        <f t="shared" si="5"/>
        <v>88107.180318700557</v>
      </c>
      <c r="M34" s="715">
        <f t="shared" si="6"/>
        <v>0.22429324969557252</v>
      </c>
      <c r="N34" s="715">
        <f t="shared" si="7"/>
        <v>5.2831797639979383</v>
      </c>
      <c r="O34" s="424">
        <v>60</v>
      </c>
    </row>
    <row r="35" spans="3:15" ht="50.25" customHeight="1">
      <c r="C35" s="705" t="s">
        <v>298</v>
      </c>
      <c r="D35" s="704">
        <v>6.2831797639979383</v>
      </c>
      <c r="G35" s="709">
        <v>359419.95873932232</v>
      </c>
      <c r="H35" s="709">
        <v>10540.259649791025</v>
      </c>
      <c r="I35" s="709">
        <v>13808.759954913181</v>
      </c>
      <c r="J35" s="709">
        <f t="shared" si="5"/>
        <v>2258300.211527884</v>
      </c>
      <c r="K35" s="709">
        <f t="shared" si="5"/>
        <v>66226.34613885096</v>
      </c>
      <c r="L35" s="709">
        <f t="shared" si="5"/>
        <v>86762.921114615587</v>
      </c>
      <c r="M35" s="715">
        <f>+J35/J15-1</f>
        <v>0.21159998690734971</v>
      </c>
      <c r="N35" s="715">
        <f t="shared" si="7"/>
        <v>5.2831797639979383</v>
      </c>
      <c r="O35" s="439">
        <v>60</v>
      </c>
    </row>
    <row r="36" spans="3:15" ht="50.25" customHeight="1">
      <c r="C36" s="703" t="s">
        <v>299</v>
      </c>
      <c r="D36" s="704">
        <v>6.011750647854277</v>
      </c>
      <c r="G36" s="709">
        <v>262982.25104921975</v>
      </c>
      <c r="H36" s="709">
        <v>42601.396917206774</v>
      </c>
      <c r="I36" s="709">
        <v>56539.951117757504</v>
      </c>
      <c r="J36" s="709">
        <f t="shared" si="5"/>
        <v>1580983.718119323</v>
      </c>
      <c r="K36" s="709">
        <f t="shared" si="5"/>
        <v>256108.97551651503</v>
      </c>
      <c r="L36" s="709">
        <f t="shared" si="5"/>
        <v>339904.0877618278</v>
      </c>
      <c r="M36" s="715">
        <f t="shared" si="6"/>
        <v>0.32407323917950537</v>
      </c>
      <c r="N36" s="715">
        <f t="shared" si="7"/>
        <v>5.011750647854277</v>
      </c>
      <c r="O36" s="424">
        <f>5*12*5</f>
        <v>300</v>
      </c>
    </row>
    <row r="37" spans="3:15" ht="50.25" customHeight="1" thickBot="1">
      <c r="C37" s="706" t="s">
        <v>300</v>
      </c>
      <c r="D37" s="704">
        <v>6.9533364083640832</v>
      </c>
      <c r="G37" s="709">
        <v>702891.81908976589</v>
      </c>
      <c r="H37" s="710"/>
      <c r="I37" s="710"/>
      <c r="J37" s="709">
        <f t="shared" si="5"/>
        <v>4887443.2768181292</v>
      </c>
      <c r="K37" s="709">
        <f t="shared" si="5"/>
        <v>0</v>
      </c>
      <c r="L37" s="709">
        <f t="shared" si="5"/>
        <v>0</v>
      </c>
      <c r="M37" s="715">
        <f t="shared" si="6"/>
        <v>0.21778883777821134</v>
      </c>
      <c r="N37" s="715">
        <f t="shared" si="7"/>
        <v>5.9533364083640823</v>
      </c>
      <c r="O37" s="444">
        <v>60</v>
      </c>
    </row>
    <row r="39" spans="3:15">
      <c r="O39" s="760">
        <f>+SUMPRODUCT(G30:G37,O30:O37)</f>
        <v>1050096668.478018</v>
      </c>
    </row>
    <row r="40" spans="3:15">
      <c r="O40" s="760">
        <f>+O39/131.27</f>
        <v>7999517.5476347832</v>
      </c>
    </row>
    <row r="41" spans="3:15">
      <c r="O41" s="760">
        <f>+O40/60</f>
        <v>133325.29246057972</v>
      </c>
    </row>
  </sheetData>
  <mergeCells count="22">
    <mergeCell ref="G28:I28"/>
    <mergeCell ref="G27:I27"/>
    <mergeCell ref="J28:L28"/>
    <mergeCell ref="J27:L27"/>
    <mergeCell ref="H19:L20"/>
    <mergeCell ref="H21:L21"/>
    <mergeCell ref="H4:N4"/>
    <mergeCell ref="O4:U4"/>
    <mergeCell ref="O8:O9"/>
    <mergeCell ref="P8:P9"/>
    <mergeCell ref="Q8:S8"/>
    <mergeCell ref="T8:T9"/>
    <mergeCell ref="U8:U9"/>
    <mergeCell ref="N8:N9"/>
    <mergeCell ref="M8:M9"/>
    <mergeCell ref="D8:D9"/>
    <mergeCell ref="C8:C9"/>
    <mergeCell ref="B8:B9"/>
    <mergeCell ref="E8:G8"/>
    <mergeCell ref="J8:L8"/>
    <mergeCell ref="H8:H9"/>
    <mergeCell ref="I8:I9"/>
  </mergeCells>
  <pageMargins left="0.75" right="0.75" top="1" bottom="1" header="0" footer="0"/>
  <pageSetup paperSize="9" scale="7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pageSetUpPr fitToPage="1"/>
  </sheetPr>
  <dimension ref="A1:AH37"/>
  <sheetViews>
    <sheetView showGridLines="0" zoomScale="90" zoomScaleNormal="90" workbookViewId="0">
      <selection activeCell="L11" sqref="L11"/>
    </sheetView>
  </sheetViews>
  <sheetFormatPr baseColWidth="10" defaultColWidth="11.42578125" defaultRowHeight="15" customHeight="1"/>
  <cols>
    <col min="1" max="1" width="7.85546875" style="382" customWidth="1"/>
    <col min="2" max="2" width="62.7109375" style="382" customWidth="1"/>
    <col min="3" max="3" width="8.42578125" style="384" customWidth="1"/>
    <col min="4" max="4" width="10.7109375" style="382" customWidth="1"/>
    <col min="5" max="5" width="10.7109375" style="385" customWidth="1"/>
    <col min="6" max="6" width="10.7109375" style="382" customWidth="1"/>
    <col min="7" max="7" width="17.85546875" style="385" customWidth="1"/>
    <col min="8" max="8" width="8.85546875" style="382" customWidth="1"/>
    <col min="9" max="9" width="9" style="386" customWidth="1"/>
    <col min="10" max="10" width="16.85546875" style="386" hidden="1" customWidth="1"/>
    <col min="11" max="11" width="19.7109375" customWidth="1"/>
    <col min="12" max="17" width="11.5703125" customWidth="1"/>
    <col min="18" max="18" width="13.7109375" style="465" customWidth="1"/>
    <col min="19" max="19" width="13.28515625" style="382" customWidth="1"/>
    <col min="20" max="20" width="15.7109375" style="382" customWidth="1"/>
    <col min="21" max="21" width="11.42578125" style="382"/>
    <col min="22" max="22" width="5.28515625" style="382" customWidth="1"/>
    <col min="23" max="23" width="21.140625" style="382" customWidth="1"/>
    <col min="24" max="24" width="10.28515625" style="382" customWidth="1"/>
    <col min="25" max="25" width="2.42578125" style="382" customWidth="1"/>
    <col min="26" max="26" width="15.7109375" style="386" customWidth="1"/>
    <col min="27" max="27" width="11" style="386" customWidth="1"/>
    <col min="28" max="29" width="17.7109375" style="386" customWidth="1"/>
    <col min="30" max="30" width="19.140625" style="386" customWidth="1"/>
    <col min="31" max="31" width="13.7109375" style="386" customWidth="1"/>
    <col min="32" max="34" width="11.42578125" style="386"/>
    <col min="35" max="16384" width="11.42578125" style="382"/>
  </cols>
  <sheetData>
    <row r="1" spans="1:33" ht="46.5" customHeight="1" thickBot="1">
      <c r="A1" s="554" t="s">
        <v>4</v>
      </c>
      <c r="B1" s="554" t="s">
        <v>430</v>
      </c>
      <c r="C1" s="555" t="s">
        <v>431</v>
      </c>
      <c r="D1" s="556" t="s">
        <v>432</v>
      </c>
      <c r="E1" s="557" t="s">
        <v>1023</v>
      </c>
      <c r="F1" s="558" t="s">
        <v>433</v>
      </c>
      <c r="G1" s="559" t="s">
        <v>533</v>
      </c>
      <c r="H1" s="560" t="s">
        <v>434</v>
      </c>
      <c r="I1" s="560" t="s">
        <v>435</v>
      </c>
      <c r="J1" s="560"/>
      <c r="K1" s="561" t="s">
        <v>436</v>
      </c>
      <c r="L1" s="561" t="s">
        <v>1139</v>
      </c>
      <c r="M1" s="561" t="s">
        <v>1140</v>
      </c>
      <c r="N1" s="694" t="s">
        <v>1145</v>
      </c>
      <c r="O1" s="694" t="s">
        <v>1146</v>
      </c>
      <c r="P1" s="694"/>
      <c r="Q1" s="694"/>
      <c r="R1" s="466"/>
      <c r="S1" s="883" t="s">
        <v>529</v>
      </c>
      <c r="T1" s="884"/>
      <c r="U1" s="479">
        <f>+EERR!C22</f>
        <v>1.56</v>
      </c>
      <c r="W1" s="486" t="s">
        <v>437</v>
      </c>
      <c r="X1" s="383">
        <f>(1200+71+600)/22/867</f>
        <v>9.8091643074342039E-2</v>
      </c>
      <c r="Z1" s="517" t="s">
        <v>742</v>
      </c>
      <c r="AA1" s="517" t="s">
        <v>746</v>
      </c>
      <c r="AB1" s="517" t="s">
        <v>743</v>
      </c>
      <c r="AC1" s="517" t="s">
        <v>747</v>
      </c>
      <c r="AD1" s="517" t="s">
        <v>748</v>
      </c>
      <c r="AE1" s="517" t="s">
        <v>749</v>
      </c>
      <c r="AF1" s="517" t="s">
        <v>744</v>
      </c>
      <c r="AG1" s="517" t="s">
        <v>744</v>
      </c>
    </row>
    <row r="2" spans="1:33" ht="24.75" customHeight="1" thickBot="1">
      <c r="A2" s="562">
        <v>2</v>
      </c>
      <c r="B2" s="745" t="s">
        <v>407</v>
      </c>
      <c r="C2" s="744">
        <v>0.21974714027694159</v>
      </c>
      <c r="D2" s="564" t="s">
        <v>438</v>
      </c>
      <c r="E2" s="565">
        <f>VLOOKUP(D2,'CR(borrar)'!A:B,2,0)+$X$1</f>
        <v>2.2507781815358805</v>
      </c>
      <c r="F2" s="564" t="s">
        <v>439</v>
      </c>
      <c r="G2" s="565" t="e">
        <f>+AVERAGEIFS(#REF!,#REF!,"202301",#REF!,'AjusteK-PQ'!F2)</f>
        <v>#REF!</v>
      </c>
      <c r="H2" s="565" t="e">
        <f>+AVERAGEIFS(#REF!,#REF!,"202301",#REF!,'AjusteK-PQ'!G2)</f>
        <v>#REF!</v>
      </c>
      <c r="I2" s="565" t="e">
        <f>+AVERAGEIFS(#REF!,#REF!,"202301",#REF!,'AjusteK-PQ'!H2)</f>
        <v>#REF!</v>
      </c>
      <c r="J2" s="565">
        <f>+VLOOKUP(A2,'Consumos (Q)'!B:D,3,0)</f>
        <v>730000</v>
      </c>
      <c r="K2" s="564">
        <v>730000</v>
      </c>
      <c r="L2" s="565">
        <f>IF(EERR!$F$22=2024,(E2+$X$1)*$U$1,'AjusteK-PQ'!M2)</f>
        <v>3.664236926391947</v>
      </c>
      <c r="M2" s="565">
        <f>+VLOOKUP(A2,'Planilla A (2022)'!B:E,4,0)</f>
        <v>3.26</v>
      </c>
      <c r="N2" s="565">
        <f>+M2/(E2+$X$1)</f>
        <v>1.387901520060173</v>
      </c>
      <c r="O2" s="695">
        <f>+L2/M2-1</f>
        <v>0.12399905717544391</v>
      </c>
      <c r="P2" s="743"/>
      <c r="Q2" s="743"/>
      <c r="R2" s="464"/>
      <c r="S2" s="476" t="s">
        <v>441</v>
      </c>
      <c r="T2" s="476" t="s">
        <v>442</v>
      </c>
      <c r="U2" s="477" t="s">
        <v>443</v>
      </c>
      <c r="W2" s="487"/>
      <c r="Z2" s="386">
        <f>10%*K2/60</f>
        <v>1216.6666666666667</v>
      </c>
      <c r="AA2" s="386">
        <f>15%*K2/60</f>
        <v>1825</v>
      </c>
      <c r="AB2" s="386">
        <f>20%*Z2*L2</f>
        <v>891.63098542204057</v>
      </c>
      <c r="AC2" s="386">
        <f>+AA2*L2</f>
        <v>6687.2323906653037</v>
      </c>
      <c r="AD2" s="518">
        <f>7.5%*127/127</f>
        <v>7.4999999999999997E-2</v>
      </c>
      <c r="AE2" s="518">
        <f>+AD2</f>
        <v>7.4999999999999997E-2</v>
      </c>
      <c r="AF2" s="386">
        <f>+AD2*AB2</f>
        <v>66.872323906653037</v>
      </c>
      <c r="AG2" s="386">
        <f>+AE2*AC2</f>
        <v>501.54242929989778</v>
      </c>
    </row>
    <row r="3" spans="1:33" ht="24.75" customHeight="1" thickBot="1">
      <c r="A3" s="562">
        <v>23</v>
      </c>
      <c r="B3" s="745" t="s">
        <v>428</v>
      </c>
      <c r="C3" s="744">
        <v>0.19265502709211318</v>
      </c>
      <c r="D3" s="564" t="s">
        <v>445</v>
      </c>
      <c r="E3" s="565">
        <f>VLOOKUP(D3,'CR(borrar)'!A:B,2,0)+$X$1</f>
        <v>2.9597404128108509</v>
      </c>
      <c r="F3" s="564" t="s">
        <v>445</v>
      </c>
      <c r="G3" s="565" t="s">
        <v>716</v>
      </c>
      <c r="H3" s="564"/>
      <c r="I3" s="564" t="s">
        <v>446</v>
      </c>
      <c r="J3" s="565">
        <f>+VLOOKUP(A3,'Consumos (Q)'!B:D,3,0)</f>
        <v>640000</v>
      </c>
      <c r="K3" s="564">
        <v>640000</v>
      </c>
      <c r="L3" s="565">
        <f>IF(EERR!$F$22=2024,(E3+$X$1)*$U$1,'AjusteK-PQ'!M3)</f>
        <v>4.7702180071809011</v>
      </c>
      <c r="M3" s="565">
        <f>+VLOOKUP(A3,'Planilla A (2022)'!B:E,4,0)</f>
        <v>4.55</v>
      </c>
      <c r="N3" s="565">
        <f t="shared" ref="N3:N24" si="0">+M3/(E3+$X$1)</f>
        <v>1.4879823080024741</v>
      </c>
      <c r="O3" s="695">
        <f t="shared" ref="O3:O24" si="1">+L3/M3-1</f>
        <v>4.8399562017780395E-2</v>
      </c>
      <c r="P3" s="743"/>
      <c r="Q3" s="743"/>
      <c r="R3" s="464"/>
      <c r="S3" s="471" t="s">
        <v>447</v>
      </c>
      <c r="T3" s="472">
        <f>+SUM(K2:K24)</f>
        <v>3322000</v>
      </c>
      <c r="U3" s="473">
        <f>+T3/60</f>
        <v>55366.666666666664</v>
      </c>
      <c r="W3" s="487"/>
      <c r="Z3" s="386">
        <f>10%*K3/60</f>
        <v>1066.6666666666667</v>
      </c>
      <c r="AA3" s="386">
        <f t="shared" ref="AA3:AA24" si="2">15%*K3/60</f>
        <v>1600</v>
      </c>
      <c r="AB3" s="386">
        <f>20%*Z3*L3</f>
        <v>1017.6465081985924</v>
      </c>
      <c r="AC3" s="386">
        <f t="shared" ref="AC3:AC24" si="3">+AA3*L3</f>
        <v>7632.3488114894417</v>
      </c>
      <c r="AD3" s="518">
        <f>+AD2</f>
        <v>7.4999999999999997E-2</v>
      </c>
      <c r="AE3" s="518">
        <f t="shared" ref="AE3:AE24" si="4">+AD3</f>
        <v>7.4999999999999997E-2</v>
      </c>
      <c r="AF3" s="386">
        <f t="shared" ref="AF3:AF24" si="5">+AD3*AB3</f>
        <v>76.323488114894431</v>
      </c>
      <c r="AG3" s="386">
        <f t="shared" ref="AG3:AG24" si="6">+AE3*AC3</f>
        <v>572.42616086170813</v>
      </c>
    </row>
    <row r="4" spans="1:33" ht="24.75" customHeight="1">
      <c r="A4" s="562">
        <v>21</v>
      </c>
      <c r="B4" s="745" t="s">
        <v>426</v>
      </c>
      <c r="C4" s="744">
        <v>0.1625526791089705</v>
      </c>
      <c r="D4" s="564" t="s">
        <v>880</v>
      </c>
      <c r="E4" s="565">
        <f>VLOOKUP(D4,'CR(borrar)'!A:B,2,0)+$X$1</f>
        <v>2.1747186043786333</v>
      </c>
      <c r="F4" s="564" t="s">
        <v>449</v>
      </c>
      <c r="G4" s="565" t="e">
        <f>+AVERAGEIFS(#REF!,#REF!,"202301",#REF!,'AjusteK-PQ'!F4)</f>
        <v>#REF!</v>
      </c>
      <c r="H4" s="566"/>
      <c r="I4" s="564" t="s">
        <v>450</v>
      </c>
      <c r="J4" s="565">
        <f>+VLOOKUP(A4,'Consumos (Q)'!B:D,3,0)</f>
        <v>540000</v>
      </c>
      <c r="K4" s="564">
        <v>540000</v>
      </c>
      <c r="L4" s="565">
        <f>IF(EERR!$F$22=2024,(E4+$X$1)*$U$1,'AjusteK-PQ'!M4)</f>
        <v>3.5455839860266414</v>
      </c>
      <c r="M4" s="565">
        <f>+VLOOKUP(A4,'Planilla A (2022)'!B:E,4,0)</f>
        <v>3.62</v>
      </c>
      <c r="N4" s="565">
        <f t="shared" si="0"/>
        <v>1.5927418507799993</v>
      </c>
      <c r="O4" s="695">
        <f t="shared" si="1"/>
        <v>-2.0556909937391898E-2</v>
      </c>
      <c r="P4" s="743"/>
      <c r="Q4" s="743"/>
      <c r="R4" s="464"/>
      <c r="S4" s="480" t="s">
        <v>368</v>
      </c>
      <c r="T4" s="481">
        <f>+SUMPRODUCT(K2:K24,E2:E24)+X1*SUM(K2:K24)</f>
        <v>8015174.6497310242</v>
      </c>
      <c r="U4" s="482">
        <f>+T4/60</f>
        <v>133586.24416218375</v>
      </c>
      <c r="W4" s="487"/>
      <c r="Z4" s="386">
        <f t="shared" ref="Z4:Z24" si="7">10%*K4/60</f>
        <v>900</v>
      </c>
      <c r="AA4" s="386">
        <f t="shared" si="2"/>
        <v>1350</v>
      </c>
      <c r="AB4" s="386">
        <f t="shared" ref="AB4:AB24" si="8">20%*Z4*L4</f>
        <v>638.20511748479544</v>
      </c>
      <c r="AC4" s="386">
        <f t="shared" si="3"/>
        <v>4786.5383811359661</v>
      </c>
      <c r="AD4" s="518">
        <f t="shared" ref="AD4:AD24" si="9">+AD3</f>
        <v>7.4999999999999997E-2</v>
      </c>
      <c r="AE4" s="518">
        <f t="shared" si="4"/>
        <v>7.4999999999999997E-2</v>
      </c>
      <c r="AF4" s="386">
        <f t="shared" si="5"/>
        <v>47.865383811359656</v>
      </c>
      <c r="AG4" s="386">
        <f t="shared" si="6"/>
        <v>358.99037858519745</v>
      </c>
    </row>
    <row r="5" spans="1:33" ht="24.75" customHeight="1" thickBot="1">
      <c r="A5" s="562">
        <v>6</v>
      </c>
      <c r="B5" s="745" t="s">
        <v>411</v>
      </c>
      <c r="C5" s="744">
        <v>7.9470198675496692E-2</v>
      </c>
      <c r="D5" s="564" t="s">
        <v>919</v>
      </c>
      <c r="E5" s="565">
        <f>VLOOKUP(D5,'CR(borrar)'!A:B,2,0)+$X$1</f>
        <v>3.0570651090505621</v>
      </c>
      <c r="F5" s="564" t="s">
        <v>451</v>
      </c>
      <c r="G5" s="565" t="e">
        <f>+AVERAGEIFS(#REF!,#REF!,"202301",#REF!,'AjusteK-PQ'!F5)</f>
        <v>#REF!</v>
      </c>
      <c r="H5" s="564"/>
      <c r="I5" s="564"/>
      <c r="J5" s="565">
        <f>+VLOOKUP(A5,'Consumos (Q)'!B:D,3,0)</f>
        <v>264000</v>
      </c>
      <c r="K5" s="564">
        <v>264000</v>
      </c>
      <c r="L5" s="565">
        <f>IF(EERR!$F$22=2024,(E5+$X$1)*$U$1,'AjusteK-PQ'!M5)</f>
        <v>4.9220445333148506</v>
      </c>
      <c r="M5" s="565">
        <f>+VLOOKUP(A5,'Planilla A (2022)'!B:E,4,0)</f>
        <v>4.34</v>
      </c>
      <c r="N5" s="565">
        <f t="shared" si="0"/>
        <v>1.3755259535289774</v>
      </c>
      <c r="O5" s="695">
        <f t="shared" si="1"/>
        <v>0.13411164362093331</v>
      </c>
      <c r="P5" s="743"/>
      <c r="Q5" s="743"/>
      <c r="R5" s="464"/>
      <c r="S5" s="468" t="s">
        <v>371</v>
      </c>
      <c r="T5" s="474">
        <f>++SUMPRODUCT(K2:K24,L2:L24)</f>
        <v>12492654.800230287</v>
      </c>
      <c r="U5" s="475">
        <f>+T5/60</f>
        <v>208210.91333717146</v>
      </c>
      <c r="V5" s="478">
        <f>+U5/U4</f>
        <v>1.5586254007140716</v>
      </c>
      <c r="W5" s="487"/>
      <c r="Z5" s="386">
        <f t="shared" si="7"/>
        <v>440</v>
      </c>
      <c r="AA5" s="386">
        <f t="shared" si="2"/>
        <v>660</v>
      </c>
      <c r="AB5" s="386">
        <f t="shared" si="8"/>
        <v>433.13991893170686</v>
      </c>
      <c r="AC5" s="386">
        <f t="shared" si="3"/>
        <v>3248.5493919878013</v>
      </c>
      <c r="AD5" s="518">
        <f t="shared" si="9"/>
        <v>7.4999999999999997E-2</v>
      </c>
      <c r="AE5" s="518">
        <f t="shared" si="4"/>
        <v>7.4999999999999997E-2</v>
      </c>
      <c r="AF5" s="386">
        <f t="shared" si="5"/>
        <v>32.48549391987801</v>
      </c>
      <c r="AG5" s="386">
        <f t="shared" si="6"/>
        <v>243.6412043990851</v>
      </c>
    </row>
    <row r="6" spans="1:33" ht="24.75" customHeight="1">
      <c r="A6" s="562">
        <v>12</v>
      </c>
      <c r="B6" s="745" t="s">
        <v>452</v>
      </c>
      <c r="C6" s="744">
        <v>6.3214930764599636E-2</v>
      </c>
      <c r="D6" s="564" t="s">
        <v>453</v>
      </c>
      <c r="E6" s="565">
        <f>VLOOKUP(D6,'CR(borrar)'!A:B,2,0)+$X$1</f>
        <v>1.1151539472362408</v>
      </c>
      <c r="F6" s="564"/>
      <c r="G6" s="565" t="s">
        <v>716</v>
      </c>
      <c r="H6" s="566"/>
      <c r="I6" s="564"/>
      <c r="J6" s="565">
        <f>+VLOOKUP(A6,'Consumos (Q)'!B:D,3,0)</f>
        <v>210000</v>
      </c>
      <c r="K6" s="564">
        <v>210000</v>
      </c>
      <c r="L6" s="565">
        <f>IF(EERR!$F$22=2024,(E6+$X$1)*$U$1,'AjusteK-PQ'!M6)</f>
        <v>1.8926631208845093</v>
      </c>
      <c r="M6" s="565">
        <f>+VLOOKUP(A6,'Planilla A (2022)'!B:E,4,0)</f>
        <v>1.69</v>
      </c>
      <c r="N6" s="565">
        <f t="shared" si="0"/>
        <v>1.3929578755504657</v>
      </c>
      <c r="O6" s="695">
        <f t="shared" si="1"/>
        <v>0.11991900644053799</v>
      </c>
      <c r="P6" s="743"/>
      <c r="Q6" s="743"/>
      <c r="R6" s="464"/>
      <c r="S6" s="467" t="s">
        <v>454</v>
      </c>
      <c r="T6" s="470">
        <f>+T5-T4</f>
        <v>4477480.1504992628</v>
      </c>
      <c r="U6" s="469">
        <f>+T6/60</f>
        <v>74624.669174987721</v>
      </c>
      <c r="W6" s="487"/>
      <c r="Z6" s="386">
        <f t="shared" si="7"/>
        <v>350</v>
      </c>
      <c r="AA6" s="386">
        <f t="shared" si="2"/>
        <v>525</v>
      </c>
      <c r="AB6" s="386">
        <f t="shared" si="8"/>
        <v>132.48641846191566</v>
      </c>
      <c r="AC6" s="386">
        <f t="shared" si="3"/>
        <v>993.64813846436732</v>
      </c>
      <c r="AD6" s="518">
        <f t="shared" si="9"/>
        <v>7.4999999999999997E-2</v>
      </c>
      <c r="AE6" s="518">
        <f t="shared" si="4"/>
        <v>7.4999999999999997E-2</v>
      </c>
      <c r="AF6" s="386">
        <f t="shared" si="5"/>
        <v>9.9364813846436739</v>
      </c>
      <c r="AG6" s="386">
        <f t="shared" si="6"/>
        <v>74.523610384827549</v>
      </c>
    </row>
    <row r="7" spans="1:33" ht="24.75" customHeight="1" thickBot="1">
      <c r="A7" s="562">
        <v>17</v>
      </c>
      <c r="B7" s="745" t="s">
        <v>455</v>
      </c>
      <c r="C7" s="744">
        <v>5.4184226369656835E-2</v>
      </c>
      <c r="D7" s="564" t="s">
        <v>776</v>
      </c>
      <c r="E7" s="565">
        <f>VLOOKUP(D7,'CR(borrar)'!A:B,2,0)+$X$1</f>
        <v>1.887633461387809</v>
      </c>
      <c r="F7" s="564" t="s">
        <v>456</v>
      </c>
      <c r="G7" s="565">
        <v>2.4300000000000002</v>
      </c>
      <c r="H7" s="564"/>
      <c r="I7" s="564" t="s">
        <v>527</v>
      </c>
      <c r="J7" s="565">
        <f>+VLOOKUP(A7,'Consumos (Q)'!B:D,3,0)</f>
        <v>180000</v>
      </c>
      <c r="K7" s="564">
        <v>180000</v>
      </c>
      <c r="L7" s="565">
        <f>IF(EERR!$F$22=2024,(E7+$X$1)*$U$1,'AjusteK-PQ'!M7)</f>
        <v>3.0977311629609554</v>
      </c>
      <c r="M7" s="565">
        <f>+VLOOKUP(A7,'Planilla A (2022)'!B:E,4,0)</f>
        <v>3.08</v>
      </c>
      <c r="N7" s="565">
        <f t="shared" si="0"/>
        <v>1.5510706860072869</v>
      </c>
      <c r="O7" s="695">
        <f t="shared" si="1"/>
        <v>5.7568710912192511E-3</v>
      </c>
      <c r="P7" s="743"/>
      <c r="Q7" s="743"/>
      <c r="R7" s="464"/>
      <c r="S7" s="483" t="s">
        <v>454</v>
      </c>
      <c r="T7" s="484">
        <f>+T6/T5</f>
        <v>0.35840901890739235</v>
      </c>
      <c r="U7" s="485">
        <f>+U6/U5</f>
        <v>0.35840901890739241</v>
      </c>
      <c r="W7" s="487"/>
      <c r="Z7" s="386">
        <f t="shared" si="7"/>
        <v>300</v>
      </c>
      <c r="AA7" s="386">
        <f t="shared" si="2"/>
        <v>450</v>
      </c>
      <c r="AB7" s="386">
        <f t="shared" si="8"/>
        <v>185.86386977765733</v>
      </c>
      <c r="AC7" s="386">
        <f t="shared" si="3"/>
        <v>1393.97902333243</v>
      </c>
      <c r="AD7" s="518">
        <f t="shared" si="9"/>
        <v>7.4999999999999997E-2</v>
      </c>
      <c r="AE7" s="518">
        <f t="shared" si="4"/>
        <v>7.4999999999999997E-2</v>
      </c>
      <c r="AF7" s="386">
        <f t="shared" si="5"/>
        <v>13.939790233324299</v>
      </c>
      <c r="AG7" s="386">
        <f t="shared" si="6"/>
        <v>104.54842674993225</v>
      </c>
    </row>
    <row r="8" spans="1:33" ht="24.75" customHeight="1">
      <c r="A8" s="562">
        <v>7</v>
      </c>
      <c r="B8" s="745" t="s">
        <v>412</v>
      </c>
      <c r="C8" s="744">
        <v>4.8765803732691147E-2</v>
      </c>
      <c r="D8" s="564" t="s">
        <v>775</v>
      </c>
      <c r="E8" s="565">
        <f>VLOOKUP(D8,'CR(borrar)'!A:B,2,0)+$X$1</f>
        <v>2.4497793174674229</v>
      </c>
      <c r="F8" s="564" t="s">
        <v>775</v>
      </c>
      <c r="G8" s="565">
        <v>2.23</v>
      </c>
      <c r="H8" s="566"/>
      <c r="I8" s="564"/>
      <c r="J8" s="565">
        <f>+VLOOKUP(A8,'Consumos (Q)'!B:D,3,0)</f>
        <v>162000</v>
      </c>
      <c r="K8" s="564">
        <v>162000</v>
      </c>
      <c r="L8" s="565">
        <f>IF(EERR!$F$22=2024,(E8+$X$1)*$U$1,'AjusteK-PQ'!M8)</f>
        <v>3.9746786984451532</v>
      </c>
      <c r="M8" s="565">
        <f>+VLOOKUP(A8,'Planilla A (2022)'!B:E,4,0)</f>
        <v>5.46</v>
      </c>
      <c r="N8" s="565">
        <f t="shared" si="0"/>
        <v>2.1429656699878619</v>
      </c>
      <c r="O8" s="695">
        <f t="shared" si="1"/>
        <v>-0.27203686841663866</v>
      </c>
      <c r="P8" s="743"/>
      <c r="Q8" s="743"/>
      <c r="R8" s="464"/>
      <c r="W8" s="487"/>
      <c r="Z8" s="386">
        <f t="shared" si="7"/>
        <v>270</v>
      </c>
      <c r="AA8" s="386">
        <f t="shared" si="2"/>
        <v>405</v>
      </c>
      <c r="AB8" s="386">
        <f t="shared" si="8"/>
        <v>214.63264971603826</v>
      </c>
      <c r="AC8" s="386">
        <f t="shared" si="3"/>
        <v>1609.7448728702871</v>
      </c>
      <c r="AD8" s="518">
        <f t="shared" si="9"/>
        <v>7.4999999999999997E-2</v>
      </c>
      <c r="AE8" s="518">
        <f t="shared" si="4"/>
        <v>7.4999999999999997E-2</v>
      </c>
      <c r="AF8" s="386">
        <f t="shared" si="5"/>
        <v>16.097448728702869</v>
      </c>
      <c r="AG8" s="386">
        <f t="shared" si="6"/>
        <v>120.73086546527152</v>
      </c>
    </row>
    <row r="9" spans="1:33" ht="24.75" customHeight="1">
      <c r="A9" s="562">
        <v>14</v>
      </c>
      <c r="B9" s="562" t="s">
        <v>419</v>
      </c>
      <c r="C9" s="563">
        <v>3.9735099337748346E-2</v>
      </c>
      <c r="D9" s="564" t="s">
        <v>459</v>
      </c>
      <c r="E9" s="565">
        <f>VLOOKUP(D9,'CR(borrar)'!A:B,2,0)+$X$1</f>
        <v>1.7698103804710121</v>
      </c>
      <c r="F9" s="564" t="s">
        <v>460</v>
      </c>
      <c r="G9" s="565" t="e">
        <f>+AVERAGEIFS(#REF!,#REF!,"202301",#REF!,'AjusteK-PQ'!F9)</f>
        <v>#REF!</v>
      </c>
      <c r="H9" s="564"/>
      <c r="I9" s="564"/>
      <c r="J9" s="565">
        <f>+VLOOKUP(A9,'Consumos (Q)'!B:D,3,0)</f>
        <v>132000</v>
      </c>
      <c r="K9" s="564">
        <v>132000</v>
      </c>
      <c r="L9" s="565">
        <f>IF(EERR!$F$22=2024,(E9+$X$1)*$U$1,'AjusteK-PQ'!M9)</f>
        <v>2.9139271567307525</v>
      </c>
      <c r="M9" s="565">
        <f>+VLOOKUP(A9,'Planilla A (2022)'!B:E,4,0)</f>
        <v>2.85</v>
      </c>
      <c r="N9" s="565">
        <f t="shared" si="0"/>
        <v>1.5257759583078045</v>
      </c>
      <c r="O9" s="695">
        <f t="shared" si="1"/>
        <v>2.2430581309035968E-2</v>
      </c>
      <c r="P9" s="743"/>
      <c r="Q9" s="743"/>
      <c r="R9" s="464"/>
      <c r="S9" s="885" t="s">
        <v>530</v>
      </c>
      <c r="T9" s="885"/>
      <c r="U9" s="567">
        <f>+U1</f>
        <v>1.56</v>
      </c>
      <c r="V9" s="551"/>
      <c r="W9" s="524" t="s">
        <v>754</v>
      </c>
      <c r="X9" s="523">
        <f>IF(EERR!H2="SI",(Penalidades!G5+Penalidades!G7+Penalidades!G8)*(1-EERR!J2),Penalidades!G5+Penalidades!G7+Penalidades!G8)</f>
        <v>9.7750000000000017E-2</v>
      </c>
      <c r="Z9" s="386">
        <f t="shared" si="7"/>
        <v>220</v>
      </c>
      <c r="AA9" s="386">
        <f t="shared" si="2"/>
        <v>330</v>
      </c>
      <c r="AB9" s="386">
        <f t="shared" si="8"/>
        <v>128.2127948961531</v>
      </c>
      <c r="AC9" s="386">
        <f t="shared" si="3"/>
        <v>961.59596172114834</v>
      </c>
      <c r="AD9" s="518">
        <f t="shared" si="9"/>
        <v>7.4999999999999997E-2</v>
      </c>
      <c r="AE9" s="518">
        <f t="shared" si="4"/>
        <v>7.4999999999999997E-2</v>
      </c>
      <c r="AF9" s="386">
        <f t="shared" si="5"/>
        <v>9.6159596172114821</v>
      </c>
      <c r="AG9" s="386">
        <f t="shared" si="6"/>
        <v>72.11969712908612</v>
      </c>
    </row>
    <row r="10" spans="1:33" ht="24.75" customHeight="1">
      <c r="A10" s="562">
        <v>3</v>
      </c>
      <c r="B10" s="562" t="s">
        <v>408</v>
      </c>
      <c r="C10" s="563">
        <v>3.7928958458759786E-2</v>
      </c>
      <c r="D10" s="564" t="s">
        <v>461</v>
      </c>
      <c r="E10" s="565">
        <f>VLOOKUP(D10,'CR(borrar)'!A:B,2,0)+$X$1</f>
        <v>2.2496943820020809</v>
      </c>
      <c r="F10" s="564" t="s">
        <v>462</v>
      </c>
      <c r="G10" s="565" t="e">
        <f>+AVERAGEIFS(#REF!,#REF!,"202301",#REF!,'AjusteK-PQ'!F10)</f>
        <v>#REF!</v>
      </c>
      <c r="H10" s="566"/>
      <c r="I10" s="564" t="s">
        <v>440</v>
      </c>
      <c r="J10" s="565">
        <f>+VLOOKUP(A10,'Consumos (Q)'!B:D,3,0)</f>
        <v>126000</v>
      </c>
      <c r="K10" s="564">
        <v>126000</v>
      </c>
      <c r="L10" s="565">
        <f>IF(EERR!$F$22=2024,(E10+$X$1)*$U$1,'AjusteK-PQ'!M10)</f>
        <v>3.6625461991192196</v>
      </c>
      <c r="M10" s="565">
        <f>+VLOOKUP(A10,'Planilla A (2022)'!B:E,4,0)</f>
        <v>3.81</v>
      </c>
      <c r="N10" s="565">
        <f t="shared" si="0"/>
        <v>1.6228054683458559</v>
      </c>
      <c r="O10" s="695">
        <f t="shared" si="1"/>
        <v>-3.8701785008078859E-2</v>
      </c>
      <c r="P10" s="743"/>
      <c r="Q10" s="743"/>
      <c r="R10" s="464"/>
      <c r="S10" s="568" t="s">
        <v>753</v>
      </c>
      <c r="T10" s="568" t="s">
        <v>442</v>
      </c>
      <c r="U10" s="568" t="s">
        <v>443</v>
      </c>
      <c r="V10" s="551"/>
      <c r="W10" s="525"/>
      <c r="Z10" s="386">
        <f t="shared" si="7"/>
        <v>210</v>
      </c>
      <c r="AA10" s="386">
        <f t="shared" si="2"/>
        <v>315</v>
      </c>
      <c r="AB10" s="386">
        <f t="shared" si="8"/>
        <v>153.82694036300722</v>
      </c>
      <c r="AC10" s="386">
        <f t="shared" si="3"/>
        <v>1153.7020527225541</v>
      </c>
      <c r="AD10" s="518">
        <f t="shared" si="9"/>
        <v>7.4999999999999997E-2</v>
      </c>
      <c r="AE10" s="518">
        <f t="shared" si="4"/>
        <v>7.4999999999999997E-2</v>
      </c>
      <c r="AF10" s="386">
        <f t="shared" si="5"/>
        <v>11.537020527225541</v>
      </c>
      <c r="AG10" s="386">
        <f t="shared" si="6"/>
        <v>86.52765395419155</v>
      </c>
    </row>
    <row r="11" spans="1:33" ht="24.75" customHeight="1">
      <c r="A11" s="562">
        <v>4</v>
      </c>
      <c r="B11" s="562" t="s">
        <v>409</v>
      </c>
      <c r="C11" s="563">
        <v>2.1673690547862733E-2</v>
      </c>
      <c r="D11" s="564"/>
      <c r="E11" s="565"/>
      <c r="F11" s="564"/>
      <c r="G11" s="565" t="s">
        <v>716</v>
      </c>
      <c r="H11" s="564"/>
      <c r="I11" s="564"/>
      <c r="J11" s="565">
        <f>+VLOOKUP(A11,'Consumos (Q)'!B:D,3,0)</f>
        <v>72000</v>
      </c>
      <c r="K11" s="564">
        <v>72000</v>
      </c>
      <c r="L11" s="565"/>
      <c r="M11" s="565"/>
      <c r="N11" s="565">
        <f t="shared" si="0"/>
        <v>0</v>
      </c>
      <c r="O11" s="695" t="e">
        <f t="shared" si="1"/>
        <v>#DIV/0!</v>
      </c>
      <c r="P11" s="743"/>
      <c r="Q11" s="743"/>
      <c r="R11" s="464"/>
      <c r="S11" s="569" t="s">
        <v>447</v>
      </c>
      <c r="T11" s="570">
        <f>+SUM(K2:K24)</f>
        <v>3322000</v>
      </c>
      <c r="U11" s="570">
        <f>+T11/60</f>
        <v>55366.666666666664</v>
      </c>
      <c r="V11" s="551"/>
      <c r="W11" s="525"/>
      <c r="Z11" s="386">
        <f t="shared" si="7"/>
        <v>120</v>
      </c>
      <c r="AA11" s="386">
        <f t="shared" si="2"/>
        <v>180</v>
      </c>
      <c r="AB11" s="386">
        <f t="shared" si="8"/>
        <v>0</v>
      </c>
      <c r="AC11" s="386">
        <f t="shared" si="3"/>
        <v>0</v>
      </c>
      <c r="AD11" s="518">
        <f t="shared" si="9"/>
        <v>7.4999999999999997E-2</v>
      </c>
      <c r="AE11" s="518">
        <f t="shared" si="4"/>
        <v>7.4999999999999997E-2</v>
      </c>
      <c r="AF11" s="386">
        <f t="shared" si="5"/>
        <v>0</v>
      </c>
      <c r="AG11" s="386">
        <f t="shared" si="6"/>
        <v>0</v>
      </c>
    </row>
    <row r="12" spans="1:33" ht="24.75" customHeight="1">
      <c r="A12" s="562">
        <v>13</v>
      </c>
      <c r="B12" s="562" t="s">
        <v>418</v>
      </c>
      <c r="C12" s="563">
        <v>2.1673690547862733E-2</v>
      </c>
      <c r="D12" s="564" t="s">
        <v>463</v>
      </c>
      <c r="E12" s="565">
        <f>VLOOKUP(D12,'CR(borrar)'!A:B,2,0)+$X$1</f>
        <v>4.0829002323206511</v>
      </c>
      <c r="F12" s="564"/>
      <c r="G12" s="565" t="s">
        <v>716</v>
      </c>
      <c r="H12" s="566"/>
      <c r="I12" s="564" t="s">
        <v>464</v>
      </c>
      <c r="J12" s="565">
        <f>+VLOOKUP(A12,'Consumos (Q)'!B:D,3,0)</f>
        <v>72000</v>
      </c>
      <c r="K12" s="564">
        <v>72000</v>
      </c>
      <c r="L12" s="565">
        <f>IF(EERR!$F$22=2024,(E12+$X$1)*$U$1,'AjusteK-PQ'!M12)</f>
        <v>6.5223473256161899</v>
      </c>
      <c r="M12" s="565">
        <f>+VLOOKUP(A12,'Planilla A (2022)'!B:E,4,0)</f>
        <v>7.49</v>
      </c>
      <c r="N12" s="565">
        <f t="shared" si="0"/>
        <v>1.7914409363190624</v>
      </c>
      <c r="O12" s="695">
        <f t="shared" si="1"/>
        <v>-0.12919261340237786</v>
      </c>
      <c r="P12" s="743"/>
      <c r="Q12" s="743"/>
      <c r="R12" s="464"/>
      <c r="S12" s="569" t="s">
        <v>368</v>
      </c>
      <c r="T12" s="570">
        <f>+SUMPRODUCT(K2:K24,E2:E24)+X1*SUM(K2:K24)</f>
        <v>8015174.6497310242</v>
      </c>
      <c r="U12" s="570">
        <f>+T12/60</f>
        <v>133586.24416218375</v>
      </c>
      <c r="V12" s="551"/>
      <c r="W12" s="525"/>
      <c r="Z12" s="386">
        <f t="shared" si="7"/>
        <v>120</v>
      </c>
      <c r="AA12" s="386">
        <f t="shared" si="2"/>
        <v>180</v>
      </c>
      <c r="AB12" s="386">
        <f t="shared" si="8"/>
        <v>156.53633581478857</v>
      </c>
      <c r="AC12" s="386">
        <f t="shared" si="3"/>
        <v>1174.0225186109142</v>
      </c>
      <c r="AD12" s="518">
        <f t="shared" si="9"/>
        <v>7.4999999999999997E-2</v>
      </c>
      <c r="AE12" s="518">
        <f t="shared" si="4"/>
        <v>7.4999999999999997E-2</v>
      </c>
      <c r="AF12" s="386">
        <f t="shared" si="5"/>
        <v>11.740225186109143</v>
      </c>
      <c r="AG12" s="386">
        <f t="shared" si="6"/>
        <v>88.051688895818558</v>
      </c>
    </row>
    <row r="13" spans="1:33" ht="24.75" customHeight="1">
      <c r="A13" s="562">
        <v>22</v>
      </c>
      <c r="B13" s="562" t="s">
        <v>427</v>
      </c>
      <c r="C13" s="563">
        <v>1.6556291390728478E-2</v>
      </c>
      <c r="D13" s="564" t="s">
        <v>465</v>
      </c>
      <c r="E13" s="565">
        <f>VLOOKUP(D13,'CR(borrar)'!A:B,2,0)+$X$1</f>
        <v>1.5083755194958473</v>
      </c>
      <c r="F13" s="564"/>
      <c r="G13" s="565" t="s">
        <v>716</v>
      </c>
      <c r="H13" s="564"/>
      <c r="I13" s="564"/>
      <c r="J13" s="565">
        <f>+VLOOKUP(A13,'Consumos (Q)'!B:D,3,0)</f>
        <v>55000</v>
      </c>
      <c r="K13" s="564">
        <v>55000</v>
      </c>
      <c r="L13" s="565">
        <f>IF(EERR!$F$22=2024,(E13+$X$1)*$U$1,'AjusteK-PQ'!M13)</f>
        <v>2.5060887736094952</v>
      </c>
      <c r="M13" s="565">
        <f>+VLOOKUP(A13,'Planilla A (2022)'!B:E,4,0)</f>
        <v>2.59</v>
      </c>
      <c r="N13" s="565">
        <f t="shared" si="0"/>
        <v>1.6122333903521906</v>
      </c>
      <c r="O13" s="695">
        <f t="shared" si="1"/>
        <v>-3.2398156907530784E-2</v>
      </c>
      <c r="P13" s="743"/>
      <c r="Q13" s="743"/>
      <c r="R13" s="464"/>
      <c r="S13" s="569" t="s">
        <v>371</v>
      </c>
      <c r="T13" s="570">
        <f>++SUMPRODUCT(K2:K24,L2:L24)*(1-X9)</f>
        <v>11271497.793507777</v>
      </c>
      <c r="U13" s="570">
        <f>+T13/60</f>
        <v>187858.29655846296</v>
      </c>
      <c r="V13" s="552">
        <f>+U13/U12</f>
        <v>1.4062697677942713</v>
      </c>
      <c r="Z13" s="386">
        <f t="shared" si="7"/>
        <v>91.666666666666671</v>
      </c>
      <c r="AA13" s="386">
        <f t="shared" si="2"/>
        <v>137.5</v>
      </c>
      <c r="AB13" s="386">
        <f t="shared" si="8"/>
        <v>45.944960849507417</v>
      </c>
      <c r="AC13" s="386">
        <f t="shared" si="3"/>
        <v>344.58720637130557</v>
      </c>
      <c r="AD13" s="518">
        <f t="shared" si="9"/>
        <v>7.4999999999999997E-2</v>
      </c>
      <c r="AE13" s="518">
        <f t="shared" si="4"/>
        <v>7.4999999999999997E-2</v>
      </c>
      <c r="AF13" s="386">
        <f t="shared" si="5"/>
        <v>3.4458720637130562</v>
      </c>
      <c r="AG13" s="386">
        <f t="shared" si="6"/>
        <v>25.844040477847916</v>
      </c>
    </row>
    <row r="14" spans="1:33" ht="24.75" customHeight="1">
      <c r="A14" s="562">
        <v>18</v>
      </c>
      <c r="B14" s="562" t="s">
        <v>423</v>
      </c>
      <c r="C14" s="563">
        <v>1.0836845273931367E-2</v>
      </c>
      <c r="D14" s="564" t="s">
        <v>466</v>
      </c>
      <c r="E14" s="565">
        <f>VLOOKUP(D14,'CR(borrar)'!A:B,2,0)+$X$1</f>
        <v>0.56113132838902735</v>
      </c>
      <c r="F14" s="564"/>
      <c r="G14" s="565" t="s">
        <v>716</v>
      </c>
      <c r="H14" s="566"/>
      <c r="I14" s="564"/>
      <c r="J14" s="565">
        <f>+VLOOKUP(A14,'Consumos (Q)'!B:D,3,0)</f>
        <v>36000</v>
      </c>
      <c r="K14" s="564">
        <v>36000</v>
      </c>
      <c r="L14" s="565">
        <f>IF(EERR!$F$22=2024,(E14+$X$1)*$U$1,'AjusteK-PQ'!M14)</f>
        <v>1.0283878354828562</v>
      </c>
      <c r="M14" s="565">
        <f>+VLOOKUP(A14,'Planilla A (2022)'!B:E,4,0)</f>
        <v>0.81</v>
      </c>
      <c r="N14" s="565">
        <f t="shared" si="0"/>
        <v>1.2287193181419782</v>
      </c>
      <c r="O14" s="695">
        <f t="shared" si="1"/>
        <v>0.26961461170722978</v>
      </c>
      <c r="P14" s="743"/>
      <c r="Q14" s="743"/>
      <c r="R14" s="464"/>
      <c r="S14" s="569" t="s">
        <v>454</v>
      </c>
      <c r="T14" s="570">
        <f>+T13-T12</f>
        <v>3256323.143776753</v>
      </c>
      <c r="U14" s="570">
        <f>+T14/60</f>
        <v>54272.052396279214</v>
      </c>
      <c r="V14" s="551"/>
      <c r="Z14" s="386">
        <f t="shared" si="7"/>
        <v>60</v>
      </c>
      <c r="AA14" s="386">
        <f t="shared" si="2"/>
        <v>90</v>
      </c>
      <c r="AB14" s="386">
        <f t="shared" si="8"/>
        <v>12.340654025794274</v>
      </c>
      <c r="AC14" s="386">
        <f t="shared" si="3"/>
        <v>92.55490519345706</v>
      </c>
      <c r="AD14" s="518">
        <f t="shared" si="9"/>
        <v>7.4999999999999997E-2</v>
      </c>
      <c r="AE14" s="518">
        <f t="shared" si="4"/>
        <v>7.4999999999999997E-2</v>
      </c>
      <c r="AF14" s="386">
        <f t="shared" si="5"/>
        <v>0.92554905193457049</v>
      </c>
      <c r="AG14" s="386">
        <f t="shared" si="6"/>
        <v>6.9416178895092795</v>
      </c>
    </row>
    <row r="15" spans="1:33" ht="24.75" customHeight="1">
      <c r="A15" s="562">
        <v>20</v>
      </c>
      <c r="B15" s="562" t="s">
        <v>425</v>
      </c>
      <c r="C15" s="563">
        <v>9.0307043949428064E-3</v>
      </c>
      <c r="D15" s="564" t="s">
        <v>467</v>
      </c>
      <c r="E15" s="565">
        <f>VLOOKUP(D15,'CR(borrar)'!A:B,2,0)+$X$1</f>
        <v>3.4154940168343457</v>
      </c>
      <c r="F15" s="564"/>
      <c r="G15" s="565" t="s">
        <v>716</v>
      </c>
      <c r="H15" s="564"/>
      <c r="I15" s="564"/>
      <c r="J15" s="565">
        <f>+VLOOKUP(A15,'Consumos (Q)'!B:D,3,0)</f>
        <v>30000</v>
      </c>
      <c r="K15" s="564">
        <v>30000</v>
      </c>
      <c r="L15" s="565">
        <f>IF(EERR!$F$22=2024,(E15+$X$1)*$U$1,'AjusteK-PQ'!M15)</f>
        <v>5.481193629457553</v>
      </c>
      <c r="M15" s="565">
        <f>+VLOOKUP(A15,'Planilla A (2022)'!B:E,4,0)</f>
        <v>6.45</v>
      </c>
      <c r="N15" s="565">
        <f t="shared" si="0"/>
        <v>1.8357315359055812</v>
      </c>
      <c r="O15" s="695">
        <f t="shared" si="1"/>
        <v>-0.15020253806859651</v>
      </c>
      <c r="P15" s="743"/>
      <c r="Q15" s="743"/>
      <c r="R15" s="464"/>
      <c r="S15" s="571" t="s">
        <v>454</v>
      </c>
      <c r="T15" s="572">
        <f>+T14/T13</f>
        <v>0.28889888490705723</v>
      </c>
      <c r="U15" s="572">
        <f>+U14/U13</f>
        <v>0.28889888490705723</v>
      </c>
      <c r="V15" s="551"/>
      <c r="Z15" s="386">
        <f t="shared" si="7"/>
        <v>50</v>
      </c>
      <c r="AA15" s="386">
        <f t="shared" si="2"/>
        <v>75</v>
      </c>
      <c r="AB15" s="386">
        <f t="shared" si="8"/>
        <v>54.811936294575531</v>
      </c>
      <c r="AC15" s="386">
        <f t="shared" si="3"/>
        <v>411.0895222093165</v>
      </c>
      <c r="AD15" s="518">
        <f t="shared" si="9"/>
        <v>7.4999999999999997E-2</v>
      </c>
      <c r="AE15" s="518">
        <f t="shared" si="4"/>
        <v>7.4999999999999997E-2</v>
      </c>
      <c r="AF15" s="386">
        <f t="shared" si="5"/>
        <v>4.1108952220931645</v>
      </c>
      <c r="AG15" s="386">
        <f t="shared" si="6"/>
        <v>30.831714165698735</v>
      </c>
    </row>
    <row r="16" spans="1:33" ht="24.75" customHeight="1">
      <c r="A16" s="562">
        <v>5</v>
      </c>
      <c r="B16" s="562" t="s">
        <v>410</v>
      </c>
      <c r="C16" s="563">
        <v>6.020469596628537E-3</v>
      </c>
      <c r="D16" s="564" t="s">
        <v>468</v>
      </c>
      <c r="E16" s="565">
        <f>VLOOKUP(D16,'CR(borrar)'!A:B,2,0)+$X$1</f>
        <v>2.4095642682784106</v>
      </c>
      <c r="F16" s="564" t="s">
        <v>469</v>
      </c>
      <c r="G16" s="565" t="e">
        <f>+AVERAGEIFS(#REF!,#REF!,"202301",#REF!,'AjusteK-PQ'!F16)</f>
        <v>#REF!</v>
      </c>
      <c r="H16" s="566"/>
      <c r="I16" s="564" t="s">
        <v>470</v>
      </c>
      <c r="J16" s="565">
        <f>+VLOOKUP(A16,'Consumos (Q)'!B:D,3,0)</f>
        <v>20000</v>
      </c>
      <c r="K16" s="564">
        <v>20000</v>
      </c>
      <c r="L16" s="565">
        <f>IF(EERR!$F$22=2024,(E16+$X$1)*$U$1,'AjusteK-PQ'!M16)</f>
        <v>3.9119432217102941</v>
      </c>
      <c r="M16" s="565">
        <f>+VLOOKUP(A16,'Planilla A (2022)'!B:E,4,0)</f>
        <v>3.34</v>
      </c>
      <c r="N16" s="565">
        <f t="shared" si="0"/>
        <v>1.3319211718318404</v>
      </c>
      <c r="O16" s="695">
        <f t="shared" si="1"/>
        <v>0.17124048554200422</v>
      </c>
      <c r="P16" s="743"/>
      <c r="Q16" s="743"/>
      <c r="R16" s="464"/>
      <c r="Z16" s="386">
        <f t="shared" si="7"/>
        <v>33.333333333333336</v>
      </c>
      <c r="AA16" s="386">
        <f t="shared" si="2"/>
        <v>50</v>
      </c>
      <c r="AB16" s="386">
        <f t="shared" si="8"/>
        <v>26.079621478068631</v>
      </c>
      <c r="AC16" s="386">
        <f t="shared" si="3"/>
        <v>195.5971610855147</v>
      </c>
      <c r="AD16" s="518">
        <f t="shared" si="9"/>
        <v>7.4999999999999997E-2</v>
      </c>
      <c r="AE16" s="518">
        <f t="shared" si="4"/>
        <v>7.4999999999999997E-2</v>
      </c>
      <c r="AF16" s="386">
        <f t="shared" si="5"/>
        <v>1.9559716108551473</v>
      </c>
      <c r="AG16" s="386">
        <f t="shared" si="6"/>
        <v>14.669787081413602</v>
      </c>
    </row>
    <row r="17" spans="1:33" ht="24.75" customHeight="1">
      <c r="A17" s="562">
        <v>1</v>
      </c>
      <c r="B17" s="562" t="s">
        <v>406</v>
      </c>
      <c r="C17" s="563">
        <v>2.7092113184828417E-3</v>
      </c>
      <c r="D17" s="564" t="s">
        <v>471</v>
      </c>
      <c r="E17" s="565">
        <f>VLOOKUP(D17,'CR(borrar)'!A:B,2,0)+$X$1</f>
        <v>3.0603103353607062</v>
      </c>
      <c r="F17" s="564"/>
      <c r="G17" s="565" t="s">
        <v>716</v>
      </c>
      <c r="H17" s="564"/>
      <c r="I17" s="564" t="s">
        <v>472</v>
      </c>
      <c r="J17" s="565">
        <f>+VLOOKUP(A17,'Consumos (Q)'!B:D,3,0)</f>
        <v>9000</v>
      </c>
      <c r="K17" s="564">
        <v>9000</v>
      </c>
      <c r="L17" s="565">
        <f>IF(EERR!$F$22=2024,(E17+$X$1)*$U$1,'AjusteK-PQ'!M17)</f>
        <v>4.9271070863586752</v>
      </c>
      <c r="M17" s="565">
        <f>+VLOOKUP(A17,'Planilla A (2022)'!B:E,4,0)</f>
        <v>6.62</v>
      </c>
      <c r="N17" s="565">
        <f t="shared" si="0"/>
        <v>2.0959966607164215</v>
      </c>
      <c r="O17" s="695">
        <f t="shared" si="1"/>
        <v>-0.25572400508177118</v>
      </c>
      <c r="P17" s="743"/>
      <c r="Q17" s="743"/>
      <c r="R17" s="464"/>
      <c r="Z17" s="386">
        <f t="shared" si="7"/>
        <v>15</v>
      </c>
      <c r="AA17" s="386">
        <f t="shared" si="2"/>
        <v>22.5</v>
      </c>
      <c r="AB17" s="386">
        <f t="shared" si="8"/>
        <v>14.781321259076027</v>
      </c>
      <c r="AC17" s="386">
        <f t="shared" si="3"/>
        <v>110.85990944307019</v>
      </c>
      <c r="AD17" s="518">
        <f t="shared" si="9"/>
        <v>7.4999999999999997E-2</v>
      </c>
      <c r="AE17" s="518">
        <f t="shared" si="4"/>
        <v>7.4999999999999997E-2</v>
      </c>
      <c r="AF17" s="386">
        <f t="shared" si="5"/>
        <v>1.108599094430702</v>
      </c>
      <c r="AG17" s="386">
        <f t="shared" si="6"/>
        <v>8.3144932082302638</v>
      </c>
    </row>
    <row r="18" spans="1:33" ht="24.75" customHeight="1">
      <c r="A18" s="562">
        <v>15</v>
      </c>
      <c r="B18" s="562" t="s">
        <v>420</v>
      </c>
      <c r="C18" s="563">
        <v>2.7092113184828417E-3</v>
      </c>
      <c r="D18" s="564" t="s">
        <v>473</v>
      </c>
      <c r="E18" s="565">
        <f>VLOOKUP(D18,'CR(borrar)'!A:B,2,0)+$X$1</f>
        <v>3.0769543582253078</v>
      </c>
      <c r="F18" s="564" t="s">
        <v>474</v>
      </c>
      <c r="G18" s="565" t="e">
        <f>+AVERAGEIFS(#REF!,#REF!,"202301",#REF!,'AjusteK-PQ'!F18)</f>
        <v>#REF!</v>
      </c>
      <c r="H18" s="566"/>
      <c r="I18" s="564" t="s">
        <v>475</v>
      </c>
      <c r="J18" s="565">
        <f>+VLOOKUP(A18,'Consumos (Q)'!B:D,3,0)</f>
        <v>9000</v>
      </c>
      <c r="K18" s="564">
        <v>9000</v>
      </c>
      <c r="L18" s="565">
        <f>IF(EERR!$F$22=2024,(E18+$X$1)*$U$1,'AjusteK-PQ'!M18)</f>
        <v>4.953071762027454</v>
      </c>
      <c r="M18" s="565">
        <f>+VLOOKUP(A18,'Planilla A (2022)'!B:E,4,0)</f>
        <v>7.01</v>
      </c>
      <c r="N18" s="565">
        <f t="shared" si="0"/>
        <v>2.2078420272117563</v>
      </c>
      <c r="O18" s="695">
        <f t="shared" si="1"/>
        <v>-0.29342770869793811</v>
      </c>
      <c r="P18" s="743"/>
      <c r="Q18" s="743"/>
      <c r="R18" s="464"/>
      <c r="Z18" s="386">
        <f t="shared" si="7"/>
        <v>15</v>
      </c>
      <c r="AA18" s="386">
        <f t="shared" si="2"/>
        <v>22.5</v>
      </c>
      <c r="AB18" s="386">
        <f t="shared" si="8"/>
        <v>14.859215286082362</v>
      </c>
      <c r="AC18" s="386">
        <f t="shared" si="3"/>
        <v>111.44411464561772</v>
      </c>
      <c r="AD18" s="518">
        <f t="shared" si="9"/>
        <v>7.4999999999999997E-2</v>
      </c>
      <c r="AE18" s="518">
        <f t="shared" si="4"/>
        <v>7.4999999999999997E-2</v>
      </c>
      <c r="AF18" s="386">
        <f t="shared" si="5"/>
        <v>1.1144411464561772</v>
      </c>
      <c r="AG18" s="386">
        <f t="shared" si="6"/>
        <v>8.3583085984213277</v>
      </c>
    </row>
    <row r="19" spans="1:33" ht="24.75" customHeight="1">
      <c r="A19" s="562">
        <v>8</v>
      </c>
      <c r="B19" s="562" t="s">
        <v>413</v>
      </c>
      <c r="C19" s="563">
        <v>1.8061408789885611E-3</v>
      </c>
      <c r="D19" s="564" t="s">
        <v>476</v>
      </c>
      <c r="E19" s="565">
        <f>VLOOKUP(D19,'CR(borrar)'!A:B,2,0)+$X$1</f>
        <v>1.7047313283890273</v>
      </c>
      <c r="F19" s="564"/>
      <c r="G19" s="565" t="s">
        <v>716</v>
      </c>
      <c r="H19" s="564"/>
      <c r="I19" s="564"/>
      <c r="J19" s="565">
        <f>+VLOOKUP(A19,'Consumos (Q)'!B:D,3,0)</f>
        <v>6000</v>
      </c>
      <c r="K19" s="564">
        <v>6000</v>
      </c>
      <c r="L19" s="565">
        <f>IF(EERR!$F$22=2024,(E19+$X$1)*$U$1,'AjusteK-PQ'!M19)</f>
        <v>2.812403835482856</v>
      </c>
      <c r="M19" s="565">
        <f>+VLOOKUP(A19,'Planilla A (2022)'!B:E,4,0)</f>
        <v>2.2200000000000002</v>
      </c>
      <c r="N19" s="565">
        <f t="shared" si="0"/>
        <v>1.2314021038893266</v>
      </c>
      <c r="O19" s="695">
        <f t="shared" si="1"/>
        <v>0.26684857454182698</v>
      </c>
      <c r="P19" s="743"/>
      <c r="Q19" s="743"/>
      <c r="R19" s="464"/>
      <c r="Z19" s="386">
        <f t="shared" si="7"/>
        <v>10</v>
      </c>
      <c r="AA19" s="386">
        <f t="shared" si="2"/>
        <v>15</v>
      </c>
      <c r="AB19" s="386">
        <f t="shared" si="8"/>
        <v>5.624807670965712</v>
      </c>
      <c r="AC19" s="386">
        <f t="shared" si="3"/>
        <v>42.186057532242842</v>
      </c>
      <c r="AD19" s="518">
        <f t="shared" si="9"/>
        <v>7.4999999999999997E-2</v>
      </c>
      <c r="AE19" s="518">
        <f t="shared" si="4"/>
        <v>7.4999999999999997E-2</v>
      </c>
      <c r="AF19" s="386">
        <f t="shared" si="5"/>
        <v>0.42186057532242838</v>
      </c>
      <c r="AG19" s="386">
        <f t="shared" si="6"/>
        <v>3.1639543149182132</v>
      </c>
    </row>
    <row r="20" spans="1:33" ht="24.75" customHeight="1">
      <c r="A20" s="562">
        <v>9</v>
      </c>
      <c r="B20" s="562" t="s">
        <v>414</v>
      </c>
      <c r="C20" s="563">
        <v>1.8061408789885611E-3</v>
      </c>
      <c r="D20" s="564" t="s">
        <v>477</v>
      </c>
      <c r="E20" s="565">
        <f>VLOOKUP(D20,'CR(borrar)'!A:B,2,0)+$X$1</f>
        <v>2.15595426719227</v>
      </c>
      <c r="F20" s="564"/>
      <c r="G20" s="565" t="s">
        <v>716</v>
      </c>
      <c r="H20" s="566"/>
      <c r="I20" s="564" t="s">
        <v>478</v>
      </c>
      <c r="J20" s="565">
        <f>+VLOOKUP(A20,'Consumos (Q)'!B:D,3,0)</f>
        <v>6000</v>
      </c>
      <c r="K20" s="564">
        <v>6000</v>
      </c>
      <c r="L20" s="565">
        <f>IF(EERR!$F$22=2024,(E20+$X$1)*$U$1,'AjusteK-PQ'!M20)</f>
        <v>3.5163116200159146</v>
      </c>
      <c r="M20" s="565">
        <f>+VLOOKUP(A20,'Planilla A (2022)'!B:E,4,0)</f>
        <v>3.9</v>
      </c>
      <c r="N20" s="565">
        <f t="shared" si="0"/>
        <v>1.7302220785461739</v>
      </c>
      <c r="O20" s="695">
        <f t="shared" si="1"/>
        <v>-9.8381635893355246E-2</v>
      </c>
      <c r="P20" s="743"/>
      <c r="Q20" s="743"/>
      <c r="R20" s="464"/>
      <c r="Z20" s="386">
        <f t="shared" si="7"/>
        <v>10</v>
      </c>
      <c r="AA20" s="386">
        <f t="shared" si="2"/>
        <v>15</v>
      </c>
      <c r="AB20" s="386">
        <f t="shared" si="8"/>
        <v>7.0326232400318291</v>
      </c>
      <c r="AC20" s="386">
        <f t="shared" si="3"/>
        <v>52.744674300238721</v>
      </c>
      <c r="AD20" s="518">
        <f t="shared" si="9"/>
        <v>7.4999999999999997E-2</v>
      </c>
      <c r="AE20" s="518">
        <f t="shared" si="4"/>
        <v>7.4999999999999997E-2</v>
      </c>
      <c r="AF20" s="386">
        <f t="shared" si="5"/>
        <v>0.52744674300238714</v>
      </c>
      <c r="AG20" s="386">
        <f t="shared" si="6"/>
        <v>3.9558505725179041</v>
      </c>
    </row>
    <row r="21" spans="1:33" ht="24.75" customHeight="1">
      <c r="A21" s="562">
        <v>10</v>
      </c>
      <c r="B21" s="562" t="s">
        <v>479</v>
      </c>
      <c r="C21" s="563">
        <v>1.8061408789885611E-3</v>
      </c>
      <c r="D21" s="564" t="s">
        <v>955</v>
      </c>
      <c r="E21" s="565">
        <f>VLOOKUP(D21,'CR(borrar)'!A:B,2,0)+$X$1</f>
        <v>4.4950522362125884</v>
      </c>
      <c r="F21" s="564" t="s">
        <v>480</v>
      </c>
      <c r="G21" s="565" t="e">
        <f>+AVERAGEIFS(#REF!,#REF!,"202301",#REF!,'AjusteK-PQ'!F21)</f>
        <v>#REF!</v>
      </c>
      <c r="H21" s="564"/>
      <c r="I21" s="564" t="s">
        <v>482</v>
      </c>
      <c r="J21" s="565">
        <f>+VLOOKUP(A21,'Consumos (Q)'!B:D,3,0)</f>
        <v>6000</v>
      </c>
      <c r="K21" s="564">
        <v>6000</v>
      </c>
      <c r="L21" s="565">
        <f>IF(EERR!$F$22=2024,(E21+$X$1)*$U$1,'AjusteK-PQ'!M21)</f>
        <v>7.1653044516876125</v>
      </c>
      <c r="M21" s="565">
        <f>+VLOOKUP(A21,'Planilla A (2022)'!B:E,4,0)</f>
        <v>7.42</v>
      </c>
      <c r="N21" s="565">
        <f t="shared" si="0"/>
        <v>1.6154512453792169</v>
      </c>
      <c r="O21" s="695">
        <f t="shared" si="1"/>
        <v>-3.4325545594661389E-2</v>
      </c>
      <c r="P21" s="743"/>
      <c r="Q21" s="743"/>
      <c r="R21" s="464"/>
      <c r="Z21" s="386">
        <f t="shared" si="7"/>
        <v>10</v>
      </c>
      <c r="AA21" s="386">
        <f t="shared" si="2"/>
        <v>15</v>
      </c>
      <c r="AB21" s="386">
        <f t="shared" si="8"/>
        <v>14.330608903375225</v>
      </c>
      <c r="AC21" s="386">
        <f t="shared" si="3"/>
        <v>107.47956677531418</v>
      </c>
      <c r="AD21" s="518">
        <f t="shared" si="9"/>
        <v>7.4999999999999997E-2</v>
      </c>
      <c r="AE21" s="518">
        <f t="shared" si="4"/>
        <v>7.4999999999999997E-2</v>
      </c>
      <c r="AF21" s="386">
        <f t="shared" si="5"/>
        <v>1.0747956677531418</v>
      </c>
      <c r="AG21" s="386">
        <f t="shared" si="6"/>
        <v>8.060967508148563</v>
      </c>
    </row>
    <row r="22" spans="1:33" ht="24.75" customHeight="1">
      <c r="A22" s="562">
        <v>11</v>
      </c>
      <c r="B22" s="562" t="s">
        <v>416</v>
      </c>
      <c r="C22" s="563">
        <v>1.8061408789885611E-3</v>
      </c>
      <c r="D22" s="564" t="s">
        <v>483</v>
      </c>
      <c r="E22" s="565">
        <f>VLOOKUP(D22,'CR(borrar)'!A:B,2,0)+$X$1</f>
        <v>2.1119920461635382</v>
      </c>
      <c r="F22" s="564" t="s">
        <v>484</v>
      </c>
      <c r="G22" s="565" t="e">
        <f>+AVERAGEIFS(#REF!,#REF!,"202301",#REF!,'AjusteK-PQ'!F22)</f>
        <v>#REF!</v>
      </c>
      <c r="H22" s="566"/>
      <c r="I22" s="564"/>
      <c r="J22" s="565">
        <f>+VLOOKUP(A22,'Consumos (Q)'!B:D,3,0)</f>
        <v>6000</v>
      </c>
      <c r="K22" s="564">
        <v>6000</v>
      </c>
      <c r="L22" s="565">
        <f>IF(EERR!$F$22=2024,(E22+$X$1)*$U$1,'AjusteK-PQ'!M22)</f>
        <v>3.4477305552110931</v>
      </c>
      <c r="M22" s="565">
        <f>+VLOOKUP(A22,'Planilla A (2022)'!B:E,4,0)</f>
        <v>3.21</v>
      </c>
      <c r="N22" s="565">
        <f t="shared" si="0"/>
        <v>1.4524336863944407</v>
      </c>
      <c r="O22" s="695">
        <f t="shared" si="1"/>
        <v>7.4059362994109978E-2</v>
      </c>
      <c r="P22" s="743"/>
      <c r="Q22" s="743"/>
      <c r="R22" s="464"/>
      <c r="Z22" s="386">
        <f t="shared" si="7"/>
        <v>10</v>
      </c>
      <c r="AA22" s="386">
        <f t="shared" si="2"/>
        <v>15</v>
      </c>
      <c r="AB22" s="386">
        <f t="shared" si="8"/>
        <v>6.8954611104221861</v>
      </c>
      <c r="AC22" s="386">
        <f t="shared" si="3"/>
        <v>51.715958328166394</v>
      </c>
      <c r="AD22" s="518">
        <f t="shared" si="9"/>
        <v>7.4999999999999997E-2</v>
      </c>
      <c r="AE22" s="518">
        <f t="shared" si="4"/>
        <v>7.4999999999999997E-2</v>
      </c>
      <c r="AF22" s="386">
        <f t="shared" si="5"/>
        <v>0.51715958328166389</v>
      </c>
      <c r="AG22" s="386">
        <f t="shared" si="6"/>
        <v>3.8786968746124795</v>
      </c>
    </row>
    <row r="23" spans="1:33" ht="24.75" customHeight="1">
      <c r="A23" s="562">
        <v>16</v>
      </c>
      <c r="B23" s="562" t="s">
        <v>421</v>
      </c>
      <c r="C23" s="563">
        <v>1.8061408789885611E-3</v>
      </c>
      <c r="D23" s="564" t="s">
        <v>485</v>
      </c>
      <c r="E23" s="565">
        <f>VLOOKUP(D23,'CR(borrar)'!A:B,2,0)+$X$1</f>
        <v>0.86376799407735483</v>
      </c>
      <c r="F23" s="564"/>
      <c r="G23" s="565" t="s">
        <v>716</v>
      </c>
      <c r="H23" s="564"/>
      <c r="I23" s="564"/>
      <c r="J23" s="565">
        <f>+VLOOKUP(A23,'Consumos (Q)'!B:D,3,0)</f>
        <v>6000</v>
      </c>
      <c r="K23" s="564">
        <v>6000</v>
      </c>
      <c r="L23" s="565">
        <f>IF(EERR!$F$22=2024,(E23+$X$1)*$U$1,'AjusteK-PQ'!M23)</f>
        <v>1.5005010339566471</v>
      </c>
      <c r="M23" s="565">
        <f>+VLOOKUP(A23,'Planilla A (2022)'!B:E,4,0)</f>
        <v>1.3</v>
      </c>
      <c r="N23" s="565">
        <f t="shared" si="0"/>
        <v>1.3515485521875312</v>
      </c>
      <c r="O23" s="695">
        <f t="shared" si="1"/>
        <v>0.15423156458203624</v>
      </c>
      <c r="P23" s="743"/>
      <c r="Q23" s="743"/>
      <c r="R23" s="464"/>
      <c r="Z23" s="386">
        <f t="shared" si="7"/>
        <v>10</v>
      </c>
      <c r="AA23" s="386">
        <f t="shared" si="2"/>
        <v>15</v>
      </c>
      <c r="AB23" s="386">
        <f t="shared" si="8"/>
        <v>3.0010020679132943</v>
      </c>
      <c r="AC23" s="386">
        <f t="shared" si="3"/>
        <v>22.507515509349709</v>
      </c>
      <c r="AD23" s="518">
        <f t="shared" si="9"/>
        <v>7.4999999999999997E-2</v>
      </c>
      <c r="AE23" s="518">
        <f t="shared" si="4"/>
        <v>7.4999999999999997E-2</v>
      </c>
      <c r="AF23" s="386">
        <f t="shared" si="5"/>
        <v>0.22507515509349707</v>
      </c>
      <c r="AG23" s="386">
        <f t="shared" si="6"/>
        <v>1.688063663201228</v>
      </c>
    </row>
    <row r="24" spans="1:33" ht="24.75" customHeight="1">
      <c r="A24" s="562">
        <v>19</v>
      </c>
      <c r="B24" s="562" t="s">
        <v>424</v>
      </c>
      <c r="C24" s="563">
        <v>1.5051173991571343E-3</v>
      </c>
      <c r="D24" s="564" t="s">
        <v>486</v>
      </c>
      <c r="E24" s="565">
        <f>VLOOKUP(D24,'CR(borrar)'!A:B,2,0)+$X$1</f>
        <v>2.3382604688186737</v>
      </c>
      <c r="F24" s="564"/>
      <c r="G24" s="565" t="s">
        <v>716</v>
      </c>
      <c r="H24" s="566"/>
      <c r="I24" s="564"/>
      <c r="J24" s="565">
        <f>+VLOOKUP(A24,'Consumos (Q)'!B:D,3,0)</f>
        <v>5000</v>
      </c>
      <c r="K24" s="564">
        <v>5000</v>
      </c>
      <c r="L24" s="565">
        <f>IF(EERR!$F$22=2024,(E24+$X$1)*$U$1,'AjusteK-PQ'!M24)</f>
        <v>3.8007092945531045</v>
      </c>
      <c r="M24" s="565">
        <f>+VLOOKUP(A24,'Planilla A (2022)'!B:E,4,0)</f>
        <v>3.95</v>
      </c>
      <c r="N24" s="565">
        <f t="shared" si="0"/>
        <v>1.6212763256666127</v>
      </c>
      <c r="O24" s="695">
        <f t="shared" si="1"/>
        <v>-3.7795115303011606E-2</v>
      </c>
      <c r="P24" s="743"/>
      <c r="Q24" s="743"/>
      <c r="R24" s="464"/>
      <c r="Z24" s="386">
        <f t="shared" si="7"/>
        <v>8.3333333333333339</v>
      </c>
      <c r="AA24" s="386">
        <f t="shared" si="2"/>
        <v>12.5</v>
      </c>
      <c r="AB24" s="386">
        <f t="shared" si="8"/>
        <v>6.3345154909218415</v>
      </c>
      <c r="AC24" s="386">
        <f t="shared" si="3"/>
        <v>47.508866181913803</v>
      </c>
      <c r="AD24" s="518">
        <f t="shared" si="9"/>
        <v>7.4999999999999997E-2</v>
      </c>
      <c r="AE24" s="518">
        <f t="shared" si="4"/>
        <v>7.4999999999999997E-2</v>
      </c>
      <c r="AF24" s="386">
        <f t="shared" si="5"/>
        <v>0.47508866181913811</v>
      </c>
      <c r="AG24" s="386">
        <f t="shared" si="6"/>
        <v>3.5631649636435352</v>
      </c>
    </row>
    <row r="25" spans="1:33" ht="15" customHeight="1">
      <c r="AF25" s="386">
        <f>+SUM(AF2:AF24)</f>
        <v>312.31637000575739</v>
      </c>
      <c r="AG25" s="386">
        <f>+SUM(AG2:AG24)</f>
        <v>2342.3727750431804</v>
      </c>
    </row>
    <row r="26" spans="1:33" ht="15" customHeight="1">
      <c r="K26">
        <f>+SUM(K2:K24)/60</f>
        <v>55366.666666666664</v>
      </c>
      <c r="AF26" s="545">
        <f>+AF25/U5</f>
        <v>1.5000000000000009E-3</v>
      </c>
      <c r="AG26" s="545">
        <f>+AG25/U5</f>
        <v>1.1250000000000007E-2</v>
      </c>
    </row>
    <row r="27" spans="1:33" ht="15" customHeight="1">
      <c r="K27" s="886" t="s">
        <v>1150</v>
      </c>
      <c r="L27" s="886"/>
      <c r="M27" s="886"/>
      <c r="N27" s="886" t="s">
        <v>1151</v>
      </c>
      <c r="O27" s="886"/>
      <c r="P27" s="886"/>
      <c r="Q27" s="886"/>
      <c r="R27" s="886"/>
    </row>
    <row r="28" spans="1:33" ht="15" customHeight="1">
      <c r="K28" s="713">
        <v>162000</v>
      </c>
      <c r="L28" s="714">
        <f>IF(EERR!$F$22=2024,(E28+$X$1)*$U$1,'AjusteK-PQ'!M28)</f>
        <v>0.15302296319597358</v>
      </c>
      <c r="M28" s="714" t="e">
        <f>+VLOOKUP(A28,'Planilla A (2022)'!B:E,4,0)</f>
        <v>#N/A</v>
      </c>
      <c r="N28" s="713">
        <v>162000</v>
      </c>
      <c r="O28" s="714">
        <f>IF(EERR!$F$22=2024,(H28+$X$1)*$U$1,'AjusteK-PQ'!R28)</f>
        <v>0.15302296319597358</v>
      </c>
      <c r="P28" s="714"/>
      <c r="Q28" s="714"/>
      <c r="R28" s="714" t="e">
        <f>+VLOOKUP(D28,'Planilla A (2022)'!E:H,4,0)</f>
        <v>#N/A</v>
      </c>
    </row>
    <row r="29" spans="1:33" ht="15" customHeight="1">
      <c r="K29" s="713">
        <v>132000</v>
      </c>
      <c r="L29" s="714">
        <f>IF(EERR!$F$22=2024,(E29+$X$1)*$U$1,'AjusteK-PQ'!M29)</f>
        <v>0.15302296319597358</v>
      </c>
      <c r="M29" s="714" t="e">
        <f>+VLOOKUP(A29,'Planilla A (2022)'!B:E,4,0)</f>
        <v>#N/A</v>
      </c>
      <c r="N29" s="713">
        <v>132000</v>
      </c>
      <c r="O29" s="714">
        <f>IF(EERR!$F$22=2024,(H29+$X$1)*$U$1,'AjusteK-PQ'!R29)</f>
        <v>0.15302296319597358</v>
      </c>
      <c r="P29" s="714"/>
      <c r="Q29" s="714"/>
      <c r="R29" s="714" t="e">
        <f>+VLOOKUP(D29,'Planilla A (2022)'!E:H,4,0)</f>
        <v>#N/A</v>
      </c>
    </row>
    <row r="30" spans="1:33" ht="15" customHeight="1">
      <c r="K30" s="620" t="s">
        <v>387</v>
      </c>
      <c r="L30" s="620" t="s">
        <v>392</v>
      </c>
      <c r="M30" s="620" t="s">
        <v>390</v>
      </c>
      <c r="N30" s="620" t="e">
        <f>+K30*$D30</f>
        <v>#VALUE!</v>
      </c>
      <c r="O30" s="620" t="e">
        <f t="shared" ref="O30" si="10">+L30*$D30</f>
        <v>#VALUE!</v>
      </c>
      <c r="P30" s="697"/>
      <c r="Q30" s="697"/>
      <c r="R30" s="620" t="e">
        <f>+M30*$D30</f>
        <v>#VALUE!</v>
      </c>
    </row>
    <row r="31" spans="1:33" ht="15" customHeight="1">
      <c r="K31" s="707">
        <v>0.80433848648198192</v>
      </c>
      <c r="L31" s="707">
        <v>0.77792601989612675</v>
      </c>
      <c r="M31" s="707">
        <v>0.66165847246228204</v>
      </c>
      <c r="N31" s="620">
        <f t="shared" ref="N31:N37" si="11">+K31*$D31</f>
        <v>0</v>
      </c>
      <c r="O31" s="620">
        <f t="shared" ref="O31:O37" si="12">+L31*$D31</f>
        <v>0</v>
      </c>
      <c r="P31" s="697"/>
      <c r="Q31" s="697"/>
      <c r="R31" s="620">
        <f t="shared" ref="R31:R37" si="13">+M31*$D31</f>
        <v>0</v>
      </c>
    </row>
    <row r="32" spans="1:33" ht="15" customHeight="1">
      <c r="K32" s="707">
        <v>0.12180932457471368</v>
      </c>
      <c r="L32" s="707">
        <v>0.15322039738541399</v>
      </c>
      <c r="M32" s="707">
        <v>0.32369515232069918</v>
      </c>
      <c r="N32" s="620">
        <f t="shared" si="11"/>
        <v>0</v>
      </c>
      <c r="O32" s="620">
        <f t="shared" si="12"/>
        <v>0</v>
      </c>
      <c r="P32" s="697"/>
      <c r="Q32" s="697"/>
      <c r="R32" s="620">
        <f t="shared" si="13"/>
        <v>0</v>
      </c>
    </row>
    <row r="33" spans="11:18" ht="15" customHeight="1">
      <c r="K33" s="707">
        <v>6.0938208660229268E-2</v>
      </c>
      <c r="L33" s="707">
        <v>5.3312229602754391E-2</v>
      </c>
      <c r="M33" s="707">
        <v>0.32387344406174051</v>
      </c>
      <c r="N33" s="620">
        <f t="shared" si="11"/>
        <v>0</v>
      </c>
      <c r="O33" s="620">
        <f t="shared" si="12"/>
        <v>0</v>
      </c>
      <c r="P33" s="697"/>
      <c r="Q33" s="697"/>
      <c r="R33" s="620">
        <f t="shared" si="13"/>
        <v>0</v>
      </c>
    </row>
    <row r="34" spans="11:18" ht="15" customHeight="1">
      <c r="K34" s="707">
        <v>1.2913980283075051E-2</v>
      </c>
      <c r="L34" s="707">
        <v>1.5541353115704908E-2</v>
      </c>
      <c r="M34" s="707">
        <v>3.3835730207738587E-3</v>
      </c>
      <c r="N34" s="620">
        <f t="shared" si="11"/>
        <v>0</v>
      </c>
      <c r="O34" s="620">
        <f t="shared" si="12"/>
        <v>0</v>
      </c>
      <c r="P34" s="697"/>
      <c r="Q34" s="697"/>
      <c r="R34" s="620">
        <f t="shared" si="13"/>
        <v>0</v>
      </c>
    </row>
    <row r="35" spans="11:18" ht="15" customHeight="1">
      <c r="K35" s="711"/>
      <c r="L35" s="711"/>
      <c r="M35" s="711"/>
      <c r="N35" s="620">
        <f t="shared" si="11"/>
        <v>0</v>
      </c>
      <c r="O35" s="620">
        <f t="shared" si="12"/>
        <v>0</v>
      </c>
      <c r="P35" s="697"/>
      <c r="Q35" s="697"/>
      <c r="R35" s="620">
        <f t="shared" si="13"/>
        <v>0</v>
      </c>
    </row>
    <row r="36" spans="11:18" ht="15" customHeight="1">
      <c r="K36" s="712"/>
      <c r="L36" s="712"/>
      <c r="M36" s="712"/>
      <c r="N36" s="620">
        <f t="shared" si="11"/>
        <v>0</v>
      </c>
      <c r="O36" s="620">
        <f t="shared" si="12"/>
        <v>0</v>
      </c>
      <c r="P36" s="697"/>
      <c r="Q36" s="697"/>
      <c r="R36" s="620">
        <f t="shared" si="13"/>
        <v>0</v>
      </c>
    </row>
    <row r="37" spans="11:18" ht="15" customHeight="1">
      <c r="K37" s="412"/>
      <c r="L37" s="412"/>
      <c r="M37" s="412"/>
      <c r="N37" s="620">
        <f t="shared" si="11"/>
        <v>0</v>
      </c>
      <c r="O37" s="620">
        <f t="shared" si="12"/>
        <v>0</v>
      </c>
      <c r="P37" s="697"/>
      <c r="Q37" s="697"/>
      <c r="R37" s="620">
        <f t="shared" si="13"/>
        <v>0</v>
      </c>
    </row>
  </sheetData>
  <mergeCells count="4">
    <mergeCell ref="S1:T1"/>
    <mergeCell ref="S9:T9"/>
    <mergeCell ref="K27:M27"/>
    <mergeCell ref="N27:R27"/>
  </mergeCells>
  <conditionalFormatting sqref="N2:N24">
    <cfRule type="iconSet" priority="2">
      <iconSet>
        <cfvo type="percent" val="0"/>
        <cfvo type="num" val="1.45"/>
        <cfvo type="num" val="1.55"/>
      </iconSet>
    </cfRule>
  </conditionalFormatting>
  <conditionalFormatting sqref="O2:Q24">
    <cfRule type="dataBar" priority="1">
      <dataBar>
        <cfvo type="min"/>
        <cfvo type="max"/>
        <color rgb="FF63C384"/>
      </dataBar>
      <extLst>
        <ext xmlns:x14="http://schemas.microsoft.com/office/spreadsheetml/2009/9/main" uri="{B025F937-C7B1-47D3-B67F-A62EFF666E3E}">
          <x14:id>{C8FAFFAA-2896-43CF-945F-9FA9E9D4F641}</x14:id>
        </ext>
      </extLst>
    </cfRule>
  </conditionalFormatting>
  <pageMargins left="0.7" right="0.7" top="0.75" bottom="0.75" header="0.3" footer="0.3"/>
  <pageSetup scale="32" orientation="landscape" r:id="rId1"/>
  <legacyDrawing r:id="rId2"/>
  <extLst>
    <ext xmlns:x14="http://schemas.microsoft.com/office/spreadsheetml/2009/9/main" uri="{78C0D931-6437-407d-A8EE-F0AAD7539E65}">
      <x14:conditionalFormattings>
        <x14:conditionalFormatting xmlns:xm="http://schemas.microsoft.com/office/excel/2006/main">
          <x14:cfRule type="dataBar" id="{C8FAFFAA-2896-43CF-945F-9FA9E9D4F641}">
            <x14:dataBar minLength="0" maxLength="100" border="1" negativeBarBorderColorSameAsPositive="0">
              <x14:cfvo type="autoMin"/>
              <x14:cfvo type="autoMax"/>
              <x14:borderColor rgb="FF63C384"/>
              <x14:negativeFillColor rgb="FFFF0000"/>
              <x14:negativeBorderColor rgb="FFFF0000"/>
              <x14:axisColor rgb="FF000000"/>
            </x14:dataBar>
          </x14:cfRule>
          <xm:sqref>O2:Q24</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90E74-CB84-4637-A04D-BC4B62C43142}">
  <sheetPr codeName="Hoja24"/>
  <dimension ref="A1:B354"/>
  <sheetViews>
    <sheetView workbookViewId="0">
      <selection activeCell="D18" sqref="D18"/>
    </sheetView>
  </sheetViews>
  <sheetFormatPr baseColWidth="10" defaultRowHeight="15"/>
  <cols>
    <col min="1" max="1" width="18.85546875" style="617" bestFit="1" customWidth="1"/>
    <col min="2" max="2" width="15.5703125" style="618" customWidth="1"/>
  </cols>
  <sheetData>
    <row r="1" spans="1:2" ht="96" thickTop="1" thickBot="1">
      <c r="A1" s="605" t="s">
        <v>1037</v>
      </c>
      <c r="B1" s="606" t="s">
        <v>1038</v>
      </c>
    </row>
    <row r="2" spans="1:2" ht="16.5" thickTop="1" thickBot="1">
      <c r="A2" s="607" t="s">
        <v>777</v>
      </c>
      <c r="B2" s="608">
        <v>2.575817156600392</v>
      </c>
    </row>
    <row r="3" spans="1:2" ht="15.75" thickBot="1">
      <c r="A3" s="609" t="s">
        <v>1073</v>
      </c>
      <c r="B3" s="610">
        <v>2.0116431781360813</v>
      </c>
    </row>
    <row r="4" spans="1:2" ht="15.75" thickBot="1">
      <c r="A4" s="609" t="s">
        <v>778</v>
      </c>
      <c r="B4" s="610">
        <v>2.4311297386800597</v>
      </c>
    </row>
    <row r="5" spans="1:2" ht="15.75" thickBot="1">
      <c r="A5" s="609" t="s">
        <v>779</v>
      </c>
      <c r="B5" s="610">
        <v>3.3475691324292227</v>
      </c>
    </row>
    <row r="6" spans="1:2" ht="15.75" thickBot="1">
      <c r="A6" s="609" t="s">
        <v>780</v>
      </c>
      <c r="B6" s="610">
        <v>3.3475691324292227</v>
      </c>
    </row>
    <row r="7" spans="1:2" ht="15.75" thickBot="1">
      <c r="A7" s="609" t="s">
        <v>781</v>
      </c>
      <c r="B7" s="610">
        <v>3.3475691324292227</v>
      </c>
    </row>
    <row r="8" spans="1:2" ht="15.75" thickBot="1">
      <c r="A8" s="609" t="s">
        <v>782</v>
      </c>
      <c r="B8" s="610">
        <v>2.250838140132629</v>
      </c>
    </row>
    <row r="9" spans="1:2" ht="15.75" thickBot="1">
      <c r="A9" s="609" t="s">
        <v>783</v>
      </c>
      <c r="B9" s="610">
        <v>2.4340053566488669</v>
      </c>
    </row>
    <row r="10" spans="1:2" ht="15.75" thickBot="1">
      <c r="A10" s="609" t="s">
        <v>484</v>
      </c>
      <c r="B10" s="610">
        <v>2.0139004030891963</v>
      </c>
    </row>
    <row r="11" spans="1:2" ht="15.75" thickBot="1">
      <c r="A11" s="609" t="s">
        <v>483</v>
      </c>
      <c r="B11" s="610">
        <v>2.0139004030891963</v>
      </c>
    </row>
    <row r="12" spans="1:2" ht="15.75" thickBot="1">
      <c r="A12" s="609" t="s">
        <v>784</v>
      </c>
      <c r="B12" s="610">
        <v>2.3584614903215901</v>
      </c>
    </row>
    <row r="13" spans="1:2" ht="15.75" thickBot="1">
      <c r="A13" s="609" t="s">
        <v>785</v>
      </c>
      <c r="B13" s="610">
        <v>1.5802098484848486</v>
      </c>
    </row>
    <row r="14" spans="1:2" ht="15.75" thickBot="1">
      <c r="A14" s="609" t="s">
        <v>786</v>
      </c>
      <c r="B14" s="610">
        <v>0.85812632187327831</v>
      </c>
    </row>
    <row r="15" spans="1:2" ht="15.75" thickBot="1">
      <c r="A15" s="609" t="s">
        <v>787</v>
      </c>
      <c r="B15" s="610">
        <v>2.7099789521389899</v>
      </c>
    </row>
    <row r="16" spans="1:2" ht="15.75" thickBot="1">
      <c r="A16" s="609" t="s">
        <v>788</v>
      </c>
      <c r="B16" s="610">
        <v>2.7562115998688546</v>
      </c>
    </row>
    <row r="17" spans="1:2" ht="15.75" thickBot="1">
      <c r="A17" s="609" t="s">
        <v>458</v>
      </c>
      <c r="B17" s="610">
        <v>4.0902982093999443</v>
      </c>
    </row>
    <row r="18" spans="1:2" ht="15.75" thickBot="1">
      <c r="A18" s="609" t="s">
        <v>774</v>
      </c>
      <c r="B18" s="610">
        <v>4.0122526097789981</v>
      </c>
    </row>
    <row r="19" spans="1:2" ht="15.75" thickBot="1">
      <c r="A19" s="609" t="s">
        <v>789</v>
      </c>
      <c r="B19" s="610">
        <v>1.9310125104592957</v>
      </c>
    </row>
    <row r="20" spans="1:2" ht="15.75" thickBot="1">
      <c r="A20" s="609" t="s">
        <v>1074</v>
      </c>
      <c r="B20" s="610">
        <v>4.7903030885780886</v>
      </c>
    </row>
    <row r="21" spans="1:2" ht="15.75" thickBot="1">
      <c r="A21" s="609" t="s">
        <v>790</v>
      </c>
      <c r="B21" s="610">
        <v>1.5052642481523384</v>
      </c>
    </row>
    <row r="22" spans="1:2" ht="15.75" thickBot="1">
      <c r="A22" s="609" t="s">
        <v>457</v>
      </c>
      <c r="B22" s="610">
        <v>1.6160634197028978</v>
      </c>
    </row>
    <row r="23" spans="1:2" ht="15.75" thickBot="1">
      <c r="A23" s="609" t="s">
        <v>1039</v>
      </c>
      <c r="B23" s="610">
        <v>1.7501436811121767</v>
      </c>
    </row>
    <row r="24" spans="1:2" ht="15.75" thickBot="1">
      <c r="A24" s="609" t="s">
        <v>791</v>
      </c>
      <c r="B24" s="610">
        <v>2.1846820967856528</v>
      </c>
    </row>
    <row r="25" spans="1:2" ht="15.75" thickBot="1">
      <c r="A25" s="609" t="s">
        <v>775</v>
      </c>
      <c r="B25" s="610">
        <v>2.351687674393081</v>
      </c>
    </row>
    <row r="26" spans="1:2" ht="15.75" thickBot="1">
      <c r="A26" s="609" t="s">
        <v>466</v>
      </c>
      <c r="B26" s="610">
        <v>0.46303968531468537</v>
      </c>
    </row>
    <row r="27" spans="1:2" ht="15.75" thickBot="1">
      <c r="A27" s="609" t="s">
        <v>792</v>
      </c>
      <c r="B27" s="610">
        <v>0.46303968531468537</v>
      </c>
    </row>
    <row r="28" spans="1:2" ht="15.75" thickBot="1">
      <c r="A28" s="609" t="s">
        <v>793</v>
      </c>
      <c r="B28" s="610">
        <v>0.46303968531468537</v>
      </c>
    </row>
    <row r="29" spans="1:2" ht="15.75" thickBot="1">
      <c r="A29" s="609" t="s">
        <v>794</v>
      </c>
      <c r="B29" s="610">
        <v>0.83187417979338851</v>
      </c>
    </row>
    <row r="30" spans="1:2" ht="15.75" thickBot="1">
      <c r="A30" s="609" t="s">
        <v>795</v>
      </c>
      <c r="B30" s="610">
        <v>1.0400792130695065</v>
      </c>
    </row>
    <row r="31" spans="1:2" ht="15.75" thickBot="1">
      <c r="A31" s="609" t="s">
        <v>796</v>
      </c>
      <c r="B31" s="610">
        <v>1.354474511374232</v>
      </c>
    </row>
    <row r="32" spans="1:2" ht="15.75" thickBot="1">
      <c r="A32" s="609" t="s">
        <v>797</v>
      </c>
      <c r="B32" s="610">
        <v>1.2350042979275271</v>
      </c>
    </row>
    <row r="33" spans="1:2" ht="15.75" thickBot="1">
      <c r="A33" s="609" t="s">
        <v>798</v>
      </c>
      <c r="B33" s="610">
        <v>1.3151395262568872</v>
      </c>
    </row>
    <row r="34" spans="1:2" ht="15.75" thickBot="1">
      <c r="A34" s="609" t="s">
        <v>799</v>
      </c>
      <c r="B34" s="610">
        <v>3.5849919403899135</v>
      </c>
    </row>
    <row r="35" spans="1:2" ht="15.75" thickBot="1">
      <c r="A35" s="609" t="s">
        <v>800</v>
      </c>
      <c r="B35" s="610">
        <v>3.1971413323302964</v>
      </c>
    </row>
    <row r="36" spans="1:2" ht="15.75" thickBot="1">
      <c r="A36" s="609" t="s">
        <v>801</v>
      </c>
      <c r="B36" s="610">
        <v>3.1971413323302964</v>
      </c>
    </row>
    <row r="37" spans="1:2" ht="15.75" thickBot="1">
      <c r="A37" s="609" t="s">
        <v>802</v>
      </c>
      <c r="B37" s="610">
        <v>2.5968725524475524</v>
      </c>
    </row>
    <row r="38" spans="1:2" ht="15.75" thickBot="1">
      <c r="A38" s="609" t="s">
        <v>803</v>
      </c>
      <c r="B38" s="610">
        <v>3.5035665324645051</v>
      </c>
    </row>
    <row r="39" spans="1:2" ht="15.75" thickBot="1">
      <c r="A39" s="609" t="s">
        <v>804</v>
      </c>
      <c r="B39" s="610">
        <v>2.5968725524475524</v>
      </c>
    </row>
    <row r="40" spans="1:2" ht="15.75" thickBot="1">
      <c r="A40" s="609" t="s">
        <v>805</v>
      </c>
      <c r="B40" s="610">
        <v>4.6461751004273495</v>
      </c>
    </row>
    <row r="41" spans="1:2" ht="15.75" thickBot="1">
      <c r="A41" s="609" t="s">
        <v>806</v>
      </c>
      <c r="B41" s="610">
        <v>3.0069691332551751</v>
      </c>
    </row>
    <row r="42" spans="1:2" ht="15.75" thickBot="1">
      <c r="A42" s="609" t="s">
        <v>474</v>
      </c>
      <c r="B42" s="610">
        <v>2.4673091869965855</v>
      </c>
    </row>
    <row r="43" spans="1:2" ht="15.75" thickBot="1">
      <c r="A43" s="609" t="s">
        <v>807</v>
      </c>
      <c r="B43" s="610">
        <v>2.0299039313127651</v>
      </c>
    </row>
    <row r="44" spans="1:2" ht="15.75" thickBot="1">
      <c r="A44" s="609" t="s">
        <v>808</v>
      </c>
      <c r="B44" s="610">
        <v>2.8586939022525701</v>
      </c>
    </row>
    <row r="45" spans="1:2" ht="15.75" thickBot="1">
      <c r="A45" s="609" t="s">
        <v>809</v>
      </c>
      <c r="B45" s="610">
        <v>2.0680406950267369</v>
      </c>
    </row>
    <row r="46" spans="1:2" ht="15.75" thickBot="1">
      <c r="A46" s="609" t="s">
        <v>810</v>
      </c>
      <c r="B46" s="610">
        <v>2.396047583034751</v>
      </c>
    </row>
    <row r="47" spans="1:2" ht="15.75" thickBot="1">
      <c r="A47" s="609" t="s">
        <v>473</v>
      </c>
      <c r="B47" s="610">
        <v>2.9788627151509659</v>
      </c>
    </row>
    <row r="48" spans="1:2" ht="15.75" thickBot="1">
      <c r="A48" s="611" t="s">
        <v>1040</v>
      </c>
      <c r="B48" s="612">
        <v>3.3553530683751531</v>
      </c>
    </row>
    <row r="49" spans="1:2" ht="15.75" thickBot="1">
      <c r="A49" s="609" t="s">
        <v>459</v>
      </c>
      <c r="B49" s="610">
        <v>1.67171873739667</v>
      </c>
    </row>
    <row r="50" spans="1:2" ht="15.75" thickBot="1">
      <c r="A50" s="609" t="s">
        <v>460</v>
      </c>
      <c r="B50" s="610">
        <v>1.6907719913947163</v>
      </c>
    </row>
    <row r="51" spans="1:2" ht="15.75" thickBot="1">
      <c r="A51" s="609" t="s">
        <v>811</v>
      </c>
      <c r="B51" s="610">
        <v>1.6907719913947163</v>
      </c>
    </row>
    <row r="52" spans="1:2" ht="15.75" thickBot="1">
      <c r="A52" s="609" t="s">
        <v>463</v>
      </c>
      <c r="B52" s="610">
        <v>3.9848085892463092</v>
      </c>
    </row>
    <row r="53" spans="1:2" ht="15.75" thickBot="1">
      <c r="A53" s="609" t="s">
        <v>813</v>
      </c>
      <c r="B53" s="610">
        <v>2.7769563275847897</v>
      </c>
    </row>
    <row r="54" spans="1:2" ht="15.75" thickBot="1">
      <c r="A54" s="609" t="s">
        <v>812</v>
      </c>
      <c r="B54" s="610">
        <v>4.0140958412742815</v>
      </c>
    </row>
    <row r="55" spans="1:2" ht="15.75" thickBot="1">
      <c r="A55" s="609" t="s">
        <v>1075</v>
      </c>
      <c r="B55" s="610">
        <v>4.1594065823002753</v>
      </c>
    </row>
    <row r="56" spans="1:2" ht="15.75" thickBot="1">
      <c r="A56" s="609" t="s">
        <v>814</v>
      </c>
      <c r="B56" s="610">
        <v>3.1452631708945349</v>
      </c>
    </row>
    <row r="57" spans="1:2" ht="15.75" thickBot="1">
      <c r="A57" s="609" t="s">
        <v>815</v>
      </c>
      <c r="B57" s="610">
        <v>3.1035592776207221</v>
      </c>
    </row>
    <row r="58" spans="1:2" ht="15.75" thickBot="1">
      <c r="A58" s="609" t="s">
        <v>816</v>
      </c>
      <c r="B58" s="610">
        <v>3.4792346611043974</v>
      </c>
    </row>
    <row r="59" spans="1:2" ht="15.75" thickBot="1">
      <c r="A59" s="609" t="s">
        <v>462</v>
      </c>
      <c r="B59" s="610">
        <v>2.9679574204401087</v>
      </c>
    </row>
    <row r="60" spans="1:2" ht="15.75" thickBot="1">
      <c r="A60" s="609" t="s">
        <v>817</v>
      </c>
      <c r="B60" s="610">
        <v>2.9679574204401087</v>
      </c>
    </row>
    <row r="61" spans="1:2" ht="15.75" thickBot="1">
      <c r="A61" s="609" t="s">
        <v>461</v>
      </c>
      <c r="B61" s="610">
        <v>2.151602738927739</v>
      </c>
    </row>
    <row r="62" spans="1:2" ht="15.75" thickBot="1">
      <c r="A62" s="609" t="s">
        <v>1041</v>
      </c>
      <c r="B62" s="610">
        <v>1.5012642773892777</v>
      </c>
    </row>
    <row r="63" spans="1:2" ht="15.75" thickBot="1">
      <c r="A63" s="609" t="s">
        <v>471</v>
      </c>
      <c r="B63" s="610">
        <v>2.9622186922863643</v>
      </c>
    </row>
    <row r="64" spans="1:2" ht="15.75" thickBot="1">
      <c r="A64" s="613" t="s">
        <v>438</v>
      </c>
      <c r="B64" s="614">
        <v>2.1526865384615386</v>
      </c>
    </row>
    <row r="65" spans="1:2" ht="15.75" thickBot="1">
      <c r="A65" s="609" t="s">
        <v>818</v>
      </c>
      <c r="B65" s="610">
        <v>3.4514526199046456</v>
      </c>
    </row>
    <row r="66" spans="1:2" ht="15.75" thickBot="1">
      <c r="A66" s="611" t="s">
        <v>439</v>
      </c>
      <c r="B66" s="612">
        <v>3.8654591869979513</v>
      </c>
    </row>
    <row r="67" spans="1:2" ht="15.75" thickBot="1">
      <c r="A67" s="611" t="s">
        <v>819</v>
      </c>
      <c r="B67" s="612">
        <v>3.8654591869979513</v>
      </c>
    </row>
    <row r="68" spans="1:2" ht="15.75" thickBot="1">
      <c r="A68" s="609" t="s">
        <v>820</v>
      </c>
      <c r="B68" s="610">
        <v>2.151602738927739</v>
      </c>
    </row>
    <row r="69" spans="1:2" ht="15.75" thickBot="1">
      <c r="A69" s="609" t="s">
        <v>821</v>
      </c>
      <c r="B69" s="610">
        <v>1.9997150932400931</v>
      </c>
    </row>
    <row r="70" spans="1:2" ht="15.75" thickBot="1">
      <c r="A70" s="609" t="s">
        <v>822</v>
      </c>
      <c r="B70" s="610">
        <v>1.9997150932400931</v>
      </c>
    </row>
    <row r="71" spans="1:2" ht="15.75" thickBot="1">
      <c r="A71" s="609" t="s">
        <v>823</v>
      </c>
      <c r="B71" s="610">
        <v>4.3629299055248287</v>
      </c>
    </row>
    <row r="72" spans="1:2" ht="15.75" thickBot="1">
      <c r="A72" s="609" t="s">
        <v>1042</v>
      </c>
      <c r="B72" s="610">
        <v>3.7087988380610515</v>
      </c>
    </row>
    <row r="73" spans="1:2" ht="15.75" thickBot="1">
      <c r="A73" s="609" t="s">
        <v>824</v>
      </c>
      <c r="B73" s="610">
        <v>4.4347023921462361</v>
      </c>
    </row>
    <row r="74" spans="1:2" ht="15.75" thickBot="1">
      <c r="A74" s="609" t="s">
        <v>1076</v>
      </c>
      <c r="B74" s="610">
        <v>3.6662282333873177</v>
      </c>
    </row>
    <row r="75" spans="1:2" ht="15.75" thickBot="1">
      <c r="A75" s="609" t="s">
        <v>1043</v>
      </c>
      <c r="B75" s="610">
        <v>3.8882319263475127</v>
      </c>
    </row>
    <row r="76" spans="1:2" ht="15.75" thickBot="1">
      <c r="A76" s="609" t="s">
        <v>1044</v>
      </c>
      <c r="B76" s="610">
        <v>4.126160242628532</v>
      </c>
    </row>
    <row r="77" spans="1:2" ht="15.75" thickBot="1">
      <c r="A77" s="615" t="s">
        <v>1077</v>
      </c>
      <c r="B77" s="616">
        <v>3.55</v>
      </c>
    </row>
    <row r="78" spans="1:2" ht="15.75" thickBot="1">
      <c r="A78" s="611" t="s">
        <v>825</v>
      </c>
      <c r="B78" s="612">
        <v>3.4731579732134223</v>
      </c>
    </row>
    <row r="79" spans="1:2" ht="15.75" thickBot="1">
      <c r="A79" s="609" t="s">
        <v>826</v>
      </c>
      <c r="B79" s="610">
        <v>3.5545152673864822</v>
      </c>
    </row>
    <row r="80" spans="1:2" ht="15.75" thickBot="1">
      <c r="A80" s="615" t="s">
        <v>1078</v>
      </c>
      <c r="B80" s="616">
        <v>4.0091198419615086</v>
      </c>
    </row>
    <row r="81" spans="1:2" ht="15.75" thickBot="1">
      <c r="A81" s="609" t="s">
        <v>827</v>
      </c>
      <c r="B81" s="610">
        <v>3.9941518295807628</v>
      </c>
    </row>
    <row r="82" spans="1:2" ht="15.75" thickBot="1">
      <c r="A82" s="609" t="s">
        <v>828</v>
      </c>
      <c r="B82" s="610">
        <v>6.346780260040231</v>
      </c>
    </row>
    <row r="83" spans="1:2" ht="15.75" thickBot="1">
      <c r="A83" s="609" t="s">
        <v>829</v>
      </c>
      <c r="B83" s="610">
        <v>3.6434251838554919</v>
      </c>
    </row>
    <row r="84" spans="1:2" ht="15.75" thickBot="1">
      <c r="A84" s="611" t="s">
        <v>830</v>
      </c>
      <c r="B84" s="612">
        <v>2.6140531153460493</v>
      </c>
    </row>
    <row r="85" spans="1:2" ht="15.75" thickBot="1">
      <c r="A85" s="611" t="s">
        <v>831</v>
      </c>
      <c r="B85" s="612">
        <v>3.6434251838554919</v>
      </c>
    </row>
    <row r="86" spans="1:2" ht="15.75" thickBot="1">
      <c r="A86" s="609" t="s">
        <v>832</v>
      </c>
      <c r="B86" s="610">
        <v>2.6769505729398788</v>
      </c>
    </row>
    <row r="87" spans="1:2" ht="15.75" thickBot="1">
      <c r="A87" s="609" t="s">
        <v>833</v>
      </c>
      <c r="B87" s="610">
        <v>3.6811904394236294</v>
      </c>
    </row>
    <row r="88" spans="1:2" ht="15.75" thickBot="1">
      <c r="A88" s="609" t="s">
        <v>834</v>
      </c>
      <c r="B88" s="610">
        <v>3.446978804626919</v>
      </c>
    </row>
    <row r="89" spans="1:2" ht="15.75" thickBot="1">
      <c r="A89" s="609" t="s">
        <v>835</v>
      </c>
      <c r="B89" s="610">
        <v>3.4662736764217912</v>
      </c>
    </row>
    <row r="90" spans="1:2" ht="15.75" thickBot="1">
      <c r="A90" s="609" t="s">
        <v>836</v>
      </c>
      <c r="B90" s="610">
        <v>4.1018028300047238</v>
      </c>
    </row>
    <row r="91" spans="1:2" ht="15.75" thickBot="1">
      <c r="A91" s="609" t="s">
        <v>837</v>
      </c>
      <c r="B91" s="610">
        <v>3.6158530378830616</v>
      </c>
    </row>
    <row r="92" spans="1:2" ht="15.75" thickBot="1">
      <c r="A92" s="615" t="s">
        <v>1079</v>
      </c>
      <c r="B92" s="616">
        <v>3.5545152673864822</v>
      </c>
    </row>
    <row r="93" spans="1:2" ht="15.75" thickBot="1">
      <c r="A93" s="609" t="s">
        <v>838</v>
      </c>
      <c r="B93" s="610">
        <v>3.4731579732134223</v>
      </c>
    </row>
    <row r="94" spans="1:2" ht="15.75" thickBot="1">
      <c r="A94" s="609" t="s">
        <v>1045</v>
      </c>
      <c r="B94" s="610">
        <v>3.7879376457955489</v>
      </c>
    </row>
    <row r="95" spans="1:2" ht="15.75" thickBot="1">
      <c r="A95" s="609" t="s">
        <v>1046</v>
      </c>
      <c r="B95" s="610">
        <v>3.9143893683724831</v>
      </c>
    </row>
    <row r="96" spans="1:2" ht="15.75" thickBot="1">
      <c r="A96" s="609" t="s">
        <v>1080</v>
      </c>
      <c r="B96" s="610">
        <v>3.9640693683724835</v>
      </c>
    </row>
    <row r="97" spans="1:2" ht="15.75" thickBot="1">
      <c r="A97" s="609" t="s">
        <v>1047</v>
      </c>
      <c r="B97" s="610">
        <v>3.9579903758702222</v>
      </c>
    </row>
    <row r="98" spans="1:2" ht="15.75" thickBot="1">
      <c r="A98" s="609" t="s">
        <v>1081</v>
      </c>
      <c r="B98" s="610">
        <v>3.9877983758702227</v>
      </c>
    </row>
    <row r="99" spans="1:2" ht="15.75" thickBot="1">
      <c r="A99" s="609" t="s">
        <v>839</v>
      </c>
      <c r="B99" s="610">
        <v>2.1367590479480114</v>
      </c>
    </row>
    <row r="100" spans="1:2" ht="15.75" thickBot="1">
      <c r="A100" s="609" t="s">
        <v>840</v>
      </c>
      <c r="B100" s="610">
        <v>2.1302179432229642</v>
      </c>
    </row>
    <row r="101" spans="1:2" ht="15.75" thickBot="1">
      <c r="A101" s="609" t="s">
        <v>841</v>
      </c>
      <c r="B101" s="610">
        <v>4.3842722968775156</v>
      </c>
    </row>
    <row r="102" spans="1:2" ht="15.75" thickBot="1">
      <c r="A102" s="609" t="s">
        <v>1082</v>
      </c>
      <c r="B102" s="610">
        <v>4.4173922968775159</v>
      </c>
    </row>
    <row r="103" spans="1:2" ht="15.75" thickBot="1">
      <c r="A103" s="609" t="s">
        <v>842</v>
      </c>
      <c r="B103" s="610">
        <v>4.3842722968775156</v>
      </c>
    </row>
    <row r="104" spans="1:2" ht="15.75" thickBot="1">
      <c r="A104" s="609" t="s">
        <v>1083</v>
      </c>
      <c r="B104" s="610">
        <v>4.4173922968775159</v>
      </c>
    </row>
    <row r="105" spans="1:2" ht="15.75" thickBot="1">
      <c r="A105" s="609" t="s">
        <v>843</v>
      </c>
      <c r="B105" s="610">
        <v>4.1722092843610286</v>
      </c>
    </row>
    <row r="106" spans="1:2" ht="15.75" thickBot="1">
      <c r="A106" s="609" t="s">
        <v>1048</v>
      </c>
      <c r="B106" s="610">
        <v>3.8134063493873747</v>
      </c>
    </row>
    <row r="107" spans="1:2" ht="15.75" thickBot="1">
      <c r="A107" s="609" t="s">
        <v>1049</v>
      </c>
      <c r="B107" s="610">
        <v>3.6158530378830616</v>
      </c>
    </row>
    <row r="108" spans="1:2" ht="15.75" thickBot="1">
      <c r="A108" s="611" t="s">
        <v>1050</v>
      </c>
      <c r="B108" s="612">
        <v>4.0466043868364423</v>
      </c>
    </row>
    <row r="109" spans="1:2" ht="15.75" thickBot="1">
      <c r="A109" s="609" t="s">
        <v>1084</v>
      </c>
      <c r="B109" s="610">
        <v>3.5306407735900351</v>
      </c>
    </row>
    <row r="110" spans="1:2" ht="15.75" thickBot="1">
      <c r="A110" s="609" t="s">
        <v>1051</v>
      </c>
      <c r="B110" s="610">
        <v>3.434845494353262</v>
      </c>
    </row>
    <row r="111" spans="1:2" ht="15.75" thickBot="1">
      <c r="A111" s="609" t="s">
        <v>844</v>
      </c>
      <c r="B111" s="610">
        <v>4.0409949692185396</v>
      </c>
    </row>
    <row r="112" spans="1:2" ht="15.75" thickBot="1">
      <c r="A112" s="609" t="s">
        <v>845</v>
      </c>
      <c r="B112" s="610">
        <v>3.6662282333873177</v>
      </c>
    </row>
    <row r="113" spans="1:2" ht="15.75" thickBot="1">
      <c r="A113" s="611" t="s">
        <v>467</v>
      </c>
      <c r="B113" s="612">
        <v>3.3174023737600038</v>
      </c>
    </row>
    <row r="114" spans="1:2" ht="15.75" thickBot="1">
      <c r="A114" s="611" t="s">
        <v>846</v>
      </c>
      <c r="B114" s="612">
        <v>3.4212931851879733</v>
      </c>
    </row>
    <row r="115" spans="1:2" ht="15.75" thickBot="1">
      <c r="A115" s="609" t="s">
        <v>1052</v>
      </c>
      <c r="B115" s="610">
        <v>3.2946881253878382</v>
      </c>
    </row>
    <row r="116" spans="1:2" ht="15.75" thickBot="1">
      <c r="A116" s="609" t="s">
        <v>847</v>
      </c>
      <c r="B116" s="610">
        <v>3.6643629833735436</v>
      </c>
    </row>
    <row r="117" spans="1:2" ht="15.75" thickBot="1">
      <c r="A117" s="609" t="s">
        <v>848</v>
      </c>
      <c r="B117" s="610">
        <v>5.4252861550921816</v>
      </c>
    </row>
    <row r="118" spans="1:2" ht="15.75" thickBot="1">
      <c r="A118" s="609" t="s">
        <v>1053</v>
      </c>
      <c r="B118" s="610">
        <v>3.7798992585396629</v>
      </c>
    </row>
    <row r="119" spans="1:2" ht="15.75" thickBot="1">
      <c r="A119" s="609" t="s">
        <v>849</v>
      </c>
      <c r="B119" s="610">
        <v>3.7258221316371136</v>
      </c>
    </row>
    <row r="120" spans="1:2" ht="15.75" thickBot="1">
      <c r="A120" s="609" t="s">
        <v>1085</v>
      </c>
      <c r="B120" s="610">
        <v>3.8322151953963366</v>
      </c>
    </row>
    <row r="121" spans="1:2" ht="15.75" thickBot="1">
      <c r="A121" s="609" t="s">
        <v>1054</v>
      </c>
      <c r="B121" s="610">
        <v>3.7424071211118615</v>
      </c>
    </row>
    <row r="122" spans="1:2" ht="15.75" thickBot="1">
      <c r="A122" s="609" t="s">
        <v>1055</v>
      </c>
      <c r="B122" s="610">
        <v>4.0621234442037073</v>
      </c>
    </row>
    <row r="123" spans="1:2" ht="15.75" thickBot="1">
      <c r="A123" s="609" t="s">
        <v>1056</v>
      </c>
      <c r="B123" s="610">
        <v>3.6593916401048419</v>
      </c>
    </row>
    <row r="124" spans="1:2" ht="15.75" thickBot="1">
      <c r="A124" s="609" t="s">
        <v>850</v>
      </c>
      <c r="B124" s="610">
        <v>3.2604551289982164</v>
      </c>
    </row>
    <row r="125" spans="1:2" ht="15.75" thickBot="1">
      <c r="A125" s="609" t="s">
        <v>851</v>
      </c>
      <c r="B125" s="610">
        <v>5.4252861550921816</v>
      </c>
    </row>
    <row r="126" spans="1:2" ht="15.75" thickBot="1">
      <c r="A126" s="611" t="s">
        <v>852</v>
      </c>
      <c r="B126" s="612">
        <v>4.1409036837974842</v>
      </c>
    </row>
    <row r="127" spans="1:2" ht="15.75" thickBot="1">
      <c r="A127" s="609" t="s">
        <v>853</v>
      </c>
      <c r="B127" s="610">
        <v>3.9378473751814651</v>
      </c>
    </row>
    <row r="128" spans="1:2" ht="15.75" thickBot="1">
      <c r="A128" s="609" t="s">
        <v>854</v>
      </c>
      <c r="B128" s="610">
        <v>4.578302505827506</v>
      </c>
    </row>
    <row r="129" spans="1:2" ht="15.75" thickBot="1">
      <c r="A129" s="609" t="s">
        <v>855</v>
      </c>
      <c r="B129" s="610">
        <v>3.8179225653402433</v>
      </c>
    </row>
    <row r="130" spans="1:2" ht="15.75" thickBot="1">
      <c r="A130" s="609" t="s">
        <v>1057</v>
      </c>
      <c r="B130" s="610">
        <v>3.5500604932370199</v>
      </c>
    </row>
    <row r="131" spans="1:2" ht="15.75" thickBot="1">
      <c r="A131" s="609" t="s">
        <v>1086</v>
      </c>
      <c r="B131" s="610">
        <v>3.5898044932370201</v>
      </c>
    </row>
    <row r="132" spans="1:2" ht="15.75" thickBot="1">
      <c r="A132" s="609" t="s">
        <v>1087</v>
      </c>
      <c r="B132" s="610">
        <v>3.7468773813170406</v>
      </c>
    </row>
    <row r="133" spans="1:2" ht="15.75" thickBot="1">
      <c r="A133" s="609" t="s">
        <v>856</v>
      </c>
      <c r="B133" s="610">
        <v>1.98176802650801</v>
      </c>
    </row>
    <row r="134" spans="1:2" ht="15.75" thickBot="1">
      <c r="A134" s="609" t="s">
        <v>857</v>
      </c>
      <c r="B134" s="610">
        <v>2.0209128737278514</v>
      </c>
    </row>
    <row r="135" spans="1:2" ht="15.75" thickBot="1">
      <c r="A135" s="609" t="s">
        <v>858</v>
      </c>
      <c r="B135" s="610">
        <v>0.67375060759968985</v>
      </c>
    </row>
    <row r="136" spans="1:2" ht="15.75" thickBot="1">
      <c r="A136" s="609" t="s">
        <v>859</v>
      </c>
      <c r="B136" s="610">
        <v>1.9709425104859788</v>
      </c>
    </row>
    <row r="137" spans="1:2" ht="15.75" thickBot="1">
      <c r="A137" s="609" t="s">
        <v>860</v>
      </c>
      <c r="B137" s="610">
        <v>4.3163086458164299</v>
      </c>
    </row>
    <row r="138" spans="1:2" ht="15.75" thickBot="1">
      <c r="A138" s="609" t="s">
        <v>861</v>
      </c>
      <c r="B138" s="610">
        <v>4.1920647064224905</v>
      </c>
    </row>
    <row r="139" spans="1:2" ht="15.75" thickBot="1">
      <c r="A139" s="609" t="s">
        <v>862</v>
      </c>
      <c r="B139" s="610">
        <v>4.2414055599869469</v>
      </c>
    </row>
    <row r="140" spans="1:2" ht="15.75" thickBot="1">
      <c r="A140" s="609" t="s">
        <v>863</v>
      </c>
      <c r="B140" s="610">
        <v>3.7126103802509141</v>
      </c>
    </row>
    <row r="141" spans="1:2" ht="15.75" thickBot="1">
      <c r="A141" s="609" t="s">
        <v>864</v>
      </c>
      <c r="B141" s="610">
        <v>3.7126103802509141</v>
      </c>
    </row>
    <row r="142" spans="1:2" ht="15.75" thickBot="1">
      <c r="A142" s="609" t="s">
        <v>865</v>
      </c>
      <c r="B142" s="610">
        <v>2.4248709141483893</v>
      </c>
    </row>
    <row r="143" spans="1:2" ht="15.75" thickBot="1">
      <c r="A143" s="611" t="s">
        <v>866</v>
      </c>
      <c r="B143" s="612">
        <v>2.2618647369922122</v>
      </c>
    </row>
    <row r="144" spans="1:2" ht="15.75" thickBot="1">
      <c r="A144" s="609" t="s">
        <v>477</v>
      </c>
      <c r="B144" s="610">
        <v>2.0578626241179281</v>
      </c>
    </row>
    <row r="145" spans="1:2" ht="15.75" thickBot="1">
      <c r="A145" s="611" t="s">
        <v>867</v>
      </c>
      <c r="B145" s="612">
        <v>1.7848678841103343</v>
      </c>
    </row>
    <row r="146" spans="1:2" ht="15.75" thickBot="1">
      <c r="A146" s="609" t="s">
        <v>868</v>
      </c>
      <c r="B146" s="610">
        <v>1.1701962770065517</v>
      </c>
    </row>
    <row r="147" spans="1:2" ht="15.75" thickBot="1">
      <c r="A147" s="609" t="s">
        <v>869</v>
      </c>
      <c r="B147" s="610">
        <v>6.4468284357570473</v>
      </c>
    </row>
    <row r="148" spans="1:2" ht="15.75" thickBot="1">
      <c r="A148" s="609" t="s">
        <v>870</v>
      </c>
      <c r="B148" s="610">
        <v>0.40424825174825174</v>
      </c>
    </row>
    <row r="149" spans="1:2" ht="15.75" thickBot="1">
      <c r="A149" s="609" t="s">
        <v>871</v>
      </c>
      <c r="B149" s="610">
        <v>0.16275730885780881</v>
      </c>
    </row>
    <row r="150" spans="1:2" ht="15.75" thickBot="1">
      <c r="A150" s="609" t="s">
        <v>872</v>
      </c>
      <c r="B150" s="610">
        <v>1.0093959584162358</v>
      </c>
    </row>
    <row r="151" spans="1:2" ht="15.75" thickBot="1">
      <c r="A151" s="609" t="s">
        <v>485</v>
      </c>
      <c r="B151" s="610">
        <v>0.76567635100301279</v>
      </c>
    </row>
    <row r="152" spans="1:2" ht="15.75" thickBot="1">
      <c r="A152" s="609" t="s">
        <v>873</v>
      </c>
      <c r="B152" s="610">
        <v>0.69014742301864795</v>
      </c>
    </row>
    <row r="153" spans="1:2" ht="15.75" thickBot="1">
      <c r="A153" s="609" t="s">
        <v>874</v>
      </c>
      <c r="B153" s="610">
        <v>6.4468284357570473</v>
      </c>
    </row>
    <row r="154" spans="1:2" ht="15.75" thickBot="1">
      <c r="A154" s="609" t="s">
        <v>445</v>
      </c>
      <c r="B154" s="610">
        <v>2.8616487697365089</v>
      </c>
    </row>
    <row r="155" spans="1:2" ht="15.75" thickBot="1">
      <c r="A155" s="609" t="s">
        <v>875</v>
      </c>
      <c r="B155" s="610">
        <v>3.4653488707761677</v>
      </c>
    </row>
    <row r="156" spans="1:2" ht="15.75" thickBot="1">
      <c r="A156" s="609" t="s">
        <v>876</v>
      </c>
      <c r="B156" s="610">
        <v>2.4609005238196038</v>
      </c>
    </row>
    <row r="157" spans="1:2" ht="15.75" thickBot="1">
      <c r="A157" s="611" t="s">
        <v>877</v>
      </c>
      <c r="B157" s="612">
        <v>373.33682690486597</v>
      </c>
    </row>
    <row r="158" spans="1:2" ht="15.75" thickBot="1">
      <c r="A158" s="609" t="s">
        <v>878</v>
      </c>
      <c r="B158" s="610">
        <v>480.5447782937548</v>
      </c>
    </row>
    <row r="159" spans="1:2" ht="15.75" thickBot="1">
      <c r="A159" s="609" t="s">
        <v>879</v>
      </c>
      <c r="B159" s="610">
        <v>578.77657342657346</v>
      </c>
    </row>
    <row r="160" spans="1:2" ht="15.75" thickBot="1">
      <c r="A160" s="609" t="s">
        <v>449</v>
      </c>
      <c r="B160" s="610">
        <v>2.5100565621330881</v>
      </c>
    </row>
    <row r="161" spans="1:2" ht="15.75" thickBot="1">
      <c r="A161" s="609" t="s">
        <v>880</v>
      </c>
      <c r="B161" s="610">
        <v>2.0766269613042914</v>
      </c>
    </row>
    <row r="162" spans="1:2" ht="15.75" thickBot="1">
      <c r="A162" s="609" t="s">
        <v>881</v>
      </c>
      <c r="B162" s="610">
        <v>3.1250438487522594</v>
      </c>
    </row>
    <row r="163" spans="1:2" ht="15.75" thickBot="1">
      <c r="A163" s="609" t="s">
        <v>465</v>
      </c>
      <c r="B163" s="610">
        <v>1.4102838764215053</v>
      </c>
    </row>
    <row r="164" spans="1:2" ht="15.75" thickBot="1">
      <c r="A164" s="609" t="s">
        <v>882</v>
      </c>
      <c r="B164" s="610">
        <v>1.772275651906619</v>
      </c>
    </row>
    <row r="165" spans="1:2" ht="15.75" thickBot="1">
      <c r="A165" s="609" t="s">
        <v>883</v>
      </c>
      <c r="B165" s="610">
        <v>2.0571193703691812</v>
      </c>
    </row>
    <row r="166" spans="1:2" ht="15.75" thickBot="1">
      <c r="A166" s="609" t="s">
        <v>884</v>
      </c>
      <c r="B166" s="610">
        <v>5.0989368825077692</v>
      </c>
    </row>
    <row r="167" spans="1:2" ht="15.75" thickBot="1">
      <c r="A167" s="609" t="s">
        <v>885</v>
      </c>
      <c r="B167" s="610">
        <v>5.0989368825077692</v>
      </c>
    </row>
    <row r="168" spans="1:2" ht="15.75" thickBot="1">
      <c r="A168" s="609" t="s">
        <v>886</v>
      </c>
      <c r="B168" s="610">
        <v>2.4338257280935225</v>
      </c>
    </row>
    <row r="169" spans="1:2" ht="15.75" thickBot="1">
      <c r="A169" s="609" t="s">
        <v>887</v>
      </c>
      <c r="B169" s="610">
        <v>4.5534531984354025</v>
      </c>
    </row>
    <row r="170" spans="1:2" ht="15.75" thickBot="1">
      <c r="A170" s="609" t="s">
        <v>888</v>
      </c>
      <c r="B170" s="610">
        <v>5.0375752896800154</v>
      </c>
    </row>
    <row r="171" spans="1:2" ht="15.75" thickBot="1">
      <c r="A171" s="609" t="s">
        <v>1058</v>
      </c>
      <c r="B171" s="610">
        <v>5.4625731043020247</v>
      </c>
    </row>
    <row r="172" spans="1:2" ht="15.75" thickBot="1">
      <c r="A172" s="609" t="s">
        <v>1088</v>
      </c>
      <c r="B172" s="610">
        <v>3.2030305197605862</v>
      </c>
    </row>
    <row r="173" spans="1:2" ht="15.75" thickBot="1">
      <c r="A173" s="609" t="s">
        <v>889</v>
      </c>
      <c r="B173" s="610">
        <v>12.111536048104295</v>
      </c>
    </row>
    <row r="174" spans="1:2" ht="15.75" thickBot="1">
      <c r="A174" s="609" t="s">
        <v>1059</v>
      </c>
      <c r="B174" s="610">
        <v>4.2490340486970233</v>
      </c>
    </row>
    <row r="175" spans="1:2" ht="15.75" thickBot="1">
      <c r="A175" s="609" t="s">
        <v>1089</v>
      </c>
      <c r="B175" s="610">
        <v>3.3627492317122711</v>
      </c>
    </row>
    <row r="176" spans="1:2" ht="15.75" thickBot="1">
      <c r="A176" s="609" t="s">
        <v>1060</v>
      </c>
      <c r="B176" s="610">
        <v>6.5460315730031962</v>
      </c>
    </row>
    <row r="177" spans="1:2" ht="15.75" thickBot="1">
      <c r="A177" s="609" t="s">
        <v>890</v>
      </c>
      <c r="B177" s="610">
        <v>2.7718370557716145</v>
      </c>
    </row>
    <row r="178" spans="1:2" ht="15.75" thickBot="1">
      <c r="A178" s="609" t="s">
        <v>891</v>
      </c>
      <c r="B178" s="610">
        <v>1.6239897910289522</v>
      </c>
    </row>
    <row r="179" spans="1:2" ht="15.75" thickBot="1">
      <c r="A179" s="609" t="s">
        <v>892</v>
      </c>
      <c r="B179" s="610">
        <v>1.7534160197380273</v>
      </c>
    </row>
    <row r="180" spans="1:2" ht="15.75" thickBot="1">
      <c r="A180" s="609" t="s">
        <v>893</v>
      </c>
      <c r="B180" s="610">
        <v>2.0122684771561774</v>
      </c>
    </row>
    <row r="181" spans="1:2" ht="15.75" thickBot="1">
      <c r="A181" s="609" t="s">
        <v>894</v>
      </c>
      <c r="B181" s="610">
        <v>3.0476783068287769</v>
      </c>
    </row>
    <row r="182" spans="1:2" ht="15.75" thickBot="1">
      <c r="A182" s="609" t="s">
        <v>895</v>
      </c>
      <c r="B182" s="610">
        <v>1.1603410534135057</v>
      </c>
    </row>
    <row r="183" spans="1:2" ht="15.75" thickBot="1">
      <c r="A183" s="609" t="s">
        <v>896</v>
      </c>
      <c r="B183" s="610">
        <v>3.848666732904217</v>
      </c>
    </row>
    <row r="184" spans="1:2" ht="15.75" thickBot="1">
      <c r="A184" s="609" t="s">
        <v>897</v>
      </c>
      <c r="B184" s="610">
        <v>3.3515734848484851</v>
      </c>
    </row>
    <row r="185" spans="1:2" ht="15.75" thickBot="1">
      <c r="A185" s="609" t="s">
        <v>898</v>
      </c>
      <c r="B185" s="610">
        <v>0.77842790599574418</v>
      </c>
    </row>
    <row r="186" spans="1:2" ht="15.75" thickBot="1">
      <c r="A186" s="609" t="s">
        <v>899</v>
      </c>
      <c r="B186" s="610">
        <v>0.77842790599574418</v>
      </c>
    </row>
    <row r="187" spans="1:2" ht="15.75" thickBot="1">
      <c r="A187" s="609" t="s">
        <v>900</v>
      </c>
      <c r="B187" s="610">
        <v>3.3515734848484851</v>
      </c>
    </row>
    <row r="188" spans="1:2" ht="15.75" thickBot="1">
      <c r="A188" s="609" t="s">
        <v>901</v>
      </c>
      <c r="B188" s="610">
        <v>0.77621612204000345</v>
      </c>
    </row>
    <row r="189" spans="1:2" ht="15.75" thickBot="1">
      <c r="A189" s="609" t="s">
        <v>902</v>
      </c>
      <c r="B189" s="610">
        <v>3.2843823426573424</v>
      </c>
    </row>
    <row r="190" spans="1:2" ht="15.75" thickBot="1">
      <c r="A190" s="609" t="s">
        <v>903</v>
      </c>
      <c r="B190" s="610">
        <v>3.2843823426573424</v>
      </c>
    </row>
    <row r="191" spans="1:2" ht="15.75" thickBot="1">
      <c r="A191" s="609" t="s">
        <v>904</v>
      </c>
      <c r="B191" s="610">
        <v>3.2843823426573424</v>
      </c>
    </row>
    <row r="192" spans="1:2" ht="15.75" thickBot="1">
      <c r="A192" s="609" t="s">
        <v>905</v>
      </c>
      <c r="B192" s="610">
        <v>2.2832168414918415</v>
      </c>
    </row>
    <row r="193" spans="1:2" ht="15.75" thickBot="1">
      <c r="A193" s="609" t="s">
        <v>906</v>
      </c>
      <c r="B193" s="610">
        <v>2.2832168414918415</v>
      </c>
    </row>
    <row r="194" spans="1:2" ht="15.75" thickBot="1">
      <c r="A194" s="609" t="s">
        <v>1061</v>
      </c>
      <c r="B194" s="610">
        <v>2.9144797777777782</v>
      </c>
    </row>
    <row r="195" spans="1:2" ht="15.75" thickBot="1">
      <c r="A195" s="609" t="s">
        <v>1062</v>
      </c>
      <c r="B195" s="610">
        <v>4.8547499999999992</v>
      </c>
    </row>
    <row r="196" spans="1:2" ht="15.75" thickBot="1">
      <c r="A196" s="611" t="s">
        <v>1063</v>
      </c>
      <c r="B196" s="612">
        <v>4.5879675419840895</v>
      </c>
    </row>
    <row r="197" spans="1:2" ht="15.75" thickBot="1">
      <c r="A197" s="609" t="s">
        <v>907</v>
      </c>
      <c r="B197" s="610">
        <v>3.5202565169803814</v>
      </c>
    </row>
    <row r="198" spans="1:2" ht="15.75" thickBot="1">
      <c r="A198" s="609" t="s">
        <v>908</v>
      </c>
      <c r="B198" s="610">
        <v>3.5202565169803814</v>
      </c>
    </row>
    <row r="199" spans="1:2" ht="15.75" thickBot="1">
      <c r="A199" s="609" t="s">
        <v>1090</v>
      </c>
      <c r="B199" s="610">
        <v>2.8613044178345519</v>
      </c>
    </row>
    <row r="200" spans="1:2" ht="15.75" thickBot="1">
      <c r="A200" s="609" t="s">
        <v>456</v>
      </c>
      <c r="B200" s="610">
        <v>2.2489267730000266</v>
      </c>
    </row>
    <row r="201" spans="1:2" ht="15.75" thickBot="1">
      <c r="A201" s="609" t="s">
        <v>776</v>
      </c>
      <c r="B201" s="610">
        <v>1.7895418183134668</v>
      </c>
    </row>
    <row r="202" spans="1:2" ht="15.75" thickBot="1">
      <c r="A202" s="609" t="s">
        <v>909</v>
      </c>
      <c r="B202" s="610">
        <v>1.5887114158133167</v>
      </c>
    </row>
    <row r="203" spans="1:2" ht="15.75" thickBot="1">
      <c r="A203" s="609" t="s">
        <v>910</v>
      </c>
      <c r="B203" s="610">
        <v>2.0883543854604611</v>
      </c>
    </row>
    <row r="204" spans="1:2" ht="15.75" thickBot="1">
      <c r="A204" s="609" t="s">
        <v>911</v>
      </c>
      <c r="B204" s="610">
        <v>2.4220577395433356</v>
      </c>
    </row>
    <row r="205" spans="1:2" ht="15.75" thickBot="1">
      <c r="A205" s="609" t="s">
        <v>912</v>
      </c>
      <c r="B205" s="610">
        <v>1.7399062496812527</v>
      </c>
    </row>
    <row r="206" spans="1:2" ht="15.75" thickBot="1">
      <c r="A206" s="609" t="s">
        <v>913</v>
      </c>
      <c r="B206" s="610">
        <v>1.7399062496812527</v>
      </c>
    </row>
    <row r="207" spans="1:2" ht="15.75" thickBot="1">
      <c r="A207" s="609" t="s">
        <v>914</v>
      </c>
      <c r="B207" s="610">
        <v>1.5773131074574507</v>
      </c>
    </row>
    <row r="208" spans="1:2" ht="15.75" thickBot="1">
      <c r="A208" s="609" t="s">
        <v>915</v>
      </c>
      <c r="B208" s="610">
        <v>1.5773131074574507</v>
      </c>
    </row>
    <row r="209" spans="1:2" ht="15.75" thickBot="1">
      <c r="A209" s="609" t="s">
        <v>1091</v>
      </c>
      <c r="B209" s="610">
        <v>1.828794982652177</v>
      </c>
    </row>
    <row r="210" spans="1:2" ht="15.75" thickBot="1">
      <c r="A210" s="609" t="s">
        <v>451</v>
      </c>
      <c r="B210" s="610">
        <v>1.3376909331908242</v>
      </c>
    </row>
    <row r="211" spans="1:2" ht="15.75" thickBot="1">
      <c r="A211" s="609" t="s">
        <v>916</v>
      </c>
      <c r="B211" s="610">
        <v>1.0512974281996981</v>
      </c>
    </row>
    <row r="212" spans="1:2" ht="15.75" thickBot="1">
      <c r="A212" s="609" t="s">
        <v>917</v>
      </c>
      <c r="B212" s="610">
        <v>1.3376909331908242</v>
      </c>
    </row>
    <row r="213" spans="1:2" ht="15.75" thickBot="1">
      <c r="A213" s="609" t="s">
        <v>918</v>
      </c>
      <c r="B213" s="610">
        <v>1.8977449313864165</v>
      </c>
    </row>
    <row r="214" spans="1:2" ht="15.75" thickBot="1">
      <c r="A214" s="609" t="s">
        <v>919</v>
      </c>
      <c r="B214" s="610">
        <v>2.9589734659762201</v>
      </c>
    </row>
    <row r="215" spans="1:2" ht="15.75" thickBot="1">
      <c r="A215" s="609" t="s">
        <v>1092</v>
      </c>
      <c r="B215" s="610">
        <v>2.6030797682333322</v>
      </c>
    </row>
    <row r="216" spans="1:2" ht="15.75" thickBot="1">
      <c r="A216" s="609" t="s">
        <v>1064</v>
      </c>
      <c r="B216" s="610">
        <v>3.0894522305449845</v>
      </c>
    </row>
    <row r="217" spans="1:2" ht="15.75" thickBot="1">
      <c r="A217" s="609" t="s">
        <v>1093</v>
      </c>
      <c r="B217" s="610">
        <v>2.7335585328020966</v>
      </c>
    </row>
    <row r="218" spans="1:2" ht="15.75" thickBot="1">
      <c r="A218" s="609" t="s">
        <v>920</v>
      </c>
      <c r="B218" s="610">
        <v>3.0799034452698244</v>
      </c>
    </row>
    <row r="219" spans="1:2" ht="15.75" thickBot="1">
      <c r="A219" s="609" t="s">
        <v>1094</v>
      </c>
      <c r="B219" s="610">
        <v>2.6599488819332158</v>
      </c>
    </row>
    <row r="220" spans="1:2" ht="15.75" thickBot="1">
      <c r="A220" s="609" t="s">
        <v>921</v>
      </c>
      <c r="B220" s="610">
        <v>2.1830403724836502</v>
      </c>
    </row>
    <row r="221" spans="1:2" ht="15.75" thickBot="1">
      <c r="A221" s="609" t="s">
        <v>1095</v>
      </c>
      <c r="B221" s="610">
        <v>1.9695041538379172</v>
      </c>
    </row>
    <row r="222" spans="1:2" ht="15.75" thickBot="1">
      <c r="A222" s="609" t="s">
        <v>922</v>
      </c>
      <c r="B222" s="610">
        <v>2.8825586707273008</v>
      </c>
    </row>
    <row r="223" spans="1:2" ht="15.75" thickBot="1">
      <c r="A223" s="609" t="s">
        <v>1096</v>
      </c>
      <c r="B223" s="610">
        <v>2.5266522690217088</v>
      </c>
    </row>
    <row r="224" spans="1:2" ht="15.75" thickBot="1">
      <c r="A224" s="609" t="s">
        <v>923</v>
      </c>
      <c r="B224" s="610">
        <v>3.7039041168999463</v>
      </c>
    </row>
    <row r="225" spans="1:2" ht="15.75" thickBot="1">
      <c r="A225" s="609" t="s">
        <v>1097</v>
      </c>
      <c r="B225" s="610">
        <v>3.1673420617960728</v>
      </c>
    </row>
    <row r="226" spans="1:2" ht="15.75" thickBot="1">
      <c r="A226" s="609" t="s">
        <v>1098</v>
      </c>
      <c r="B226" s="610">
        <v>4.1012419371466606</v>
      </c>
    </row>
    <row r="227" spans="1:2" ht="15.75" thickBot="1">
      <c r="A227" s="609" t="s">
        <v>924</v>
      </c>
      <c r="B227" s="610">
        <v>19.932270148981068</v>
      </c>
    </row>
    <row r="228" spans="1:2" ht="15.75" thickBot="1">
      <c r="A228" s="609" t="s">
        <v>925</v>
      </c>
      <c r="B228" s="610">
        <v>1.7287483274839957</v>
      </c>
    </row>
    <row r="229" spans="1:2" ht="15.75" thickBot="1">
      <c r="A229" s="609" t="s">
        <v>926</v>
      </c>
      <c r="B229" s="610">
        <v>1.4370767018031625</v>
      </c>
    </row>
    <row r="230" spans="1:2" ht="15.75" thickBot="1">
      <c r="A230" s="609" t="s">
        <v>927</v>
      </c>
      <c r="B230" s="610">
        <v>1.4370767018031625</v>
      </c>
    </row>
    <row r="231" spans="1:2" ht="15.75" thickBot="1">
      <c r="A231" s="609" t="s">
        <v>928</v>
      </c>
      <c r="B231" s="610">
        <v>1.4370767018031625</v>
      </c>
    </row>
    <row r="232" spans="1:2" ht="15.75" thickBot="1">
      <c r="A232" s="609" t="s">
        <v>929</v>
      </c>
      <c r="B232" s="610">
        <v>1.2829031232809212</v>
      </c>
    </row>
    <row r="233" spans="1:2" ht="15.75" thickBot="1">
      <c r="A233" s="609" t="s">
        <v>930</v>
      </c>
      <c r="B233" s="610">
        <v>1.4249831120595733</v>
      </c>
    </row>
    <row r="234" spans="1:2" ht="15.75" thickBot="1">
      <c r="A234" s="609" t="s">
        <v>931</v>
      </c>
      <c r="B234" s="610">
        <v>3.2199494170275078</v>
      </c>
    </row>
    <row r="235" spans="1:2" ht="15.75" thickBot="1">
      <c r="A235" s="609" t="s">
        <v>932</v>
      </c>
      <c r="B235" s="610">
        <v>3.2199494170275078</v>
      </c>
    </row>
    <row r="236" spans="1:2" ht="15.75" thickBot="1">
      <c r="A236" s="609" t="s">
        <v>933</v>
      </c>
      <c r="B236" s="610">
        <v>3.8853094149022138</v>
      </c>
    </row>
    <row r="237" spans="1:2" ht="15.75" thickBot="1">
      <c r="A237" s="613" t="s">
        <v>1099</v>
      </c>
      <c r="B237" s="614">
        <v>3.6519993505589103</v>
      </c>
    </row>
    <row r="238" spans="1:2" ht="15.75" thickBot="1">
      <c r="A238" s="609" t="s">
        <v>934</v>
      </c>
      <c r="B238" s="610">
        <v>3.1051398236284702</v>
      </c>
    </row>
    <row r="239" spans="1:2" ht="15.75" thickBot="1">
      <c r="A239" s="609" t="s">
        <v>1065</v>
      </c>
      <c r="B239" s="610">
        <v>2.9963946314625272</v>
      </c>
    </row>
    <row r="240" spans="1:2" ht="15.75" thickBot="1">
      <c r="A240" s="609" t="s">
        <v>935</v>
      </c>
      <c r="B240" s="610">
        <v>4.7297717020190779</v>
      </c>
    </row>
    <row r="241" spans="1:2" ht="15.75" thickBot="1">
      <c r="A241" s="609" t="s">
        <v>1100</v>
      </c>
      <c r="B241" s="610">
        <v>4.5851166377176646</v>
      </c>
    </row>
    <row r="242" spans="1:2" ht="15.75" thickBot="1">
      <c r="A242" s="609" t="s">
        <v>936</v>
      </c>
      <c r="B242" s="610">
        <v>3.5961250385420964</v>
      </c>
    </row>
    <row r="243" spans="1:2" ht="15.75" thickBot="1">
      <c r="A243" s="609" t="s">
        <v>1101</v>
      </c>
      <c r="B243" s="610">
        <v>3.5979034967553316</v>
      </c>
    </row>
    <row r="244" spans="1:2" ht="15.75" thickBot="1">
      <c r="A244" s="609" t="s">
        <v>937</v>
      </c>
      <c r="B244" s="610">
        <v>2.932657080950678</v>
      </c>
    </row>
    <row r="245" spans="1:2" ht="15.75" thickBot="1">
      <c r="A245" s="609" t="s">
        <v>938</v>
      </c>
      <c r="B245" s="610">
        <v>3.1325659500771383</v>
      </c>
    </row>
    <row r="246" spans="1:2" ht="15.75" thickBot="1">
      <c r="A246" s="609" t="s">
        <v>1102</v>
      </c>
      <c r="B246" s="610">
        <v>3.0814245001799025</v>
      </c>
    </row>
    <row r="247" spans="1:2" ht="15.75" thickBot="1">
      <c r="A247" s="609" t="s">
        <v>1066</v>
      </c>
      <c r="B247" s="610">
        <v>3.5961250385420964</v>
      </c>
    </row>
    <row r="248" spans="1:2" ht="15.75" thickBot="1">
      <c r="A248" s="609" t="s">
        <v>1103</v>
      </c>
      <c r="B248" s="610">
        <v>3.5979034967553316</v>
      </c>
    </row>
    <row r="249" spans="1:2" ht="15.75" thickBot="1">
      <c r="A249" s="609" t="s">
        <v>939</v>
      </c>
      <c r="B249" s="610">
        <v>2.2107211005366958</v>
      </c>
    </row>
    <row r="250" spans="1:2" ht="15.75" thickBot="1">
      <c r="A250" s="609" t="s">
        <v>940</v>
      </c>
      <c r="B250" s="610">
        <v>4.298972282180066</v>
      </c>
    </row>
    <row r="251" spans="1:2" ht="15.75" thickBot="1">
      <c r="A251" s="609" t="s">
        <v>941</v>
      </c>
      <c r="B251" s="610">
        <v>4.1949541003618842</v>
      </c>
    </row>
    <row r="252" spans="1:2" ht="15.75" thickBot="1">
      <c r="A252" s="609" t="s">
        <v>942</v>
      </c>
      <c r="B252" s="610">
        <v>4.1306877013531205</v>
      </c>
    </row>
    <row r="253" spans="1:2" ht="15.75" thickBot="1">
      <c r="A253" s="609" t="s">
        <v>1104</v>
      </c>
      <c r="B253" s="610">
        <v>4.0015905424748359</v>
      </c>
    </row>
    <row r="254" spans="1:2" ht="15.75" thickBot="1">
      <c r="A254" s="609" t="s">
        <v>480</v>
      </c>
      <c r="B254" s="610">
        <v>4.1306877013531205</v>
      </c>
    </row>
    <row r="255" spans="1:2" ht="15.75" thickBot="1">
      <c r="A255" s="609" t="s">
        <v>1105</v>
      </c>
      <c r="B255" s="610">
        <v>4.0015905424748359</v>
      </c>
    </row>
    <row r="256" spans="1:2" ht="15.75" thickBot="1">
      <c r="A256" s="609" t="s">
        <v>481</v>
      </c>
      <c r="B256" s="610">
        <v>4.4911475798938749</v>
      </c>
    </row>
    <row r="257" spans="1:2" ht="15.75" thickBot="1">
      <c r="A257" s="609" t="s">
        <v>1106</v>
      </c>
      <c r="B257" s="610">
        <v>4.3629396501222093</v>
      </c>
    </row>
    <row r="258" spans="1:2" ht="15.75" thickBot="1">
      <c r="A258" s="611" t="s">
        <v>943</v>
      </c>
      <c r="B258" s="612">
        <v>4.4066426645616739</v>
      </c>
    </row>
    <row r="259" spans="1:2" ht="15.75" thickBot="1">
      <c r="A259" s="609" t="s">
        <v>1107</v>
      </c>
      <c r="B259" s="610">
        <v>4.3210225065294585</v>
      </c>
    </row>
    <row r="260" spans="1:2" ht="15.75" thickBot="1">
      <c r="A260" s="609" t="s">
        <v>944</v>
      </c>
      <c r="B260" s="610">
        <v>4.1306877013531205</v>
      </c>
    </row>
    <row r="261" spans="1:2" ht="15.75" thickBot="1">
      <c r="A261" s="609" t="s">
        <v>1108</v>
      </c>
      <c r="B261" s="610">
        <v>4.0015905424748359</v>
      </c>
    </row>
    <row r="262" spans="1:2" ht="15.75" thickBot="1">
      <c r="A262" s="609" t="s">
        <v>945</v>
      </c>
      <c r="B262" s="610">
        <v>2.2107211005366958</v>
      </c>
    </row>
    <row r="263" spans="1:2" ht="15.75" thickBot="1">
      <c r="A263" s="609" t="s">
        <v>946</v>
      </c>
      <c r="B263" s="610">
        <v>2.2983121823876882</v>
      </c>
    </row>
    <row r="264" spans="1:2" ht="15.75" thickBot="1">
      <c r="A264" s="609" t="s">
        <v>947</v>
      </c>
      <c r="B264" s="610">
        <v>2.7188260138569258</v>
      </c>
    </row>
    <row r="265" spans="1:2" ht="15.75" thickBot="1">
      <c r="A265" s="609" t="s">
        <v>948</v>
      </c>
      <c r="B265" s="610">
        <v>2.2983121823876882</v>
      </c>
    </row>
    <row r="266" spans="1:2" ht="15.75" thickBot="1">
      <c r="A266" s="609" t="s">
        <v>949</v>
      </c>
      <c r="B266" s="610">
        <v>2.6434559408413505</v>
      </c>
    </row>
    <row r="267" spans="1:2" ht="15.75" thickBot="1">
      <c r="A267" s="609" t="s">
        <v>950</v>
      </c>
      <c r="B267" s="610">
        <v>3.1222146961219361</v>
      </c>
    </row>
    <row r="268" spans="1:2" ht="15.75" thickBot="1">
      <c r="A268" s="609" t="s">
        <v>951</v>
      </c>
      <c r="B268" s="610">
        <v>4.0897572164179294</v>
      </c>
    </row>
    <row r="269" spans="1:2" ht="15.75" thickBot="1">
      <c r="A269" s="609" t="s">
        <v>952</v>
      </c>
      <c r="B269" s="610">
        <v>4.3969605931382461</v>
      </c>
    </row>
    <row r="270" spans="1:2" ht="15.75" thickBot="1">
      <c r="A270" s="609" t="s">
        <v>953</v>
      </c>
      <c r="B270" s="610">
        <v>3.8819964835835234</v>
      </c>
    </row>
    <row r="271" spans="1:2" ht="15.75" thickBot="1">
      <c r="A271" s="609" t="s">
        <v>1109</v>
      </c>
      <c r="B271" s="610">
        <v>3.7801880870112403</v>
      </c>
    </row>
    <row r="272" spans="1:2" ht="15.75" thickBot="1">
      <c r="A272" s="609" t="s">
        <v>954</v>
      </c>
      <c r="B272" s="610">
        <v>3.1807932492088664</v>
      </c>
    </row>
    <row r="273" spans="1:2" ht="15.75" thickBot="1">
      <c r="A273" s="609" t="s">
        <v>1110</v>
      </c>
      <c r="B273" s="610">
        <v>3.1210933282840636</v>
      </c>
    </row>
    <row r="274" spans="1:2" ht="15.75" thickBot="1">
      <c r="A274" s="609" t="s">
        <v>955</v>
      </c>
      <c r="B274" s="610">
        <v>4.3969605931382461</v>
      </c>
    </row>
    <row r="275" spans="1:2" ht="15.75" thickBot="1">
      <c r="A275" s="609" t="s">
        <v>1111</v>
      </c>
      <c r="B275" s="610">
        <v>4.2428323461956099</v>
      </c>
    </row>
    <row r="276" spans="1:2" ht="15.75" thickBot="1">
      <c r="A276" s="609" t="s">
        <v>1067</v>
      </c>
      <c r="B276" s="610">
        <v>3.9982206027725202</v>
      </c>
    </row>
    <row r="277" spans="1:2" ht="15.75" thickBot="1">
      <c r="A277" s="609" t="s">
        <v>956</v>
      </c>
      <c r="B277" s="610">
        <v>2.0352561655011656</v>
      </c>
    </row>
    <row r="278" spans="1:2" ht="15.75" thickBot="1">
      <c r="A278" s="609" t="s">
        <v>469</v>
      </c>
      <c r="B278" s="610">
        <v>2.0352561655011656</v>
      </c>
    </row>
    <row r="279" spans="1:2" ht="15.75" thickBot="1">
      <c r="A279" s="609" t="s">
        <v>957</v>
      </c>
      <c r="B279" s="610">
        <v>2.0352561655011656</v>
      </c>
    </row>
    <row r="280" spans="1:2" ht="15.75" thickBot="1">
      <c r="A280" s="609" t="s">
        <v>468</v>
      </c>
      <c r="B280" s="610">
        <v>2.3114726252040687</v>
      </c>
    </row>
    <row r="281" spans="1:2" ht="15.75" thickBot="1">
      <c r="A281" s="609" t="s">
        <v>958</v>
      </c>
      <c r="B281" s="610">
        <v>2.0591585518603872</v>
      </c>
    </row>
    <row r="282" spans="1:2" ht="15.75" thickBot="1">
      <c r="A282" s="609" t="s">
        <v>959</v>
      </c>
      <c r="B282" s="610">
        <v>2.2131123774631805</v>
      </c>
    </row>
    <row r="283" spans="1:2" ht="15.75" thickBot="1">
      <c r="A283" s="609" t="s">
        <v>960</v>
      </c>
      <c r="B283" s="610">
        <v>1.2726391285421699</v>
      </c>
    </row>
    <row r="284" spans="1:2" ht="15.75" thickBot="1">
      <c r="A284" s="609" t="s">
        <v>961</v>
      </c>
      <c r="B284" s="610">
        <v>1.2726391285421699</v>
      </c>
    </row>
    <row r="285" spans="1:2" ht="15.75" thickBot="1">
      <c r="A285" s="609" t="s">
        <v>962</v>
      </c>
      <c r="B285" s="610">
        <v>1.2726391285421699</v>
      </c>
    </row>
    <row r="286" spans="1:2" ht="15.75" thickBot="1">
      <c r="A286" s="609" t="s">
        <v>963</v>
      </c>
      <c r="B286" s="610">
        <v>1.5314228750068342</v>
      </c>
    </row>
    <row r="287" spans="1:2" ht="15.75" thickBot="1">
      <c r="A287" s="609" t="s">
        <v>964</v>
      </c>
      <c r="B287" s="610">
        <v>1.2479086957878787</v>
      </c>
    </row>
    <row r="288" spans="1:2" ht="15.75" thickBot="1">
      <c r="A288" s="609" t="s">
        <v>965</v>
      </c>
      <c r="B288" s="610">
        <v>3.848666732904217</v>
      </c>
    </row>
    <row r="289" spans="1:2" ht="15.75" thickBot="1">
      <c r="A289" s="609" t="s">
        <v>966</v>
      </c>
      <c r="B289" s="610">
        <v>2.5826670629370629</v>
      </c>
    </row>
    <row r="290" spans="1:2" ht="15.75" thickBot="1">
      <c r="A290" s="609" t="s">
        <v>967</v>
      </c>
      <c r="B290" s="610">
        <v>0.61647304930069924</v>
      </c>
    </row>
    <row r="291" spans="1:2" ht="15.75" thickBot="1">
      <c r="A291" s="609" t="s">
        <v>968</v>
      </c>
      <c r="B291" s="610">
        <v>4.9765734265734265</v>
      </c>
    </row>
    <row r="292" spans="1:2" ht="15.75" thickBot="1">
      <c r="A292" s="609" t="s">
        <v>969</v>
      </c>
      <c r="B292" s="610">
        <v>3.615107736272869</v>
      </c>
    </row>
    <row r="293" spans="1:2" ht="15.75" thickBot="1">
      <c r="A293" s="609" t="s">
        <v>970</v>
      </c>
      <c r="B293" s="610">
        <v>3.769546195506623</v>
      </c>
    </row>
    <row r="294" spans="1:2" ht="15.75" thickBot="1">
      <c r="A294" s="609" t="s">
        <v>971</v>
      </c>
      <c r="B294" s="610">
        <v>4.0730433081374233</v>
      </c>
    </row>
    <row r="295" spans="1:2" ht="15.75" thickBot="1">
      <c r="A295" s="609" t="s">
        <v>972</v>
      </c>
      <c r="B295" s="610">
        <v>3.9245018619354379</v>
      </c>
    </row>
    <row r="296" spans="1:2" ht="15.75" thickBot="1">
      <c r="A296" s="609" t="s">
        <v>973</v>
      </c>
      <c r="B296" s="610">
        <v>3.9245018619354379</v>
      </c>
    </row>
    <row r="297" spans="1:2" ht="15.75" thickBot="1">
      <c r="A297" s="609" t="s">
        <v>1068</v>
      </c>
      <c r="B297" s="610">
        <v>4.0466043868364423</v>
      </c>
    </row>
    <row r="298" spans="1:2" ht="15.75" thickBot="1">
      <c r="A298" s="609" t="s">
        <v>974</v>
      </c>
      <c r="B298" s="610">
        <v>2.2435501058726826</v>
      </c>
    </row>
    <row r="299" spans="1:2" ht="15.75" thickBot="1">
      <c r="A299" s="609" t="s">
        <v>1069</v>
      </c>
      <c r="B299" s="610">
        <v>7.8521815796606509</v>
      </c>
    </row>
    <row r="300" spans="1:2" ht="15.75" thickBot="1">
      <c r="A300" s="609" t="s">
        <v>1070</v>
      </c>
      <c r="B300" s="610">
        <v>7.2065815796606474</v>
      </c>
    </row>
    <row r="301" spans="1:2" ht="15.75" thickBot="1">
      <c r="A301" s="609" t="s">
        <v>975</v>
      </c>
      <c r="B301" s="610">
        <v>4.0318232195099597</v>
      </c>
    </row>
    <row r="302" spans="1:2" ht="15.75" thickBot="1">
      <c r="A302" s="609" t="s">
        <v>976</v>
      </c>
      <c r="B302" s="610">
        <v>2.4972233316262891</v>
      </c>
    </row>
    <row r="303" spans="1:2" ht="15.75" thickBot="1">
      <c r="A303" s="609" t="s">
        <v>977</v>
      </c>
      <c r="B303" s="610">
        <v>2.4972233316262891</v>
      </c>
    </row>
    <row r="304" spans="1:2" ht="15.75" thickBot="1">
      <c r="A304" s="609" t="s">
        <v>978</v>
      </c>
      <c r="B304" s="610">
        <v>2.1614867448618882</v>
      </c>
    </row>
    <row r="305" spans="1:2" ht="15.75" thickBot="1">
      <c r="A305" s="609" t="s">
        <v>979</v>
      </c>
      <c r="B305" s="610">
        <v>2.1614867448618882</v>
      </c>
    </row>
    <row r="306" spans="1:2" ht="15.75" thickBot="1">
      <c r="A306" s="609" t="s">
        <v>980</v>
      </c>
      <c r="B306" s="610">
        <v>3.1992215364187029</v>
      </c>
    </row>
    <row r="307" spans="1:2" ht="15.75" thickBot="1">
      <c r="A307" s="609" t="s">
        <v>981</v>
      </c>
      <c r="B307" s="610">
        <v>2.2087952269479767</v>
      </c>
    </row>
    <row r="308" spans="1:2" ht="15.75" thickBot="1">
      <c r="A308" s="609" t="s">
        <v>982</v>
      </c>
      <c r="B308" s="610">
        <v>2.8395488397338773</v>
      </c>
    </row>
    <row r="309" spans="1:2" ht="15.75" thickBot="1">
      <c r="A309" s="609" t="s">
        <v>983</v>
      </c>
      <c r="B309" s="610">
        <v>2.2087952269479767</v>
      </c>
    </row>
    <row r="310" spans="1:2" ht="15.75" thickBot="1">
      <c r="A310" s="609" t="s">
        <v>984</v>
      </c>
      <c r="B310" s="610">
        <v>2.8172596402780785</v>
      </c>
    </row>
    <row r="311" spans="1:2" ht="15.75" thickBot="1">
      <c r="A311" s="609" t="s">
        <v>985</v>
      </c>
      <c r="B311" s="610">
        <v>2.884734054533082</v>
      </c>
    </row>
    <row r="312" spans="1:2" ht="15.75" thickBot="1">
      <c r="A312" s="609" t="s">
        <v>986</v>
      </c>
      <c r="B312" s="610">
        <v>2.1530039356887052</v>
      </c>
    </row>
    <row r="313" spans="1:2" ht="15.75" thickBot="1">
      <c r="A313" s="609" t="s">
        <v>1071</v>
      </c>
      <c r="B313" s="610">
        <v>2.1302179432229642</v>
      </c>
    </row>
    <row r="314" spans="1:2" ht="15.75" thickBot="1">
      <c r="A314" s="609" t="s">
        <v>987</v>
      </c>
      <c r="B314" s="610">
        <v>1.84404051647948</v>
      </c>
    </row>
    <row r="315" spans="1:2" ht="15.75" thickBot="1">
      <c r="A315" s="609" t="s">
        <v>988</v>
      </c>
      <c r="B315" s="610">
        <v>5.1788259663488043</v>
      </c>
    </row>
    <row r="316" spans="1:2" ht="15.75" thickBot="1">
      <c r="A316" s="609" t="s">
        <v>989</v>
      </c>
      <c r="B316" s="610">
        <v>4.9323657776054253</v>
      </c>
    </row>
    <row r="317" spans="1:2" ht="15.75" thickBot="1">
      <c r="A317" s="609" t="s">
        <v>990</v>
      </c>
      <c r="B317" s="610">
        <v>3.7958317897565057</v>
      </c>
    </row>
    <row r="318" spans="1:2" ht="15.75" thickBot="1">
      <c r="A318" s="609" t="s">
        <v>991</v>
      </c>
      <c r="B318" s="610">
        <v>4.3896016104997377</v>
      </c>
    </row>
    <row r="319" spans="1:2" ht="15.75" thickBot="1">
      <c r="A319" s="609" t="s">
        <v>992</v>
      </c>
      <c r="B319" s="610">
        <v>2.6785030613986014</v>
      </c>
    </row>
    <row r="320" spans="1:2" ht="15.75" thickBot="1">
      <c r="A320" s="609" t="s">
        <v>993</v>
      </c>
      <c r="B320" s="610">
        <v>4.3861934768443946</v>
      </c>
    </row>
    <row r="321" spans="1:2" ht="15.75" thickBot="1">
      <c r="A321" s="609" t="s">
        <v>994</v>
      </c>
      <c r="B321" s="610">
        <v>3.8624162276606198</v>
      </c>
    </row>
    <row r="322" spans="1:2" ht="15.75" thickBot="1">
      <c r="A322" s="609" t="s">
        <v>995</v>
      </c>
      <c r="B322" s="610">
        <v>3.9982206027725202</v>
      </c>
    </row>
    <row r="323" spans="1:2" ht="15.75" thickBot="1">
      <c r="A323" s="609" t="s">
        <v>996</v>
      </c>
      <c r="B323" s="610">
        <v>4.3289912651891287</v>
      </c>
    </row>
    <row r="324" spans="1:2" ht="15.75" thickBot="1">
      <c r="A324" s="609" t="s">
        <v>997</v>
      </c>
      <c r="B324" s="610">
        <v>4.5984154880425532</v>
      </c>
    </row>
    <row r="325" spans="1:2" ht="15.75" thickBot="1">
      <c r="A325" s="609" t="s">
        <v>998</v>
      </c>
      <c r="B325" s="610">
        <v>3.9084125284880451</v>
      </c>
    </row>
    <row r="326" spans="1:2" ht="15.75" thickBot="1">
      <c r="A326" s="609" t="s">
        <v>1112</v>
      </c>
      <c r="B326" s="610">
        <v>4.7783819505384262</v>
      </c>
    </row>
    <row r="327" spans="1:2" ht="15.75" thickBot="1">
      <c r="A327" s="609" t="s">
        <v>999</v>
      </c>
      <c r="B327" s="610">
        <v>4.3511605830461075</v>
      </c>
    </row>
    <row r="328" spans="1:2" ht="15.75" thickBot="1">
      <c r="A328" s="609" t="s">
        <v>1000</v>
      </c>
      <c r="B328" s="610">
        <v>4.3369414688269945</v>
      </c>
    </row>
    <row r="329" spans="1:2" ht="15.75" thickBot="1">
      <c r="A329" s="609" t="s">
        <v>486</v>
      </c>
      <c r="B329" s="610">
        <v>2.2401688257443317</v>
      </c>
    </row>
    <row r="330" spans="1:2" ht="15.75" thickBot="1">
      <c r="A330" s="609" t="s">
        <v>1001</v>
      </c>
      <c r="B330" s="610">
        <v>2.2014065879820937</v>
      </c>
    </row>
    <row r="331" spans="1:2" ht="15.75" thickBot="1">
      <c r="A331" s="609" t="s">
        <v>1002</v>
      </c>
      <c r="B331" s="610">
        <v>3.6434135871188946</v>
      </c>
    </row>
    <row r="332" spans="1:2" ht="15.75" thickBot="1">
      <c r="A332" s="609" t="s">
        <v>1003</v>
      </c>
      <c r="B332" s="610">
        <v>3.8152239686131537</v>
      </c>
    </row>
    <row r="333" spans="1:2" ht="15.75" thickBot="1">
      <c r="A333" s="609" t="s">
        <v>1072</v>
      </c>
      <c r="B333" s="610">
        <v>3.8371981268137132</v>
      </c>
    </row>
    <row r="334" spans="1:2" ht="15.75" thickBot="1">
      <c r="A334" s="609" t="s">
        <v>1004</v>
      </c>
      <c r="B334" s="610">
        <v>2.0862078262802854</v>
      </c>
    </row>
    <row r="335" spans="1:2" ht="15.75" thickBot="1">
      <c r="A335" s="609" t="s">
        <v>453</v>
      </c>
      <c r="B335" s="610">
        <v>1.0170623041618987</v>
      </c>
    </row>
    <row r="336" spans="1:2" ht="15.75" thickBot="1">
      <c r="A336" s="609" t="s">
        <v>1005</v>
      </c>
      <c r="B336" s="610">
        <v>1.0170623041618987</v>
      </c>
    </row>
    <row r="337" spans="1:2" ht="15.75" thickBot="1">
      <c r="A337" s="609" t="s">
        <v>1006</v>
      </c>
      <c r="B337" s="610">
        <v>2.417096711287702</v>
      </c>
    </row>
    <row r="338" spans="1:2" ht="15.75" thickBot="1">
      <c r="A338" s="609" t="s">
        <v>1007</v>
      </c>
      <c r="B338" s="610">
        <v>3.4908427225510001</v>
      </c>
    </row>
    <row r="339" spans="1:2" ht="15.75" thickBot="1">
      <c r="A339" s="609" t="s">
        <v>1008</v>
      </c>
      <c r="B339" s="610">
        <v>1.0419125190139154</v>
      </c>
    </row>
    <row r="340" spans="1:2" ht="15.75" thickBot="1">
      <c r="A340" s="609" t="s">
        <v>1009</v>
      </c>
      <c r="B340" s="610">
        <v>2.4251889845120793</v>
      </c>
    </row>
    <row r="341" spans="1:2" ht="15.75" thickBot="1">
      <c r="A341" s="609" t="s">
        <v>1010</v>
      </c>
      <c r="B341" s="610">
        <v>4.5542224910186881</v>
      </c>
    </row>
    <row r="342" spans="1:2" ht="15.75" thickBot="1">
      <c r="A342" s="609" t="s">
        <v>1011</v>
      </c>
      <c r="B342" s="610">
        <v>2.1250396270396275</v>
      </c>
    </row>
    <row r="343" spans="1:2" ht="15.75" thickBot="1">
      <c r="A343" s="609" t="s">
        <v>1012</v>
      </c>
      <c r="B343" s="610">
        <v>2.7106102143840065</v>
      </c>
    </row>
    <row r="344" spans="1:2" ht="15.75" thickBot="1">
      <c r="A344" s="609" t="s">
        <v>1013</v>
      </c>
      <c r="B344" s="610">
        <v>3.0958636433995714</v>
      </c>
    </row>
    <row r="345" spans="1:2" ht="15.75" thickBot="1">
      <c r="A345" s="609" t="s">
        <v>1014</v>
      </c>
      <c r="B345" s="610">
        <v>2.1904046364859253</v>
      </c>
    </row>
    <row r="346" spans="1:2" ht="15.75" thickBot="1">
      <c r="A346" s="609" t="s">
        <v>1015</v>
      </c>
      <c r="B346" s="610">
        <v>1.4804399604309706</v>
      </c>
    </row>
    <row r="347" spans="1:2" ht="15.75" thickBot="1">
      <c r="A347" s="609" t="s">
        <v>1016</v>
      </c>
      <c r="B347" s="610">
        <v>3.4928070795782129</v>
      </c>
    </row>
    <row r="348" spans="1:2" ht="15.75" thickBot="1">
      <c r="A348" s="609" t="s">
        <v>1017</v>
      </c>
      <c r="B348" s="610">
        <v>3.2791041663664622</v>
      </c>
    </row>
    <row r="349" spans="1:2" ht="15.75" thickBot="1">
      <c r="A349" s="609" t="s">
        <v>1018</v>
      </c>
      <c r="B349" s="610">
        <v>3.1563499417249421</v>
      </c>
    </row>
    <row r="350" spans="1:2" ht="15.75" thickBot="1">
      <c r="A350" s="609" t="s">
        <v>1022</v>
      </c>
      <c r="B350" s="610">
        <v>2.7556351030543285</v>
      </c>
    </row>
    <row r="351" spans="1:2" ht="15.75" thickBot="1">
      <c r="A351" s="609" t="s">
        <v>1019</v>
      </c>
      <c r="B351" s="610">
        <v>3.2642275584364269</v>
      </c>
    </row>
    <row r="352" spans="1:2" ht="15.75" thickBot="1">
      <c r="A352" s="609" t="s">
        <v>476</v>
      </c>
      <c r="B352" s="610">
        <v>1.6066396853146854</v>
      </c>
    </row>
    <row r="353" spans="1:2" ht="15.75" thickBot="1">
      <c r="A353" s="609" t="s">
        <v>1020</v>
      </c>
      <c r="B353" s="610">
        <v>1.6066396853146854</v>
      </c>
    </row>
    <row r="354" spans="1:2" ht="15.75" thickBot="1">
      <c r="A354" s="609" t="s">
        <v>1021</v>
      </c>
      <c r="B354" s="610">
        <v>2.2636722272674294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34D68-CB52-4A92-9793-2E336BEC895F}">
  <sheetPr codeName="Hoja25">
    <tabColor rgb="FFFFC000"/>
    <pageSetUpPr fitToPage="1"/>
  </sheetPr>
  <dimension ref="B1:E28"/>
  <sheetViews>
    <sheetView showGridLines="0" zoomScale="70" zoomScaleNormal="70" workbookViewId="0">
      <selection activeCell="I25" sqref="I25"/>
    </sheetView>
  </sheetViews>
  <sheetFormatPr baseColWidth="10" defaultRowHeight="12.75"/>
  <cols>
    <col min="1" max="1" width="11.5703125" style="672" customWidth="1"/>
    <col min="2" max="2" width="8.42578125" style="679" customWidth="1"/>
    <col min="3" max="3" width="119.5703125" style="672" customWidth="1"/>
    <col min="4" max="4" width="23.7109375" style="672" customWidth="1"/>
    <col min="5" max="5" width="12.5703125" style="672" customWidth="1"/>
    <col min="6" max="256" width="11.42578125" style="672"/>
    <col min="257" max="257" width="11.5703125" style="672" customWidth="1"/>
    <col min="258" max="258" width="8.42578125" style="672" customWidth="1"/>
    <col min="259" max="259" width="119.5703125" style="672" customWidth="1"/>
    <col min="260" max="260" width="23.7109375" style="672" customWidth="1"/>
    <col min="261" max="261" width="12.5703125" style="672" customWidth="1"/>
    <col min="262" max="512" width="11.42578125" style="672"/>
    <col min="513" max="513" width="11.5703125" style="672" customWidth="1"/>
    <col min="514" max="514" width="8.42578125" style="672" customWidth="1"/>
    <col min="515" max="515" width="119.5703125" style="672" customWidth="1"/>
    <col min="516" max="516" width="23.7109375" style="672" customWidth="1"/>
    <col min="517" max="517" width="12.5703125" style="672" customWidth="1"/>
    <col min="518" max="768" width="11.42578125" style="672"/>
    <col min="769" max="769" width="11.5703125" style="672" customWidth="1"/>
    <col min="770" max="770" width="8.42578125" style="672" customWidth="1"/>
    <col min="771" max="771" width="119.5703125" style="672" customWidth="1"/>
    <col min="772" max="772" width="23.7109375" style="672" customWidth="1"/>
    <col min="773" max="773" width="12.5703125" style="672" customWidth="1"/>
    <col min="774" max="1024" width="11.42578125" style="672"/>
    <col min="1025" max="1025" width="11.5703125" style="672" customWidth="1"/>
    <col min="1026" max="1026" width="8.42578125" style="672" customWidth="1"/>
    <col min="1027" max="1027" width="119.5703125" style="672" customWidth="1"/>
    <col min="1028" max="1028" width="23.7109375" style="672" customWidth="1"/>
    <col min="1029" max="1029" width="12.5703125" style="672" customWidth="1"/>
    <col min="1030" max="1280" width="11.42578125" style="672"/>
    <col min="1281" max="1281" width="11.5703125" style="672" customWidth="1"/>
    <col min="1282" max="1282" width="8.42578125" style="672" customWidth="1"/>
    <col min="1283" max="1283" width="119.5703125" style="672" customWidth="1"/>
    <col min="1284" max="1284" width="23.7109375" style="672" customWidth="1"/>
    <col min="1285" max="1285" width="12.5703125" style="672" customWidth="1"/>
    <col min="1286" max="1536" width="11.42578125" style="672"/>
    <col min="1537" max="1537" width="11.5703125" style="672" customWidth="1"/>
    <col min="1538" max="1538" width="8.42578125" style="672" customWidth="1"/>
    <col min="1539" max="1539" width="119.5703125" style="672" customWidth="1"/>
    <col min="1540" max="1540" width="23.7109375" style="672" customWidth="1"/>
    <col min="1541" max="1541" width="12.5703125" style="672" customWidth="1"/>
    <col min="1542" max="1792" width="11.42578125" style="672"/>
    <col min="1793" max="1793" width="11.5703125" style="672" customWidth="1"/>
    <col min="1794" max="1794" width="8.42578125" style="672" customWidth="1"/>
    <col min="1795" max="1795" width="119.5703125" style="672" customWidth="1"/>
    <col min="1796" max="1796" width="23.7109375" style="672" customWidth="1"/>
    <col min="1797" max="1797" width="12.5703125" style="672" customWidth="1"/>
    <col min="1798" max="2048" width="11.42578125" style="672"/>
    <col min="2049" max="2049" width="11.5703125" style="672" customWidth="1"/>
    <col min="2050" max="2050" width="8.42578125" style="672" customWidth="1"/>
    <col min="2051" max="2051" width="119.5703125" style="672" customWidth="1"/>
    <col min="2052" max="2052" width="23.7109375" style="672" customWidth="1"/>
    <col min="2053" max="2053" width="12.5703125" style="672" customWidth="1"/>
    <col min="2054" max="2304" width="11.42578125" style="672"/>
    <col min="2305" max="2305" width="11.5703125" style="672" customWidth="1"/>
    <col min="2306" max="2306" width="8.42578125" style="672" customWidth="1"/>
    <col min="2307" max="2307" width="119.5703125" style="672" customWidth="1"/>
    <col min="2308" max="2308" width="23.7109375" style="672" customWidth="1"/>
    <col min="2309" max="2309" width="12.5703125" style="672" customWidth="1"/>
    <col min="2310" max="2560" width="11.42578125" style="672"/>
    <col min="2561" max="2561" width="11.5703125" style="672" customWidth="1"/>
    <col min="2562" max="2562" width="8.42578125" style="672" customWidth="1"/>
    <col min="2563" max="2563" width="119.5703125" style="672" customWidth="1"/>
    <col min="2564" max="2564" width="23.7109375" style="672" customWidth="1"/>
    <col min="2565" max="2565" width="12.5703125" style="672" customWidth="1"/>
    <col min="2566" max="2816" width="11.42578125" style="672"/>
    <col min="2817" max="2817" width="11.5703125" style="672" customWidth="1"/>
    <col min="2818" max="2818" width="8.42578125" style="672" customWidth="1"/>
    <col min="2819" max="2819" width="119.5703125" style="672" customWidth="1"/>
    <col min="2820" max="2820" width="23.7109375" style="672" customWidth="1"/>
    <col min="2821" max="2821" width="12.5703125" style="672" customWidth="1"/>
    <col min="2822" max="3072" width="11.42578125" style="672"/>
    <col min="3073" max="3073" width="11.5703125" style="672" customWidth="1"/>
    <col min="3074" max="3074" width="8.42578125" style="672" customWidth="1"/>
    <col min="3075" max="3075" width="119.5703125" style="672" customWidth="1"/>
    <col min="3076" max="3076" width="23.7109375" style="672" customWidth="1"/>
    <col min="3077" max="3077" width="12.5703125" style="672" customWidth="1"/>
    <col min="3078" max="3328" width="11.42578125" style="672"/>
    <col min="3329" max="3329" width="11.5703125" style="672" customWidth="1"/>
    <col min="3330" max="3330" width="8.42578125" style="672" customWidth="1"/>
    <col min="3331" max="3331" width="119.5703125" style="672" customWidth="1"/>
    <col min="3332" max="3332" width="23.7109375" style="672" customWidth="1"/>
    <col min="3333" max="3333" width="12.5703125" style="672" customWidth="1"/>
    <col min="3334" max="3584" width="11.42578125" style="672"/>
    <col min="3585" max="3585" width="11.5703125" style="672" customWidth="1"/>
    <col min="3586" max="3586" width="8.42578125" style="672" customWidth="1"/>
    <col min="3587" max="3587" width="119.5703125" style="672" customWidth="1"/>
    <col min="3588" max="3588" width="23.7109375" style="672" customWidth="1"/>
    <col min="3589" max="3589" width="12.5703125" style="672" customWidth="1"/>
    <col min="3590" max="3840" width="11.42578125" style="672"/>
    <col min="3841" max="3841" width="11.5703125" style="672" customWidth="1"/>
    <col min="3842" max="3842" width="8.42578125" style="672" customWidth="1"/>
    <col min="3843" max="3843" width="119.5703125" style="672" customWidth="1"/>
    <col min="3844" max="3844" width="23.7109375" style="672" customWidth="1"/>
    <col min="3845" max="3845" width="12.5703125" style="672" customWidth="1"/>
    <col min="3846" max="4096" width="11.42578125" style="672"/>
    <col min="4097" max="4097" width="11.5703125" style="672" customWidth="1"/>
    <col min="4098" max="4098" width="8.42578125" style="672" customWidth="1"/>
    <col min="4099" max="4099" width="119.5703125" style="672" customWidth="1"/>
    <col min="4100" max="4100" width="23.7109375" style="672" customWidth="1"/>
    <col min="4101" max="4101" width="12.5703125" style="672" customWidth="1"/>
    <col min="4102" max="4352" width="11.42578125" style="672"/>
    <col min="4353" max="4353" width="11.5703125" style="672" customWidth="1"/>
    <col min="4354" max="4354" width="8.42578125" style="672" customWidth="1"/>
    <col min="4355" max="4355" width="119.5703125" style="672" customWidth="1"/>
    <col min="4356" max="4356" width="23.7109375" style="672" customWidth="1"/>
    <col min="4357" max="4357" width="12.5703125" style="672" customWidth="1"/>
    <col min="4358" max="4608" width="11.42578125" style="672"/>
    <col min="4609" max="4609" width="11.5703125" style="672" customWidth="1"/>
    <col min="4610" max="4610" width="8.42578125" style="672" customWidth="1"/>
    <col min="4611" max="4611" width="119.5703125" style="672" customWidth="1"/>
    <col min="4612" max="4612" width="23.7109375" style="672" customWidth="1"/>
    <col min="4613" max="4613" width="12.5703125" style="672" customWidth="1"/>
    <col min="4614" max="4864" width="11.42578125" style="672"/>
    <col min="4865" max="4865" width="11.5703125" style="672" customWidth="1"/>
    <col min="4866" max="4866" width="8.42578125" style="672" customWidth="1"/>
    <col min="4867" max="4867" width="119.5703125" style="672" customWidth="1"/>
    <col min="4868" max="4868" width="23.7109375" style="672" customWidth="1"/>
    <col min="4869" max="4869" width="12.5703125" style="672" customWidth="1"/>
    <col min="4870" max="5120" width="11.42578125" style="672"/>
    <col min="5121" max="5121" width="11.5703125" style="672" customWidth="1"/>
    <col min="5122" max="5122" width="8.42578125" style="672" customWidth="1"/>
    <col min="5123" max="5123" width="119.5703125" style="672" customWidth="1"/>
    <col min="5124" max="5124" width="23.7109375" style="672" customWidth="1"/>
    <col min="5125" max="5125" width="12.5703125" style="672" customWidth="1"/>
    <col min="5126" max="5376" width="11.42578125" style="672"/>
    <col min="5377" max="5377" width="11.5703125" style="672" customWidth="1"/>
    <col min="5378" max="5378" width="8.42578125" style="672" customWidth="1"/>
    <col min="5379" max="5379" width="119.5703125" style="672" customWidth="1"/>
    <col min="5380" max="5380" width="23.7109375" style="672" customWidth="1"/>
    <col min="5381" max="5381" width="12.5703125" style="672" customWidth="1"/>
    <col min="5382" max="5632" width="11.42578125" style="672"/>
    <col min="5633" max="5633" width="11.5703125" style="672" customWidth="1"/>
    <col min="5634" max="5634" width="8.42578125" style="672" customWidth="1"/>
    <col min="5635" max="5635" width="119.5703125" style="672" customWidth="1"/>
    <col min="5636" max="5636" width="23.7109375" style="672" customWidth="1"/>
    <col min="5637" max="5637" width="12.5703125" style="672" customWidth="1"/>
    <col min="5638" max="5888" width="11.42578125" style="672"/>
    <col min="5889" max="5889" width="11.5703125" style="672" customWidth="1"/>
    <col min="5890" max="5890" width="8.42578125" style="672" customWidth="1"/>
    <col min="5891" max="5891" width="119.5703125" style="672" customWidth="1"/>
    <col min="5892" max="5892" width="23.7109375" style="672" customWidth="1"/>
    <col min="5893" max="5893" width="12.5703125" style="672" customWidth="1"/>
    <col min="5894" max="6144" width="11.42578125" style="672"/>
    <col min="6145" max="6145" width="11.5703125" style="672" customWidth="1"/>
    <col min="6146" max="6146" width="8.42578125" style="672" customWidth="1"/>
    <col min="6147" max="6147" width="119.5703125" style="672" customWidth="1"/>
    <col min="6148" max="6148" width="23.7109375" style="672" customWidth="1"/>
    <col min="6149" max="6149" width="12.5703125" style="672" customWidth="1"/>
    <col min="6150" max="6400" width="11.42578125" style="672"/>
    <col min="6401" max="6401" width="11.5703125" style="672" customWidth="1"/>
    <col min="6402" max="6402" width="8.42578125" style="672" customWidth="1"/>
    <col min="6403" max="6403" width="119.5703125" style="672" customWidth="1"/>
    <col min="6404" max="6404" width="23.7109375" style="672" customWidth="1"/>
    <col min="6405" max="6405" width="12.5703125" style="672" customWidth="1"/>
    <col min="6406" max="6656" width="11.42578125" style="672"/>
    <col min="6657" max="6657" width="11.5703125" style="672" customWidth="1"/>
    <col min="6658" max="6658" width="8.42578125" style="672" customWidth="1"/>
    <col min="6659" max="6659" width="119.5703125" style="672" customWidth="1"/>
    <col min="6660" max="6660" width="23.7109375" style="672" customWidth="1"/>
    <col min="6661" max="6661" width="12.5703125" style="672" customWidth="1"/>
    <col min="6662" max="6912" width="11.42578125" style="672"/>
    <col min="6913" max="6913" width="11.5703125" style="672" customWidth="1"/>
    <col min="6914" max="6914" width="8.42578125" style="672" customWidth="1"/>
    <col min="6915" max="6915" width="119.5703125" style="672" customWidth="1"/>
    <col min="6916" max="6916" width="23.7109375" style="672" customWidth="1"/>
    <col min="6917" max="6917" width="12.5703125" style="672" customWidth="1"/>
    <col min="6918" max="7168" width="11.42578125" style="672"/>
    <col min="7169" max="7169" width="11.5703125" style="672" customWidth="1"/>
    <col min="7170" max="7170" width="8.42578125" style="672" customWidth="1"/>
    <col min="7171" max="7171" width="119.5703125" style="672" customWidth="1"/>
    <col min="7172" max="7172" width="23.7109375" style="672" customWidth="1"/>
    <col min="7173" max="7173" width="12.5703125" style="672" customWidth="1"/>
    <col min="7174" max="7424" width="11.42578125" style="672"/>
    <col min="7425" max="7425" width="11.5703125" style="672" customWidth="1"/>
    <col min="7426" max="7426" width="8.42578125" style="672" customWidth="1"/>
    <col min="7427" max="7427" width="119.5703125" style="672" customWidth="1"/>
    <col min="7428" max="7428" width="23.7109375" style="672" customWidth="1"/>
    <col min="7429" max="7429" width="12.5703125" style="672" customWidth="1"/>
    <col min="7430" max="7680" width="11.42578125" style="672"/>
    <col min="7681" max="7681" width="11.5703125" style="672" customWidth="1"/>
    <col min="7682" max="7682" width="8.42578125" style="672" customWidth="1"/>
    <col min="7683" max="7683" width="119.5703125" style="672" customWidth="1"/>
    <col min="7684" max="7684" width="23.7109375" style="672" customWidth="1"/>
    <col min="7685" max="7685" width="12.5703125" style="672" customWidth="1"/>
    <col min="7686" max="7936" width="11.42578125" style="672"/>
    <col min="7937" max="7937" width="11.5703125" style="672" customWidth="1"/>
    <col min="7938" max="7938" width="8.42578125" style="672" customWidth="1"/>
    <col min="7939" max="7939" width="119.5703125" style="672" customWidth="1"/>
    <col min="7940" max="7940" width="23.7109375" style="672" customWidth="1"/>
    <col min="7941" max="7941" width="12.5703125" style="672" customWidth="1"/>
    <col min="7942" max="8192" width="11.42578125" style="672"/>
    <col min="8193" max="8193" width="11.5703125" style="672" customWidth="1"/>
    <col min="8194" max="8194" width="8.42578125" style="672" customWidth="1"/>
    <col min="8195" max="8195" width="119.5703125" style="672" customWidth="1"/>
    <col min="8196" max="8196" width="23.7109375" style="672" customWidth="1"/>
    <col min="8197" max="8197" width="12.5703125" style="672" customWidth="1"/>
    <col min="8198" max="8448" width="11.42578125" style="672"/>
    <col min="8449" max="8449" width="11.5703125" style="672" customWidth="1"/>
    <col min="8450" max="8450" width="8.42578125" style="672" customWidth="1"/>
    <col min="8451" max="8451" width="119.5703125" style="672" customWidth="1"/>
    <col min="8452" max="8452" width="23.7109375" style="672" customWidth="1"/>
    <col min="8453" max="8453" width="12.5703125" style="672" customWidth="1"/>
    <col min="8454" max="8704" width="11.42578125" style="672"/>
    <col min="8705" max="8705" width="11.5703125" style="672" customWidth="1"/>
    <col min="8706" max="8706" width="8.42578125" style="672" customWidth="1"/>
    <col min="8707" max="8707" width="119.5703125" style="672" customWidth="1"/>
    <col min="8708" max="8708" width="23.7109375" style="672" customWidth="1"/>
    <col min="8709" max="8709" width="12.5703125" style="672" customWidth="1"/>
    <col min="8710" max="8960" width="11.42578125" style="672"/>
    <col min="8961" max="8961" width="11.5703125" style="672" customWidth="1"/>
    <col min="8962" max="8962" width="8.42578125" style="672" customWidth="1"/>
    <col min="8963" max="8963" width="119.5703125" style="672" customWidth="1"/>
    <col min="8964" max="8964" width="23.7109375" style="672" customWidth="1"/>
    <col min="8965" max="8965" width="12.5703125" style="672" customWidth="1"/>
    <col min="8966" max="9216" width="11.42578125" style="672"/>
    <col min="9217" max="9217" width="11.5703125" style="672" customWidth="1"/>
    <col min="9218" max="9218" width="8.42578125" style="672" customWidth="1"/>
    <col min="9219" max="9219" width="119.5703125" style="672" customWidth="1"/>
    <col min="9220" max="9220" width="23.7109375" style="672" customWidth="1"/>
    <col min="9221" max="9221" width="12.5703125" style="672" customWidth="1"/>
    <col min="9222" max="9472" width="11.42578125" style="672"/>
    <col min="9473" max="9473" width="11.5703125" style="672" customWidth="1"/>
    <col min="9474" max="9474" width="8.42578125" style="672" customWidth="1"/>
    <col min="9475" max="9475" width="119.5703125" style="672" customWidth="1"/>
    <col min="9476" max="9476" width="23.7109375" style="672" customWidth="1"/>
    <col min="9477" max="9477" width="12.5703125" style="672" customWidth="1"/>
    <col min="9478" max="9728" width="11.42578125" style="672"/>
    <col min="9729" max="9729" width="11.5703125" style="672" customWidth="1"/>
    <col min="9730" max="9730" width="8.42578125" style="672" customWidth="1"/>
    <col min="9731" max="9731" width="119.5703125" style="672" customWidth="1"/>
    <col min="9732" max="9732" width="23.7109375" style="672" customWidth="1"/>
    <col min="9733" max="9733" width="12.5703125" style="672" customWidth="1"/>
    <col min="9734" max="9984" width="11.42578125" style="672"/>
    <col min="9985" max="9985" width="11.5703125" style="672" customWidth="1"/>
    <col min="9986" max="9986" width="8.42578125" style="672" customWidth="1"/>
    <col min="9987" max="9987" width="119.5703125" style="672" customWidth="1"/>
    <col min="9988" max="9988" width="23.7109375" style="672" customWidth="1"/>
    <col min="9989" max="9989" width="12.5703125" style="672" customWidth="1"/>
    <col min="9990" max="10240" width="11.42578125" style="672"/>
    <col min="10241" max="10241" width="11.5703125" style="672" customWidth="1"/>
    <col min="10242" max="10242" width="8.42578125" style="672" customWidth="1"/>
    <col min="10243" max="10243" width="119.5703125" style="672" customWidth="1"/>
    <col min="10244" max="10244" width="23.7109375" style="672" customWidth="1"/>
    <col min="10245" max="10245" width="12.5703125" style="672" customWidth="1"/>
    <col min="10246" max="10496" width="11.42578125" style="672"/>
    <col min="10497" max="10497" width="11.5703125" style="672" customWidth="1"/>
    <col min="10498" max="10498" width="8.42578125" style="672" customWidth="1"/>
    <col min="10499" max="10499" width="119.5703125" style="672" customWidth="1"/>
    <col min="10500" max="10500" width="23.7109375" style="672" customWidth="1"/>
    <col min="10501" max="10501" width="12.5703125" style="672" customWidth="1"/>
    <col min="10502" max="10752" width="11.42578125" style="672"/>
    <col min="10753" max="10753" width="11.5703125" style="672" customWidth="1"/>
    <col min="10754" max="10754" width="8.42578125" style="672" customWidth="1"/>
    <col min="10755" max="10755" width="119.5703125" style="672" customWidth="1"/>
    <col min="10756" max="10756" width="23.7109375" style="672" customWidth="1"/>
    <col min="10757" max="10757" width="12.5703125" style="672" customWidth="1"/>
    <col min="10758" max="11008" width="11.42578125" style="672"/>
    <col min="11009" max="11009" width="11.5703125" style="672" customWidth="1"/>
    <col min="11010" max="11010" width="8.42578125" style="672" customWidth="1"/>
    <col min="11011" max="11011" width="119.5703125" style="672" customWidth="1"/>
    <col min="11012" max="11012" width="23.7109375" style="672" customWidth="1"/>
    <col min="11013" max="11013" width="12.5703125" style="672" customWidth="1"/>
    <col min="11014" max="11264" width="11.42578125" style="672"/>
    <col min="11265" max="11265" width="11.5703125" style="672" customWidth="1"/>
    <col min="11266" max="11266" width="8.42578125" style="672" customWidth="1"/>
    <col min="11267" max="11267" width="119.5703125" style="672" customWidth="1"/>
    <col min="11268" max="11268" width="23.7109375" style="672" customWidth="1"/>
    <col min="11269" max="11269" width="12.5703125" style="672" customWidth="1"/>
    <col min="11270" max="11520" width="11.42578125" style="672"/>
    <col min="11521" max="11521" width="11.5703125" style="672" customWidth="1"/>
    <col min="11522" max="11522" width="8.42578125" style="672" customWidth="1"/>
    <col min="11523" max="11523" width="119.5703125" style="672" customWidth="1"/>
    <col min="11524" max="11524" width="23.7109375" style="672" customWidth="1"/>
    <col min="11525" max="11525" width="12.5703125" style="672" customWidth="1"/>
    <col min="11526" max="11776" width="11.42578125" style="672"/>
    <col min="11777" max="11777" width="11.5703125" style="672" customWidth="1"/>
    <col min="11778" max="11778" width="8.42578125" style="672" customWidth="1"/>
    <col min="11779" max="11779" width="119.5703125" style="672" customWidth="1"/>
    <col min="11780" max="11780" width="23.7109375" style="672" customWidth="1"/>
    <col min="11781" max="11781" width="12.5703125" style="672" customWidth="1"/>
    <col min="11782" max="12032" width="11.42578125" style="672"/>
    <col min="12033" max="12033" width="11.5703125" style="672" customWidth="1"/>
    <col min="12034" max="12034" width="8.42578125" style="672" customWidth="1"/>
    <col min="12035" max="12035" width="119.5703125" style="672" customWidth="1"/>
    <col min="12036" max="12036" width="23.7109375" style="672" customWidth="1"/>
    <col min="12037" max="12037" width="12.5703125" style="672" customWidth="1"/>
    <col min="12038" max="12288" width="11.42578125" style="672"/>
    <col min="12289" max="12289" width="11.5703125" style="672" customWidth="1"/>
    <col min="12290" max="12290" width="8.42578125" style="672" customWidth="1"/>
    <col min="12291" max="12291" width="119.5703125" style="672" customWidth="1"/>
    <col min="12292" max="12292" width="23.7109375" style="672" customWidth="1"/>
    <col min="12293" max="12293" width="12.5703125" style="672" customWidth="1"/>
    <col min="12294" max="12544" width="11.42578125" style="672"/>
    <col min="12545" max="12545" width="11.5703125" style="672" customWidth="1"/>
    <col min="12546" max="12546" width="8.42578125" style="672" customWidth="1"/>
    <col min="12547" max="12547" width="119.5703125" style="672" customWidth="1"/>
    <col min="12548" max="12548" width="23.7109375" style="672" customWidth="1"/>
    <col min="12549" max="12549" width="12.5703125" style="672" customWidth="1"/>
    <col min="12550" max="12800" width="11.42578125" style="672"/>
    <col min="12801" max="12801" width="11.5703125" style="672" customWidth="1"/>
    <col min="12802" max="12802" width="8.42578125" style="672" customWidth="1"/>
    <col min="12803" max="12803" width="119.5703125" style="672" customWidth="1"/>
    <col min="12804" max="12804" width="23.7109375" style="672" customWidth="1"/>
    <col min="12805" max="12805" width="12.5703125" style="672" customWidth="1"/>
    <col min="12806" max="13056" width="11.42578125" style="672"/>
    <col min="13057" max="13057" width="11.5703125" style="672" customWidth="1"/>
    <col min="13058" max="13058" width="8.42578125" style="672" customWidth="1"/>
    <col min="13059" max="13059" width="119.5703125" style="672" customWidth="1"/>
    <col min="13060" max="13060" width="23.7109375" style="672" customWidth="1"/>
    <col min="13061" max="13061" width="12.5703125" style="672" customWidth="1"/>
    <col min="13062" max="13312" width="11.42578125" style="672"/>
    <col min="13313" max="13313" width="11.5703125" style="672" customWidth="1"/>
    <col min="13314" max="13314" width="8.42578125" style="672" customWidth="1"/>
    <col min="13315" max="13315" width="119.5703125" style="672" customWidth="1"/>
    <col min="13316" max="13316" width="23.7109375" style="672" customWidth="1"/>
    <col min="13317" max="13317" width="12.5703125" style="672" customWidth="1"/>
    <col min="13318" max="13568" width="11.42578125" style="672"/>
    <col min="13569" max="13569" width="11.5703125" style="672" customWidth="1"/>
    <col min="13570" max="13570" width="8.42578125" style="672" customWidth="1"/>
    <col min="13571" max="13571" width="119.5703125" style="672" customWidth="1"/>
    <col min="13572" max="13572" width="23.7109375" style="672" customWidth="1"/>
    <col min="13573" max="13573" width="12.5703125" style="672" customWidth="1"/>
    <col min="13574" max="13824" width="11.42578125" style="672"/>
    <col min="13825" max="13825" width="11.5703125" style="672" customWidth="1"/>
    <col min="13826" max="13826" width="8.42578125" style="672" customWidth="1"/>
    <col min="13827" max="13827" width="119.5703125" style="672" customWidth="1"/>
    <col min="13828" max="13828" width="23.7109375" style="672" customWidth="1"/>
    <col min="13829" max="13829" width="12.5703125" style="672" customWidth="1"/>
    <col min="13830" max="14080" width="11.42578125" style="672"/>
    <col min="14081" max="14081" width="11.5703125" style="672" customWidth="1"/>
    <col min="14082" max="14082" width="8.42578125" style="672" customWidth="1"/>
    <col min="14083" max="14083" width="119.5703125" style="672" customWidth="1"/>
    <col min="14084" max="14084" width="23.7109375" style="672" customWidth="1"/>
    <col min="14085" max="14085" width="12.5703125" style="672" customWidth="1"/>
    <col min="14086" max="14336" width="11.42578125" style="672"/>
    <col min="14337" max="14337" width="11.5703125" style="672" customWidth="1"/>
    <col min="14338" max="14338" width="8.42578125" style="672" customWidth="1"/>
    <col min="14339" max="14339" width="119.5703125" style="672" customWidth="1"/>
    <col min="14340" max="14340" width="23.7109375" style="672" customWidth="1"/>
    <col min="14341" max="14341" width="12.5703125" style="672" customWidth="1"/>
    <col min="14342" max="14592" width="11.42578125" style="672"/>
    <col min="14593" max="14593" width="11.5703125" style="672" customWidth="1"/>
    <col min="14594" max="14594" width="8.42578125" style="672" customWidth="1"/>
    <col min="14595" max="14595" width="119.5703125" style="672" customWidth="1"/>
    <col min="14596" max="14596" width="23.7109375" style="672" customWidth="1"/>
    <col min="14597" max="14597" width="12.5703125" style="672" customWidth="1"/>
    <col min="14598" max="14848" width="11.42578125" style="672"/>
    <col min="14849" max="14849" width="11.5703125" style="672" customWidth="1"/>
    <col min="14850" max="14850" width="8.42578125" style="672" customWidth="1"/>
    <col min="14851" max="14851" width="119.5703125" style="672" customWidth="1"/>
    <col min="14852" max="14852" width="23.7109375" style="672" customWidth="1"/>
    <col min="14853" max="14853" width="12.5703125" style="672" customWidth="1"/>
    <col min="14854" max="15104" width="11.42578125" style="672"/>
    <col min="15105" max="15105" width="11.5703125" style="672" customWidth="1"/>
    <col min="15106" max="15106" width="8.42578125" style="672" customWidth="1"/>
    <col min="15107" max="15107" width="119.5703125" style="672" customWidth="1"/>
    <col min="15108" max="15108" width="23.7109375" style="672" customWidth="1"/>
    <col min="15109" max="15109" width="12.5703125" style="672" customWidth="1"/>
    <col min="15110" max="15360" width="11.42578125" style="672"/>
    <col min="15361" max="15361" width="11.5703125" style="672" customWidth="1"/>
    <col min="15362" max="15362" width="8.42578125" style="672" customWidth="1"/>
    <col min="15363" max="15363" width="119.5703125" style="672" customWidth="1"/>
    <col min="15364" max="15364" width="23.7109375" style="672" customWidth="1"/>
    <col min="15365" max="15365" width="12.5703125" style="672" customWidth="1"/>
    <col min="15366" max="15616" width="11.42578125" style="672"/>
    <col min="15617" max="15617" width="11.5703125" style="672" customWidth="1"/>
    <col min="15618" max="15618" width="8.42578125" style="672" customWidth="1"/>
    <col min="15619" max="15619" width="119.5703125" style="672" customWidth="1"/>
    <col min="15620" max="15620" width="23.7109375" style="672" customWidth="1"/>
    <col min="15621" max="15621" width="12.5703125" style="672" customWidth="1"/>
    <col min="15622" max="15872" width="11.42578125" style="672"/>
    <col min="15873" max="15873" width="11.5703125" style="672" customWidth="1"/>
    <col min="15874" max="15874" width="8.42578125" style="672" customWidth="1"/>
    <col min="15875" max="15875" width="119.5703125" style="672" customWidth="1"/>
    <col min="15876" max="15876" width="23.7109375" style="672" customWidth="1"/>
    <col min="15877" max="15877" width="12.5703125" style="672" customWidth="1"/>
    <col min="15878" max="16128" width="11.42578125" style="672"/>
    <col min="16129" max="16129" width="11.5703125" style="672" customWidth="1"/>
    <col min="16130" max="16130" width="8.42578125" style="672" customWidth="1"/>
    <col min="16131" max="16131" width="119.5703125" style="672" customWidth="1"/>
    <col min="16132" max="16132" width="23.7109375" style="672" customWidth="1"/>
    <col min="16133" max="16133" width="12.5703125" style="672" customWidth="1"/>
    <col min="16134" max="16384" width="11.42578125" style="672"/>
  </cols>
  <sheetData>
    <row r="1" spans="2:5" ht="12.75" customHeight="1">
      <c r="B1" s="887" t="s">
        <v>1156</v>
      </c>
      <c r="C1" s="887"/>
      <c r="D1" s="887"/>
    </row>
    <row r="2" spans="2:5" s="696" customFormat="1" ht="15.75" customHeight="1">
      <c r="B2" s="887"/>
      <c r="C2" s="887"/>
      <c r="D2" s="887"/>
    </row>
    <row r="3" spans="2:5" s="421" customFormat="1" ht="18" customHeight="1">
      <c r="B3" s="887"/>
      <c r="C3" s="887"/>
      <c r="D3" s="887"/>
    </row>
    <row r="4" spans="2:5" ht="12.75" customHeight="1" thickBot="1">
      <c r="B4" s="888"/>
      <c r="C4" s="888"/>
      <c r="D4" s="888"/>
    </row>
    <row r="5" spans="2:5" s="679" customFormat="1" ht="29.25" customHeight="1">
      <c r="B5" s="725" t="s">
        <v>292</v>
      </c>
      <c r="C5" s="726" t="s">
        <v>405</v>
      </c>
      <c r="D5" s="726" t="s">
        <v>1157</v>
      </c>
    </row>
    <row r="6" spans="2:5" ht="27" customHeight="1">
      <c r="B6" s="727">
        <v>1</v>
      </c>
      <c r="C6" s="728" t="s">
        <v>406</v>
      </c>
      <c r="D6" s="729">
        <f>1800*5</f>
        <v>9000</v>
      </c>
      <c r="E6" s="730"/>
    </row>
    <row r="7" spans="2:5" ht="27" customHeight="1">
      <c r="B7" s="727">
        <v>2</v>
      </c>
      <c r="C7" s="728" t="s">
        <v>407</v>
      </c>
      <c r="D7" s="729">
        <v>730000</v>
      </c>
      <c r="E7" s="731"/>
    </row>
    <row r="8" spans="2:5" ht="27" customHeight="1">
      <c r="B8" s="727">
        <v>3</v>
      </c>
      <c r="C8" s="732" t="s">
        <v>408</v>
      </c>
      <c r="D8" s="729">
        <f>25200*5</f>
        <v>126000</v>
      </c>
      <c r="E8" s="730"/>
    </row>
    <row r="9" spans="2:5" ht="27" customHeight="1">
      <c r="B9" s="733">
        <v>4</v>
      </c>
      <c r="C9" s="732" t="s">
        <v>409</v>
      </c>
      <c r="D9" s="734">
        <f>1200*60</f>
        <v>72000</v>
      </c>
      <c r="E9" s="730"/>
    </row>
    <row r="10" spans="2:5" ht="27" customHeight="1">
      <c r="B10" s="727">
        <v>5</v>
      </c>
      <c r="C10" s="732" t="s">
        <v>410</v>
      </c>
      <c r="D10" s="735">
        <f>20000</f>
        <v>20000</v>
      </c>
      <c r="E10" s="730"/>
    </row>
    <row r="11" spans="2:5" ht="27" customHeight="1">
      <c r="B11" s="727">
        <v>6</v>
      </c>
      <c r="C11" s="732" t="s">
        <v>411</v>
      </c>
      <c r="D11" s="729">
        <f>52800*5</f>
        <v>264000</v>
      </c>
      <c r="E11" s="730"/>
    </row>
    <row r="12" spans="2:5" ht="27" customHeight="1">
      <c r="B12" s="727">
        <v>7</v>
      </c>
      <c r="C12" s="728" t="s">
        <v>412</v>
      </c>
      <c r="D12" s="729">
        <f>32400*5</f>
        <v>162000</v>
      </c>
      <c r="E12" s="730"/>
    </row>
    <row r="13" spans="2:5" ht="27" customHeight="1">
      <c r="B13" s="727">
        <v>8</v>
      </c>
      <c r="C13" s="728" t="s">
        <v>413</v>
      </c>
      <c r="D13" s="735">
        <f>1200*5</f>
        <v>6000</v>
      </c>
      <c r="E13" s="730"/>
    </row>
    <row r="14" spans="2:5" ht="27" customHeight="1">
      <c r="B14" s="727">
        <v>9</v>
      </c>
      <c r="C14" s="728" t="s">
        <v>414</v>
      </c>
      <c r="D14" s="735">
        <f>1200*5</f>
        <v>6000</v>
      </c>
      <c r="E14" s="736"/>
    </row>
    <row r="15" spans="2:5" ht="27" customHeight="1">
      <c r="B15" s="727">
        <v>10</v>
      </c>
      <c r="C15" s="728" t="s">
        <v>479</v>
      </c>
      <c r="D15" s="735">
        <f>1200*5</f>
        <v>6000</v>
      </c>
      <c r="E15" s="737"/>
    </row>
    <row r="16" spans="2:5" ht="27" customHeight="1">
      <c r="B16" s="727">
        <v>11</v>
      </c>
      <c r="C16" s="728" t="s">
        <v>416</v>
      </c>
      <c r="D16" s="735">
        <f>1200*5</f>
        <v>6000</v>
      </c>
      <c r="E16" s="730"/>
    </row>
    <row r="17" spans="2:5" ht="27" customHeight="1">
      <c r="B17" s="727">
        <v>12</v>
      </c>
      <c r="C17" s="732" t="s">
        <v>452</v>
      </c>
      <c r="D17" s="735">
        <f>42000*5</f>
        <v>210000</v>
      </c>
      <c r="E17" s="730"/>
    </row>
    <row r="18" spans="2:5" ht="27" customHeight="1">
      <c r="B18" s="727">
        <v>13</v>
      </c>
      <c r="C18" s="732" t="s">
        <v>418</v>
      </c>
      <c r="D18" s="738">
        <f>14400*5</f>
        <v>72000</v>
      </c>
      <c r="E18" s="730"/>
    </row>
    <row r="19" spans="2:5" ht="27" customHeight="1">
      <c r="B19" s="727">
        <v>14</v>
      </c>
      <c r="C19" s="728" t="s">
        <v>419</v>
      </c>
      <c r="D19" s="735">
        <f>26400*5</f>
        <v>132000</v>
      </c>
      <c r="E19" s="730"/>
    </row>
    <row r="20" spans="2:5" ht="27" customHeight="1">
      <c r="B20" s="727">
        <v>15</v>
      </c>
      <c r="C20" s="728" t="s">
        <v>420</v>
      </c>
      <c r="D20" s="735">
        <f>1800*5</f>
        <v>9000</v>
      </c>
      <c r="E20" s="730"/>
    </row>
    <row r="21" spans="2:5" ht="27" customHeight="1">
      <c r="B21" s="727">
        <v>16</v>
      </c>
      <c r="C21" s="728" t="s">
        <v>421</v>
      </c>
      <c r="D21" s="735">
        <f>1200*5</f>
        <v>6000</v>
      </c>
      <c r="E21" s="730"/>
    </row>
    <row r="22" spans="2:5" ht="27" customHeight="1">
      <c r="B22" s="727">
        <v>17</v>
      </c>
      <c r="C22" s="728" t="s">
        <v>455</v>
      </c>
      <c r="D22" s="735">
        <f>36000*5</f>
        <v>180000</v>
      </c>
      <c r="E22" s="739"/>
    </row>
    <row r="23" spans="2:5" ht="27" customHeight="1">
      <c r="B23" s="727">
        <v>18</v>
      </c>
      <c r="C23" s="728" t="s">
        <v>423</v>
      </c>
      <c r="D23" s="735">
        <f>7200*5</f>
        <v>36000</v>
      </c>
      <c r="E23" s="730"/>
    </row>
    <row r="24" spans="2:5" ht="27" customHeight="1">
      <c r="B24" s="727">
        <v>19</v>
      </c>
      <c r="C24" s="728" t="s">
        <v>424</v>
      </c>
      <c r="D24" s="424">
        <f>5000</f>
        <v>5000</v>
      </c>
      <c r="E24" s="737"/>
    </row>
    <row r="25" spans="2:5" ht="27" customHeight="1">
      <c r="B25" s="727">
        <v>20</v>
      </c>
      <c r="C25" s="728" t="s">
        <v>425</v>
      </c>
      <c r="D25" s="424">
        <f>6000*5</f>
        <v>30000</v>
      </c>
      <c r="E25" s="740"/>
    </row>
    <row r="26" spans="2:5" ht="27" customHeight="1">
      <c r="B26" s="727">
        <v>21</v>
      </c>
      <c r="C26" s="741" t="s">
        <v>426</v>
      </c>
      <c r="D26" s="424">
        <f>450000*1.2</f>
        <v>540000</v>
      </c>
      <c r="E26" s="742"/>
    </row>
    <row r="27" spans="2:5" ht="27" customHeight="1">
      <c r="B27" s="727">
        <v>22</v>
      </c>
      <c r="C27" s="741" t="s">
        <v>427</v>
      </c>
      <c r="D27" s="424">
        <v>55000</v>
      </c>
      <c r="E27" s="740"/>
    </row>
    <row r="28" spans="2:5" ht="27" customHeight="1">
      <c r="B28" s="727">
        <v>23</v>
      </c>
      <c r="C28" s="741" t="s">
        <v>428</v>
      </c>
      <c r="D28" s="424">
        <v>640000</v>
      </c>
      <c r="E28" s="742"/>
    </row>
  </sheetData>
  <mergeCells count="1">
    <mergeCell ref="B1:D4"/>
  </mergeCells>
  <pageMargins left="0.75" right="0.75" top="1" bottom="1" header="0" footer="0"/>
  <pageSetup paperSize="9" scale="70"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2:J24"/>
  <sheetViews>
    <sheetView showGridLines="0" workbookViewId="0">
      <selection activeCell="E8" sqref="E8"/>
    </sheetView>
  </sheetViews>
  <sheetFormatPr baseColWidth="10" defaultColWidth="13.42578125" defaultRowHeight="15"/>
  <cols>
    <col min="1" max="1" width="13.42578125" style="263"/>
    <col min="2" max="2" width="24.5703125" style="263" customWidth="1"/>
    <col min="3" max="3" width="11" style="263" customWidth="1"/>
    <col min="4" max="5" width="13.42578125" style="263"/>
    <col min="6" max="6" width="15.85546875" style="263" customWidth="1"/>
    <col min="7" max="7" width="26.140625" style="263" customWidth="1"/>
    <col min="8" max="8" width="13.42578125" style="263"/>
    <col min="9" max="9" width="2.85546875" style="263" customWidth="1"/>
    <col min="10" max="10" width="48.42578125" style="263" customWidth="1"/>
    <col min="11" max="16384" width="13.42578125" style="263"/>
  </cols>
  <sheetData>
    <row r="2" spans="2:10" s="515" customFormat="1" ht="38.25" customHeight="1">
      <c r="B2" s="520" t="s">
        <v>765</v>
      </c>
      <c r="C2" s="521" t="s">
        <v>760</v>
      </c>
      <c r="D2" s="521" t="s">
        <v>761</v>
      </c>
      <c r="E2" s="521" t="s">
        <v>762</v>
      </c>
      <c r="F2" s="521" t="s">
        <v>763</v>
      </c>
      <c r="G2" s="521" t="s">
        <v>65</v>
      </c>
      <c r="H2" s="522" t="s">
        <v>764</v>
      </c>
      <c r="J2" s="550" t="s">
        <v>771</v>
      </c>
    </row>
    <row r="3" spans="2:10" s="515" customFormat="1" ht="30">
      <c r="B3" s="577" t="s">
        <v>766</v>
      </c>
      <c r="C3" s="578">
        <v>50</v>
      </c>
      <c r="D3" s="578">
        <v>1500</v>
      </c>
      <c r="E3" s="578">
        <f>+D3*C3</f>
        <v>75000</v>
      </c>
      <c r="F3" s="579">
        <f>2.5*12</f>
        <v>30</v>
      </c>
      <c r="G3" s="578">
        <f>+E3/F3</f>
        <v>2500</v>
      </c>
      <c r="H3" s="580">
        <f>+G3</f>
        <v>2500</v>
      </c>
    </row>
    <row r="4" spans="2:10" s="515" customFormat="1">
      <c r="B4" s="519" t="s">
        <v>769</v>
      </c>
      <c r="C4" s="541">
        <f>50/3</f>
        <v>16.666666666666668</v>
      </c>
      <c r="D4" s="541">
        <f>+C20</f>
        <v>3300</v>
      </c>
      <c r="E4" s="541">
        <f>+D4*C4</f>
        <v>55000.000000000007</v>
      </c>
      <c r="F4" s="576">
        <f>+F3</f>
        <v>30</v>
      </c>
      <c r="G4" s="541">
        <f>+E4/F4</f>
        <v>1833.3333333333335</v>
      </c>
      <c r="H4" s="542">
        <f t="shared" ref="H4:H5" si="0">+G4</f>
        <v>1833.3333333333335</v>
      </c>
    </row>
    <row r="5" spans="2:10" s="515" customFormat="1">
      <c r="B5" s="519" t="s">
        <v>772</v>
      </c>
      <c r="C5" s="541">
        <f>+C3-C4</f>
        <v>33.333333333333329</v>
      </c>
      <c r="D5" s="541">
        <f>+C18</f>
        <v>1800</v>
      </c>
      <c r="E5" s="541">
        <f>+D5*C5</f>
        <v>59999.999999999993</v>
      </c>
      <c r="F5" s="576">
        <f>+F4</f>
        <v>30</v>
      </c>
      <c r="G5" s="541">
        <f>+E5/F5</f>
        <v>1999.9999999999998</v>
      </c>
      <c r="H5" s="542">
        <f t="shared" si="0"/>
        <v>1999.9999999999998</v>
      </c>
    </row>
    <row r="6" spans="2:10" s="515" customFormat="1">
      <c r="B6" s="519" t="s">
        <v>768</v>
      </c>
      <c r="C6" s="541">
        <f>+C4</f>
        <v>16.666666666666668</v>
      </c>
      <c r="D6" s="541">
        <v>57</v>
      </c>
      <c r="E6" s="541">
        <f t="shared" ref="E6" si="1">+D6*C6</f>
        <v>950.00000000000011</v>
      </c>
      <c r="F6" s="576"/>
      <c r="G6" s="541"/>
      <c r="H6" s="542">
        <f>+D6*C6</f>
        <v>950.00000000000011</v>
      </c>
    </row>
    <row r="7" spans="2:10" ht="18" customHeight="1">
      <c r="B7" s="581" t="s">
        <v>767</v>
      </c>
      <c r="C7" s="582">
        <v>5</v>
      </c>
      <c r="D7" s="582">
        <v>20000</v>
      </c>
      <c r="E7" s="582">
        <f>+D7*C7</f>
        <v>100000</v>
      </c>
      <c r="F7" s="583">
        <v>60</v>
      </c>
      <c r="G7" s="578">
        <f>+E7/F7</f>
        <v>1666.6666666666667</v>
      </c>
      <c r="H7" s="580">
        <f>+G7</f>
        <v>1666.6666666666667</v>
      </c>
      <c r="J7" s="263">
        <f>+D7*202</f>
        <v>4040000</v>
      </c>
    </row>
    <row r="8" spans="2:10">
      <c r="C8" s="543"/>
      <c r="D8" s="543"/>
      <c r="E8" s="544">
        <f>+SUM(E3:E7)</f>
        <v>290950</v>
      </c>
      <c r="F8" s="543"/>
      <c r="G8" s="543"/>
    </row>
    <row r="9" spans="2:10">
      <c r="C9" s="543"/>
      <c r="D9" s="543"/>
      <c r="E9" s="543"/>
      <c r="F9" s="543"/>
      <c r="G9" s="310" t="s">
        <v>1138</v>
      </c>
      <c r="H9" s="310">
        <f>3*1500+50*20</f>
        <v>5500</v>
      </c>
    </row>
    <row r="10" spans="2:10">
      <c r="G10" s="273" t="s">
        <v>1137</v>
      </c>
      <c r="H10" s="544">
        <f>+H7+H3+H4+H6+H5+H9</f>
        <v>14450</v>
      </c>
    </row>
    <row r="11" spans="2:10">
      <c r="H11" s="671"/>
    </row>
    <row r="12" spans="2:10">
      <c r="H12" s="671"/>
    </row>
    <row r="14" spans="2:10" ht="45" customHeight="1">
      <c r="B14" s="661" t="s">
        <v>1117</v>
      </c>
      <c r="C14" s="662">
        <v>45231</v>
      </c>
      <c r="D14" s="663"/>
      <c r="E14" s="663"/>
      <c r="F14" s="664" t="s">
        <v>1118</v>
      </c>
      <c r="G14" s="664" t="s">
        <v>1119</v>
      </c>
      <c r="H14" s="664" t="s">
        <v>1120</v>
      </c>
      <c r="I14" s="664" t="s">
        <v>1121</v>
      </c>
      <c r="J14" s="664" t="s">
        <v>64</v>
      </c>
    </row>
    <row r="15" spans="2:10">
      <c r="B15" s="273" t="s">
        <v>1122</v>
      </c>
      <c r="C15" s="273">
        <v>750</v>
      </c>
      <c r="F15" s="665">
        <f>+H23</f>
        <v>4.166666666666667</v>
      </c>
      <c r="G15" s="665">
        <f>+C24*M27/12</f>
        <v>0</v>
      </c>
      <c r="H15" s="665">
        <f>3*1500/36/12</f>
        <v>10.416666666666666</v>
      </c>
      <c r="I15" s="665">
        <f>750/12</f>
        <v>62.5</v>
      </c>
      <c r="J15" s="665">
        <f>+G15+F15+H15+I15</f>
        <v>77.083333333333329</v>
      </c>
    </row>
    <row r="16" spans="2:10">
      <c r="B16" s="273" t="s">
        <v>1123</v>
      </c>
      <c r="C16" s="273">
        <v>450</v>
      </c>
    </row>
    <row r="17" spans="2:10">
      <c r="B17" s="273" t="s">
        <v>1124</v>
      </c>
      <c r="C17" s="273">
        <v>1800</v>
      </c>
    </row>
    <row r="18" spans="2:10">
      <c r="B18" s="666" t="s">
        <v>1125</v>
      </c>
      <c r="C18" s="666">
        <v>1800</v>
      </c>
      <c r="F18" s="667" t="s">
        <v>1126</v>
      </c>
      <c r="G18" s="273">
        <f>+M27</f>
        <v>0</v>
      </c>
      <c r="H18" s="273">
        <f>+G18*C19</f>
        <v>0</v>
      </c>
    </row>
    <row r="19" spans="2:10">
      <c r="B19" s="273" t="s">
        <v>1127</v>
      </c>
      <c r="C19" s="273">
        <v>2960</v>
      </c>
      <c r="F19" s="667" t="s">
        <v>1128</v>
      </c>
      <c r="G19" s="273">
        <f>+N27</f>
        <v>0</v>
      </c>
      <c r="H19" s="273">
        <f>+G19*C18</f>
        <v>0</v>
      </c>
    </row>
    <row r="20" spans="2:10">
      <c r="B20" s="666" t="s">
        <v>1129</v>
      </c>
      <c r="C20" s="666">
        <v>3300</v>
      </c>
      <c r="F20" s="667" t="s">
        <v>1130</v>
      </c>
      <c r="G20" s="273">
        <v>12</v>
      </c>
      <c r="H20" s="273">
        <f>+G20*C22</f>
        <v>1800</v>
      </c>
    </row>
    <row r="21" spans="2:10">
      <c r="B21" s="273" t="s">
        <v>1131</v>
      </c>
      <c r="C21" s="273">
        <v>300</v>
      </c>
      <c r="G21" s="668" t="s">
        <v>1132</v>
      </c>
      <c r="H21" s="669">
        <f>+SUM(H18:H20)</f>
        <v>1800</v>
      </c>
      <c r="J21" s="670">
        <f>+H21/G20</f>
        <v>150</v>
      </c>
    </row>
    <row r="22" spans="2:10">
      <c r="B22" s="273" t="s">
        <v>1133</v>
      </c>
      <c r="C22" s="273">
        <v>150</v>
      </c>
      <c r="G22" s="667" t="s">
        <v>1134</v>
      </c>
      <c r="H22" s="273">
        <v>36</v>
      </c>
    </row>
    <row r="23" spans="2:10">
      <c r="B23" s="273" t="s">
        <v>1135</v>
      </c>
      <c r="C23" s="273">
        <v>17</v>
      </c>
      <c r="G23" s="667" t="s">
        <v>64</v>
      </c>
      <c r="H23" s="274">
        <f>+H21/H22/12</f>
        <v>4.166666666666667</v>
      </c>
      <c r="I23" s="670"/>
    </row>
    <row r="24" spans="2:10">
      <c r="B24" s="273" t="s">
        <v>1136</v>
      </c>
      <c r="C24" s="273">
        <v>57</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B2:H33"/>
  <sheetViews>
    <sheetView showGridLines="0" workbookViewId="0">
      <selection activeCell="B5" sqref="B5:H5"/>
    </sheetView>
  </sheetViews>
  <sheetFormatPr baseColWidth="10" defaultColWidth="22.28515625" defaultRowHeight="15"/>
  <cols>
    <col min="1" max="1" width="2.5703125" style="263" customWidth="1"/>
    <col min="2" max="2" width="10.5703125" style="263" customWidth="1"/>
    <col min="3" max="3" width="22.28515625" style="263"/>
    <col min="4" max="4" width="17" style="263" customWidth="1"/>
    <col min="5" max="5" width="31.42578125" style="263" customWidth="1"/>
    <col min="6" max="6" width="21.28515625" style="263" customWidth="1"/>
    <col min="7" max="7" width="12.28515625" style="263" customWidth="1"/>
    <col min="8" max="8" width="52.85546875" style="263" customWidth="1"/>
    <col min="9" max="16384" width="22.28515625" style="263"/>
  </cols>
  <sheetData>
    <row r="2" spans="2:8" s="515" customFormat="1" ht="51.75" customHeight="1">
      <c r="B2" s="520" t="s">
        <v>724</v>
      </c>
      <c r="C2" s="368" t="s">
        <v>717</v>
      </c>
      <c r="D2" s="521" t="s">
        <v>719</v>
      </c>
      <c r="E2" s="368" t="s">
        <v>721</v>
      </c>
      <c r="F2" s="368" t="s">
        <v>729</v>
      </c>
      <c r="G2" s="521" t="s">
        <v>722</v>
      </c>
      <c r="H2" s="368" t="s">
        <v>733</v>
      </c>
    </row>
    <row r="3" spans="2:8" s="515" customFormat="1" ht="45" customHeight="1">
      <c r="B3" s="526" t="s">
        <v>725</v>
      </c>
      <c r="C3" s="527" t="s">
        <v>718</v>
      </c>
      <c r="D3" s="528" t="s">
        <v>720</v>
      </c>
      <c r="E3" s="527" t="s">
        <v>735</v>
      </c>
      <c r="F3" s="527" t="s">
        <v>730</v>
      </c>
      <c r="G3" s="529">
        <f>1.5/22</f>
        <v>6.8181818181818177E-2</v>
      </c>
      <c r="H3" s="527"/>
    </row>
    <row r="4" spans="2:8" s="515" customFormat="1" ht="34.5" customHeight="1">
      <c r="B4" s="526" t="s">
        <v>726</v>
      </c>
      <c r="C4" s="527" t="s">
        <v>738</v>
      </c>
      <c r="D4" s="528" t="s">
        <v>720</v>
      </c>
      <c r="E4" s="527" t="s">
        <v>723</v>
      </c>
      <c r="F4" s="527" t="s">
        <v>730</v>
      </c>
      <c r="G4" s="530">
        <f>1.5/22</f>
        <v>6.8181818181818177E-2</v>
      </c>
      <c r="H4" s="527"/>
    </row>
    <row r="5" spans="2:8" s="515" customFormat="1" ht="34.5" customHeight="1">
      <c r="B5" s="546" t="s">
        <v>727</v>
      </c>
      <c r="C5" s="547" t="s">
        <v>728</v>
      </c>
      <c r="D5" s="548" t="s">
        <v>720</v>
      </c>
      <c r="E5" s="547" t="s">
        <v>732</v>
      </c>
      <c r="F5" s="547" t="s">
        <v>731</v>
      </c>
      <c r="G5" s="549">
        <f>(10%+7%)*6/12</f>
        <v>8.5000000000000006E-2</v>
      </c>
      <c r="H5" s="547" t="s">
        <v>770</v>
      </c>
    </row>
    <row r="6" spans="2:8" s="515" customFormat="1" ht="34.5" customHeight="1">
      <c r="B6" s="526" t="s">
        <v>725</v>
      </c>
      <c r="C6" s="527" t="s">
        <v>718</v>
      </c>
      <c r="D6" s="528" t="s">
        <v>734</v>
      </c>
      <c r="E6" s="527" t="s">
        <v>736</v>
      </c>
      <c r="F6" s="527" t="str">
        <f>ROUND((2.5%*127)*3,2)&amp;" equipos - día con desperfectos"</f>
        <v>9,53 equipos - día con desperfectos</v>
      </c>
      <c r="G6" s="531">
        <f>9.53*0.1%</f>
        <v>9.5300000000000003E-3</v>
      </c>
      <c r="H6" s="527" t="s">
        <v>737</v>
      </c>
    </row>
    <row r="7" spans="2:8" s="515" customFormat="1" ht="57.75" customHeight="1">
      <c r="B7" s="532" t="s">
        <v>727</v>
      </c>
      <c r="C7" s="533" t="s">
        <v>751</v>
      </c>
      <c r="D7" s="534" t="s">
        <v>752</v>
      </c>
      <c r="E7" s="533" t="s">
        <v>740</v>
      </c>
      <c r="F7" s="533" t="s">
        <v>745</v>
      </c>
      <c r="G7" s="535">
        <f>+'AjusteK-PQ'!AF26</f>
        <v>1.5000000000000009E-3</v>
      </c>
      <c r="H7" s="889" t="s">
        <v>750</v>
      </c>
    </row>
    <row r="8" spans="2:8" s="515" customFormat="1" ht="45" customHeight="1">
      <c r="B8" s="536" t="s">
        <v>727</v>
      </c>
      <c r="C8" s="537" t="s">
        <v>751</v>
      </c>
      <c r="D8" s="538" t="s">
        <v>739</v>
      </c>
      <c r="E8" s="537" t="s">
        <v>741</v>
      </c>
      <c r="F8" s="537" t="s">
        <v>745</v>
      </c>
      <c r="G8" s="539">
        <f>+'AjusteK-PQ'!AG26</f>
        <v>1.1250000000000007E-2</v>
      </c>
      <c r="H8" s="890"/>
    </row>
    <row r="9" spans="2:8" s="515" customFormat="1" ht="34.5" customHeight="1"/>
    <row r="10" spans="2:8" s="515" customFormat="1" ht="34.5" customHeight="1">
      <c r="G10" s="516"/>
    </row>
    <row r="11" spans="2:8" s="515" customFormat="1" ht="34.5" customHeight="1"/>
    <row r="12" spans="2:8" s="515" customFormat="1" ht="34.5" customHeight="1"/>
    <row r="13" spans="2:8" s="515" customFormat="1" ht="34.5" customHeight="1"/>
    <row r="14" spans="2:8" s="515" customFormat="1" ht="34.5" customHeight="1"/>
    <row r="15" spans="2:8" s="515" customFormat="1" ht="34.5" customHeight="1"/>
    <row r="16" spans="2:8" s="515" customFormat="1" ht="34.5" customHeight="1"/>
    <row r="17" s="515" customFormat="1" ht="34.5" customHeight="1"/>
    <row r="18" s="515" customFormat="1" ht="34.5" customHeight="1"/>
    <row r="19" s="515" customFormat="1" ht="34.5" customHeight="1"/>
    <row r="20" s="515" customFormat="1" ht="34.5" customHeight="1"/>
    <row r="21" s="515" customFormat="1" ht="34.5" customHeight="1"/>
    <row r="22" s="515" customFormat="1" ht="34.5" customHeight="1"/>
    <row r="23" s="515" customFormat="1" ht="34.5" customHeight="1"/>
    <row r="24" s="515" customFormat="1" ht="34.5" customHeight="1"/>
    <row r="25" s="515" customFormat="1" ht="34.5" customHeight="1"/>
    <row r="26" s="515" customFormat="1" ht="34.5" customHeight="1"/>
    <row r="27" s="515" customFormat="1" ht="34.5" customHeight="1"/>
    <row r="28" s="515" customFormat="1" ht="34.5" customHeight="1"/>
    <row r="29" s="515" customFormat="1" ht="34.5" customHeight="1"/>
    <row r="30" s="515" customFormat="1" ht="34.5" customHeight="1"/>
    <row r="31" s="515" customFormat="1" ht="34.5" customHeight="1"/>
    <row r="32" s="515" customFormat="1" ht="34.5" customHeight="1"/>
    <row r="33" s="515" customFormat="1" ht="34.5" customHeight="1"/>
  </sheetData>
  <mergeCells count="1">
    <mergeCell ref="H7:H8"/>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
  <sheetViews>
    <sheetView showGridLines="0" zoomScale="90" zoomScaleNormal="90" workbookViewId="0">
      <selection activeCell="J29" sqref="J29"/>
    </sheetView>
  </sheetViews>
  <sheetFormatPr baseColWidth="10" defaultRowHeight="15"/>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M300"/>
  <sheetViews>
    <sheetView showGridLines="0" zoomScaleNormal="100" workbookViewId="0">
      <pane ySplit="2" topLeftCell="A156" activePane="bottomLeft" state="frozen"/>
      <selection pane="bottomLeft" activeCell="E172" sqref="E172"/>
    </sheetView>
  </sheetViews>
  <sheetFormatPr baseColWidth="10" defaultRowHeight="15"/>
  <cols>
    <col min="1" max="1" width="26.5703125" style="488" customWidth="1"/>
    <col min="2" max="2" width="15" style="489" customWidth="1"/>
    <col min="3" max="3" width="18.140625" style="489" customWidth="1"/>
    <col min="4" max="4" width="14.7109375" style="488" customWidth="1"/>
    <col min="5" max="5" width="18" style="488" customWidth="1"/>
    <col min="6" max="6" width="11" style="488" customWidth="1"/>
    <col min="7" max="7" width="28.28515625" style="488" bestFit="1" customWidth="1"/>
    <col min="8" max="8" width="10.85546875" customWidth="1"/>
    <col min="9" max="10" width="10.28515625" customWidth="1"/>
    <col min="13" max="13" width="11.85546875" bestFit="1" customWidth="1"/>
  </cols>
  <sheetData>
    <row r="1" spans="1:13" ht="49.5" customHeight="1"/>
    <row r="2" spans="1:13" ht="36.75" customHeight="1">
      <c r="A2" s="490" t="s">
        <v>534</v>
      </c>
      <c r="B2" s="490" t="s">
        <v>535</v>
      </c>
      <c r="C2" s="490" t="s">
        <v>536</v>
      </c>
      <c r="D2" s="490" t="s">
        <v>537</v>
      </c>
      <c r="E2" s="490" t="s">
        <v>538</v>
      </c>
      <c r="F2" s="490" t="s">
        <v>539</v>
      </c>
      <c r="G2" s="490" t="s">
        <v>540</v>
      </c>
      <c r="H2" s="490" t="s">
        <v>541</v>
      </c>
      <c r="I2" s="490" t="s">
        <v>712</v>
      </c>
      <c r="J2" s="490" t="s">
        <v>713</v>
      </c>
      <c r="K2" s="490" t="s">
        <v>707</v>
      </c>
      <c r="L2" s="490" t="s">
        <v>715</v>
      </c>
    </row>
    <row r="3" spans="1:13" ht="20.100000000000001" customHeight="1">
      <c r="A3" s="491" t="s">
        <v>542</v>
      </c>
      <c r="B3" s="491" t="s">
        <v>543</v>
      </c>
      <c r="C3" s="491"/>
      <c r="D3" s="492" t="s">
        <v>544</v>
      </c>
      <c r="E3" s="492" t="s">
        <v>545</v>
      </c>
      <c r="F3" s="493" t="s">
        <v>546</v>
      </c>
      <c r="G3" s="492" t="s">
        <v>547</v>
      </c>
      <c r="H3" s="491" t="s">
        <v>444</v>
      </c>
      <c r="I3" s="492">
        <v>30</v>
      </c>
      <c r="J3" s="491">
        <f t="shared" ref="J3:J47" si="0">+I3</f>
        <v>30</v>
      </c>
      <c r="K3" s="491">
        <v>1</v>
      </c>
      <c r="L3" s="491"/>
      <c r="M3">
        <f>IF(K3=1,J3,"")-IF(K3=1,J3*0.9,"")</f>
        <v>3</v>
      </c>
    </row>
    <row r="4" spans="1:13" ht="20.100000000000001" customHeight="1">
      <c r="A4" s="494" t="s">
        <v>542</v>
      </c>
      <c r="B4" s="494" t="s">
        <v>548</v>
      </c>
      <c r="C4" s="494"/>
      <c r="D4" s="495" t="s">
        <v>544</v>
      </c>
      <c r="E4" s="495" t="s">
        <v>545</v>
      </c>
      <c r="F4" s="496" t="s">
        <v>546</v>
      </c>
      <c r="G4" s="495" t="s">
        <v>547</v>
      </c>
      <c r="H4" s="494" t="s">
        <v>444</v>
      </c>
      <c r="I4" s="495">
        <v>30</v>
      </c>
      <c r="J4" s="491">
        <f t="shared" si="0"/>
        <v>30</v>
      </c>
      <c r="K4" s="491">
        <v>1</v>
      </c>
      <c r="L4" s="491"/>
      <c r="M4">
        <f t="shared" ref="M4:M67" si="1">IF(K4=1,J4,"")-IF(K4=1,J4*0.9,"")</f>
        <v>3</v>
      </c>
    </row>
    <row r="5" spans="1:13" ht="20.100000000000001" customHeight="1">
      <c r="A5" s="494" t="s">
        <v>542</v>
      </c>
      <c r="B5" s="494" t="s">
        <v>549</v>
      </c>
      <c r="C5" s="494"/>
      <c r="D5" s="495" t="s">
        <v>544</v>
      </c>
      <c r="E5" s="495" t="s">
        <v>545</v>
      </c>
      <c r="F5" s="496" t="s">
        <v>546</v>
      </c>
      <c r="G5" s="495" t="s">
        <v>547</v>
      </c>
      <c r="H5" s="494" t="s">
        <v>444</v>
      </c>
      <c r="I5" s="495">
        <v>40</v>
      </c>
      <c r="J5" s="491">
        <f t="shared" si="0"/>
        <v>40</v>
      </c>
      <c r="K5" s="491">
        <v>1</v>
      </c>
      <c r="L5" s="491"/>
      <c r="M5">
        <f t="shared" si="1"/>
        <v>4</v>
      </c>
    </row>
    <row r="6" spans="1:13" ht="20.100000000000001" customHeight="1">
      <c r="A6" s="494" t="s">
        <v>542</v>
      </c>
      <c r="B6" s="494" t="s">
        <v>550</v>
      </c>
      <c r="C6" s="494"/>
      <c r="D6" s="495" t="s">
        <v>544</v>
      </c>
      <c r="E6" s="495" t="s">
        <v>545</v>
      </c>
      <c r="F6" s="496" t="s">
        <v>546</v>
      </c>
      <c r="G6" s="495" t="s">
        <v>547</v>
      </c>
      <c r="H6" s="494" t="s">
        <v>444</v>
      </c>
      <c r="I6" s="495">
        <v>15</v>
      </c>
      <c r="J6" s="491">
        <f t="shared" si="0"/>
        <v>15</v>
      </c>
      <c r="K6" s="491">
        <v>1</v>
      </c>
      <c r="L6" s="491"/>
      <c r="M6">
        <f t="shared" si="1"/>
        <v>1.5</v>
      </c>
    </row>
    <row r="7" spans="1:13" ht="20.100000000000001" customHeight="1">
      <c r="A7" s="494" t="s">
        <v>542</v>
      </c>
      <c r="B7" s="494" t="s">
        <v>551</v>
      </c>
      <c r="C7" s="494"/>
      <c r="D7" s="495" t="s">
        <v>544</v>
      </c>
      <c r="E7" s="495" t="s">
        <v>545</v>
      </c>
      <c r="F7" s="496" t="s">
        <v>546</v>
      </c>
      <c r="G7" s="495" t="s">
        <v>547</v>
      </c>
      <c r="H7" s="494" t="s">
        <v>444</v>
      </c>
      <c r="I7" s="495">
        <v>35</v>
      </c>
      <c r="J7" s="491">
        <f t="shared" si="0"/>
        <v>35</v>
      </c>
      <c r="K7" s="491">
        <v>1</v>
      </c>
      <c r="L7" s="491"/>
      <c r="M7">
        <f t="shared" si="1"/>
        <v>3.5</v>
      </c>
    </row>
    <row r="8" spans="1:13" ht="20.100000000000001" customHeight="1">
      <c r="A8" s="494" t="s">
        <v>542</v>
      </c>
      <c r="B8" s="494" t="s">
        <v>552</v>
      </c>
      <c r="C8" s="494"/>
      <c r="D8" s="495" t="s">
        <v>544</v>
      </c>
      <c r="E8" s="495" t="s">
        <v>545</v>
      </c>
      <c r="F8" s="496" t="s">
        <v>546</v>
      </c>
      <c r="G8" s="495" t="s">
        <v>547</v>
      </c>
      <c r="H8" s="494" t="s">
        <v>444</v>
      </c>
      <c r="I8" s="495">
        <v>35</v>
      </c>
      <c r="J8" s="491">
        <f t="shared" si="0"/>
        <v>35</v>
      </c>
      <c r="K8" s="491">
        <v>1</v>
      </c>
      <c r="L8" s="491"/>
      <c r="M8">
        <f t="shared" si="1"/>
        <v>3.5</v>
      </c>
    </row>
    <row r="9" spans="1:13" ht="20.100000000000001" customHeight="1">
      <c r="A9" s="494" t="s">
        <v>542</v>
      </c>
      <c r="B9" s="494" t="s">
        <v>553</v>
      </c>
      <c r="C9" s="494"/>
      <c r="D9" s="495" t="s">
        <v>544</v>
      </c>
      <c r="E9" s="495" t="s">
        <v>545</v>
      </c>
      <c r="F9" s="496" t="s">
        <v>546</v>
      </c>
      <c r="G9" s="495" t="s">
        <v>547</v>
      </c>
      <c r="H9" s="494" t="s">
        <v>444</v>
      </c>
      <c r="I9" s="495">
        <v>30</v>
      </c>
      <c r="J9" s="491">
        <f t="shared" si="0"/>
        <v>30</v>
      </c>
      <c r="K9" s="491">
        <v>1</v>
      </c>
      <c r="L9" s="491"/>
      <c r="M9">
        <f t="shared" si="1"/>
        <v>3</v>
      </c>
    </row>
    <row r="10" spans="1:13" ht="20.100000000000001" customHeight="1">
      <c r="A10" s="494" t="s">
        <v>542</v>
      </c>
      <c r="B10" s="494" t="s">
        <v>554</v>
      </c>
      <c r="C10" s="494"/>
      <c r="D10" s="495" t="s">
        <v>544</v>
      </c>
      <c r="E10" s="495" t="s">
        <v>545</v>
      </c>
      <c r="F10" s="496" t="s">
        <v>546</v>
      </c>
      <c r="G10" s="495" t="s">
        <v>547</v>
      </c>
      <c r="H10" s="494" t="s">
        <v>444</v>
      </c>
      <c r="I10" s="495">
        <v>50</v>
      </c>
      <c r="J10" s="491">
        <f t="shared" si="0"/>
        <v>50</v>
      </c>
      <c r="K10" s="491">
        <v>1</v>
      </c>
      <c r="L10" s="491"/>
      <c r="M10">
        <f t="shared" si="1"/>
        <v>5</v>
      </c>
    </row>
    <row r="11" spans="1:13" ht="20.100000000000001" customHeight="1">
      <c r="A11" s="494" t="s">
        <v>542</v>
      </c>
      <c r="B11" s="494" t="s">
        <v>555</v>
      </c>
      <c r="C11" s="494"/>
      <c r="D11" s="495" t="s">
        <v>544</v>
      </c>
      <c r="E11" s="495" t="s">
        <v>545</v>
      </c>
      <c r="F11" s="496" t="s">
        <v>546</v>
      </c>
      <c r="G11" s="495" t="s">
        <v>547</v>
      </c>
      <c r="H11" s="494" t="s">
        <v>444</v>
      </c>
      <c r="I11" s="495">
        <v>32</v>
      </c>
      <c r="J11" s="491">
        <f t="shared" si="0"/>
        <v>32</v>
      </c>
      <c r="K11" s="491">
        <v>1</v>
      </c>
      <c r="L11" s="491"/>
      <c r="M11">
        <f t="shared" si="1"/>
        <v>3.1999999999999993</v>
      </c>
    </row>
    <row r="12" spans="1:13" ht="20.100000000000001" customHeight="1">
      <c r="A12" s="494" t="s">
        <v>542</v>
      </c>
      <c r="B12" s="494" t="s">
        <v>556</v>
      </c>
      <c r="C12" s="494"/>
      <c r="D12" s="495" t="s">
        <v>544</v>
      </c>
      <c r="E12" s="495" t="s">
        <v>545</v>
      </c>
      <c r="F12" s="496" t="s">
        <v>546</v>
      </c>
      <c r="G12" s="495" t="s">
        <v>547</v>
      </c>
      <c r="H12" s="494" t="s">
        <v>444</v>
      </c>
      <c r="I12" s="495">
        <v>40</v>
      </c>
      <c r="J12" s="491">
        <f t="shared" si="0"/>
        <v>40</v>
      </c>
      <c r="K12" s="491">
        <v>1</v>
      </c>
      <c r="L12" s="491"/>
      <c r="M12">
        <f t="shared" si="1"/>
        <v>4</v>
      </c>
    </row>
    <row r="13" spans="1:13" ht="20.100000000000001" customHeight="1">
      <c r="A13" s="494" t="s">
        <v>542</v>
      </c>
      <c r="B13" s="494" t="s">
        <v>557</v>
      </c>
      <c r="C13" s="494"/>
      <c r="D13" s="495" t="s">
        <v>544</v>
      </c>
      <c r="E13" s="495" t="s">
        <v>545</v>
      </c>
      <c r="F13" s="496" t="s">
        <v>546</v>
      </c>
      <c r="G13" s="495" t="s">
        <v>547</v>
      </c>
      <c r="H13" s="494" t="s">
        <v>444</v>
      </c>
      <c r="I13" s="495">
        <v>20</v>
      </c>
      <c r="J13" s="491">
        <f t="shared" si="0"/>
        <v>20</v>
      </c>
      <c r="K13" s="491">
        <v>1</v>
      </c>
      <c r="L13" s="491"/>
      <c r="M13">
        <f t="shared" si="1"/>
        <v>2</v>
      </c>
    </row>
    <row r="14" spans="1:13" ht="20.100000000000001" customHeight="1">
      <c r="A14" s="494" t="s">
        <v>542</v>
      </c>
      <c r="B14" s="494" t="s">
        <v>558</v>
      </c>
      <c r="C14" s="494"/>
      <c r="D14" s="495" t="s">
        <v>544</v>
      </c>
      <c r="E14" s="495"/>
      <c r="F14" s="496" t="s">
        <v>546</v>
      </c>
      <c r="G14" s="495" t="s">
        <v>559</v>
      </c>
      <c r="H14" s="497" t="s">
        <v>448</v>
      </c>
      <c r="I14" s="495">
        <v>20</v>
      </c>
      <c r="J14" s="491">
        <f t="shared" si="0"/>
        <v>20</v>
      </c>
      <c r="K14" s="491">
        <v>1</v>
      </c>
      <c r="L14" s="491"/>
      <c r="M14">
        <f t="shared" si="1"/>
        <v>2</v>
      </c>
    </row>
    <row r="15" spans="1:13" ht="20.100000000000001" customHeight="1">
      <c r="A15" s="494" t="s">
        <v>542</v>
      </c>
      <c r="B15" s="494" t="s">
        <v>560</v>
      </c>
      <c r="C15" s="494"/>
      <c r="D15" s="495" t="s">
        <v>544</v>
      </c>
      <c r="E15" s="495"/>
      <c r="F15" s="496" t="s">
        <v>546</v>
      </c>
      <c r="G15" s="495" t="s">
        <v>559</v>
      </c>
      <c r="H15" s="497" t="s">
        <v>448</v>
      </c>
      <c r="I15" s="495">
        <v>10</v>
      </c>
      <c r="J15" s="491">
        <f t="shared" si="0"/>
        <v>10</v>
      </c>
      <c r="K15" s="491">
        <v>1</v>
      </c>
      <c r="L15" s="491"/>
      <c r="M15">
        <f t="shared" si="1"/>
        <v>1</v>
      </c>
    </row>
    <row r="16" spans="1:13" ht="20.100000000000001" customHeight="1">
      <c r="A16" s="494" t="s">
        <v>542</v>
      </c>
      <c r="B16" s="494" t="s">
        <v>561</v>
      </c>
      <c r="C16" s="494"/>
      <c r="D16" s="495" t="s">
        <v>544</v>
      </c>
      <c r="E16" s="495" t="s">
        <v>562</v>
      </c>
      <c r="F16" s="496" t="s">
        <v>546</v>
      </c>
      <c r="G16" s="495" t="s">
        <v>559</v>
      </c>
      <c r="H16" s="497" t="s">
        <v>448</v>
      </c>
      <c r="I16" s="495">
        <v>10</v>
      </c>
      <c r="J16" s="491">
        <f t="shared" si="0"/>
        <v>10</v>
      </c>
      <c r="K16" s="491">
        <v>1</v>
      </c>
      <c r="L16" s="491"/>
      <c r="M16">
        <f t="shared" si="1"/>
        <v>1</v>
      </c>
    </row>
    <row r="17" spans="1:13" ht="20.100000000000001" customHeight="1">
      <c r="A17" s="494" t="s">
        <v>542</v>
      </c>
      <c r="B17" s="494" t="s">
        <v>563</v>
      </c>
      <c r="C17" s="494"/>
      <c r="D17" s="495" t="s">
        <v>544</v>
      </c>
      <c r="E17" s="495" t="s">
        <v>562</v>
      </c>
      <c r="F17" s="496" t="s">
        <v>546</v>
      </c>
      <c r="G17" s="495" t="s">
        <v>559</v>
      </c>
      <c r="H17" s="497" t="s">
        <v>448</v>
      </c>
      <c r="I17" s="495">
        <v>25</v>
      </c>
      <c r="J17" s="491">
        <f t="shared" si="0"/>
        <v>25</v>
      </c>
      <c r="K17" s="491">
        <v>1</v>
      </c>
      <c r="L17" s="491"/>
      <c r="M17">
        <f t="shared" si="1"/>
        <v>2.5</v>
      </c>
    </row>
    <row r="18" spans="1:13" ht="20.100000000000001" customHeight="1">
      <c r="A18" s="494" t="s">
        <v>542</v>
      </c>
      <c r="B18" s="494" t="s">
        <v>564</v>
      </c>
      <c r="C18" s="494"/>
      <c r="D18" s="495" t="s">
        <v>544</v>
      </c>
      <c r="E18" s="495" t="s">
        <v>545</v>
      </c>
      <c r="F18" s="496" t="s">
        <v>546</v>
      </c>
      <c r="G18" s="495" t="s">
        <v>559</v>
      </c>
      <c r="H18" s="497" t="s">
        <v>448</v>
      </c>
      <c r="I18" s="495">
        <v>25</v>
      </c>
      <c r="J18" s="491">
        <f t="shared" si="0"/>
        <v>25</v>
      </c>
      <c r="K18" s="491">
        <v>1</v>
      </c>
      <c r="L18" s="491"/>
      <c r="M18">
        <f t="shared" si="1"/>
        <v>2.5</v>
      </c>
    </row>
    <row r="19" spans="1:13" ht="20.100000000000001" customHeight="1">
      <c r="A19" s="494" t="s">
        <v>542</v>
      </c>
      <c r="B19" s="494" t="s">
        <v>565</v>
      </c>
      <c r="C19" s="494"/>
      <c r="D19" s="495" t="s">
        <v>544</v>
      </c>
      <c r="E19" s="495"/>
      <c r="F19" s="496" t="s">
        <v>546</v>
      </c>
      <c r="G19" s="495" t="s">
        <v>559</v>
      </c>
      <c r="H19" s="497" t="s">
        <v>448</v>
      </c>
      <c r="I19" s="495">
        <v>70</v>
      </c>
      <c r="J19" s="491">
        <f t="shared" si="0"/>
        <v>70</v>
      </c>
      <c r="K19" s="491">
        <v>1</v>
      </c>
      <c r="L19" s="491"/>
      <c r="M19">
        <f t="shared" si="1"/>
        <v>7</v>
      </c>
    </row>
    <row r="20" spans="1:13" ht="20.100000000000001" customHeight="1">
      <c r="A20" s="494" t="s">
        <v>542</v>
      </c>
      <c r="B20" s="494" t="s">
        <v>566</v>
      </c>
      <c r="C20" s="494"/>
      <c r="D20" s="495" t="s">
        <v>544</v>
      </c>
      <c r="E20" s="495"/>
      <c r="F20" s="496" t="s">
        <v>546</v>
      </c>
      <c r="G20" s="495" t="s">
        <v>559</v>
      </c>
      <c r="H20" s="497" t="s">
        <v>448</v>
      </c>
      <c r="I20" s="495">
        <v>70</v>
      </c>
      <c r="J20" s="491">
        <f t="shared" si="0"/>
        <v>70</v>
      </c>
      <c r="K20" s="491">
        <v>1</v>
      </c>
      <c r="L20" s="491"/>
      <c r="M20">
        <f t="shared" si="1"/>
        <v>7</v>
      </c>
    </row>
    <row r="21" spans="1:13" ht="20.100000000000001" customHeight="1">
      <c r="A21" s="494" t="s">
        <v>542</v>
      </c>
      <c r="B21" s="494" t="s">
        <v>567</v>
      </c>
      <c r="C21" s="494"/>
      <c r="D21" s="495" t="s">
        <v>544</v>
      </c>
      <c r="E21" s="495"/>
      <c r="F21" s="496" t="s">
        <v>546</v>
      </c>
      <c r="G21" s="495" t="s">
        <v>559</v>
      </c>
      <c r="H21" s="497" t="s">
        <v>448</v>
      </c>
      <c r="I21" s="495">
        <v>15</v>
      </c>
      <c r="J21" s="491">
        <f t="shared" si="0"/>
        <v>15</v>
      </c>
      <c r="K21" s="491">
        <v>1</v>
      </c>
      <c r="L21" s="491"/>
      <c r="M21">
        <f t="shared" si="1"/>
        <v>1.5</v>
      </c>
    </row>
    <row r="22" spans="1:13" ht="20.100000000000001" customHeight="1">
      <c r="A22" s="494" t="s">
        <v>542</v>
      </c>
      <c r="B22" s="494" t="s">
        <v>568</v>
      </c>
      <c r="C22" s="494"/>
      <c r="D22" s="495" t="s">
        <v>544</v>
      </c>
      <c r="E22" s="495" t="s">
        <v>562</v>
      </c>
      <c r="F22" s="496" t="s">
        <v>546</v>
      </c>
      <c r="G22" s="495" t="s">
        <v>569</v>
      </c>
      <c r="H22" s="514" t="s">
        <v>456</v>
      </c>
      <c r="I22" s="495">
        <v>40</v>
      </c>
      <c r="J22" s="491">
        <f t="shared" si="0"/>
        <v>40</v>
      </c>
      <c r="K22" s="491">
        <v>1</v>
      </c>
      <c r="L22" s="491"/>
      <c r="M22">
        <f t="shared" si="1"/>
        <v>4</v>
      </c>
    </row>
    <row r="23" spans="1:13" ht="20.100000000000001" customHeight="1">
      <c r="A23" s="494" t="s">
        <v>542</v>
      </c>
      <c r="B23" s="494" t="s">
        <v>570</v>
      </c>
      <c r="C23" s="494"/>
      <c r="D23" s="495" t="s">
        <v>544</v>
      </c>
      <c r="E23" s="495" t="s">
        <v>562</v>
      </c>
      <c r="F23" s="496" t="s">
        <v>546</v>
      </c>
      <c r="G23" s="495" t="s">
        <v>571</v>
      </c>
      <c r="H23" s="498"/>
      <c r="I23" s="495" t="s">
        <v>31</v>
      </c>
      <c r="J23" s="491" t="str">
        <f t="shared" si="0"/>
        <v>-</v>
      </c>
      <c r="K23" s="491">
        <v>1</v>
      </c>
      <c r="L23" s="491"/>
      <c r="M23" t="e">
        <f t="shared" si="1"/>
        <v>#VALUE!</v>
      </c>
    </row>
    <row r="24" spans="1:13" ht="20.100000000000001" customHeight="1">
      <c r="A24" s="494" t="s">
        <v>542</v>
      </c>
      <c r="B24" s="494" t="s">
        <v>572</v>
      </c>
      <c r="C24" s="494"/>
      <c r="D24" s="495" t="s">
        <v>544</v>
      </c>
      <c r="E24" s="495" t="s">
        <v>545</v>
      </c>
      <c r="F24" s="496" t="s">
        <v>546</v>
      </c>
      <c r="G24" s="495" t="s">
        <v>573</v>
      </c>
      <c r="H24" s="497" t="s">
        <v>438</v>
      </c>
      <c r="I24" s="495">
        <v>8</v>
      </c>
      <c r="J24" s="491">
        <f t="shared" si="0"/>
        <v>8</v>
      </c>
      <c r="K24" s="491">
        <v>1</v>
      </c>
      <c r="L24" s="491"/>
      <c r="M24">
        <f t="shared" si="1"/>
        <v>0.79999999999999982</v>
      </c>
    </row>
    <row r="25" spans="1:13" ht="20.100000000000001" customHeight="1">
      <c r="A25" s="494" t="s">
        <v>542</v>
      </c>
      <c r="B25" s="494" t="s">
        <v>574</v>
      </c>
      <c r="C25" s="494"/>
      <c r="D25" s="495" t="s">
        <v>544</v>
      </c>
      <c r="E25" s="495" t="s">
        <v>545</v>
      </c>
      <c r="F25" s="496" t="s">
        <v>546</v>
      </c>
      <c r="G25" s="495" t="s">
        <v>573</v>
      </c>
      <c r="H25" s="497" t="s">
        <v>438</v>
      </c>
      <c r="I25" s="495">
        <v>8</v>
      </c>
      <c r="J25" s="491">
        <f t="shared" si="0"/>
        <v>8</v>
      </c>
      <c r="K25" s="491">
        <v>1</v>
      </c>
      <c r="L25" s="491"/>
      <c r="M25">
        <f t="shared" si="1"/>
        <v>0.79999999999999982</v>
      </c>
    </row>
    <row r="26" spans="1:13" ht="20.100000000000001" customHeight="1">
      <c r="A26" s="494" t="s">
        <v>542</v>
      </c>
      <c r="B26" s="494" t="s">
        <v>575</v>
      </c>
      <c r="C26" s="494"/>
      <c r="D26" s="495" t="s">
        <v>544</v>
      </c>
      <c r="E26" s="495" t="s">
        <v>545</v>
      </c>
      <c r="F26" s="496" t="s">
        <v>546</v>
      </c>
      <c r="G26" s="495" t="s">
        <v>573</v>
      </c>
      <c r="H26" s="497" t="s">
        <v>438</v>
      </c>
      <c r="I26" s="495">
        <v>10</v>
      </c>
      <c r="J26" s="491">
        <f t="shared" si="0"/>
        <v>10</v>
      </c>
      <c r="K26" s="491">
        <v>1</v>
      </c>
      <c r="L26" s="491"/>
      <c r="M26">
        <f t="shared" si="1"/>
        <v>1</v>
      </c>
    </row>
    <row r="27" spans="1:13" ht="20.100000000000001" customHeight="1">
      <c r="A27" s="494" t="s">
        <v>542</v>
      </c>
      <c r="B27" s="494" t="s">
        <v>576</v>
      </c>
      <c r="C27" s="494"/>
      <c r="D27" s="495" t="s">
        <v>544</v>
      </c>
      <c r="E27" s="495" t="s">
        <v>545</v>
      </c>
      <c r="F27" s="496" t="s">
        <v>546</v>
      </c>
      <c r="G27" s="495" t="s">
        <v>573</v>
      </c>
      <c r="H27" s="497" t="s">
        <v>438</v>
      </c>
      <c r="I27" s="495">
        <v>8</v>
      </c>
      <c r="J27" s="491">
        <f t="shared" si="0"/>
        <v>8</v>
      </c>
      <c r="K27" s="491">
        <v>1</v>
      </c>
      <c r="L27" s="491"/>
      <c r="M27">
        <f t="shared" si="1"/>
        <v>0.79999999999999982</v>
      </c>
    </row>
    <row r="28" spans="1:13" ht="20.100000000000001" customHeight="1">
      <c r="A28" s="494" t="s">
        <v>542</v>
      </c>
      <c r="B28" s="494" t="s">
        <v>577</v>
      </c>
      <c r="C28" s="494"/>
      <c r="D28" s="495" t="s">
        <v>544</v>
      </c>
      <c r="E28" s="495" t="s">
        <v>545</v>
      </c>
      <c r="F28" s="496" t="s">
        <v>546</v>
      </c>
      <c r="G28" s="495" t="s">
        <v>573</v>
      </c>
      <c r="H28" s="497" t="s">
        <v>438</v>
      </c>
      <c r="I28" s="495">
        <v>8</v>
      </c>
      <c r="J28" s="491">
        <f t="shared" si="0"/>
        <v>8</v>
      </c>
      <c r="K28" s="491">
        <v>1</v>
      </c>
      <c r="L28" s="491"/>
      <c r="M28">
        <f t="shared" si="1"/>
        <v>0.79999999999999982</v>
      </c>
    </row>
    <row r="29" spans="1:13" ht="20.100000000000001" customHeight="1">
      <c r="A29" s="494" t="s">
        <v>542</v>
      </c>
      <c r="B29" s="494" t="s">
        <v>578</v>
      </c>
      <c r="C29" s="494"/>
      <c r="D29" s="495" t="s">
        <v>544</v>
      </c>
      <c r="E29" s="496" t="s">
        <v>579</v>
      </c>
      <c r="F29" s="496" t="s">
        <v>546</v>
      </c>
      <c r="G29" s="495" t="s">
        <v>573</v>
      </c>
      <c r="H29" s="497" t="s">
        <v>438</v>
      </c>
      <c r="I29" s="495">
        <v>15</v>
      </c>
      <c r="J29" s="491">
        <f t="shared" si="0"/>
        <v>15</v>
      </c>
      <c r="K29" s="491">
        <v>1</v>
      </c>
      <c r="L29" s="491"/>
      <c r="M29">
        <f t="shared" si="1"/>
        <v>1.5</v>
      </c>
    </row>
    <row r="30" spans="1:13" ht="20.100000000000001" customHeight="1">
      <c r="A30" s="494" t="s">
        <v>542</v>
      </c>
      <c r="B30" s="494" t="s">
        <v>580</v>
      </c>
      <c r="C30" s="494"/>
      <c r="D30" s="495" t="s">
        <v>544</v>
      </c>
      <c r="E30" s="496" t="s">
        <v>581</v>
      </c>
      <c r="F30" s="496" t="s">
        <v>546</v>
      </c>
      <c r="G30" s="495" t="s">
        <v>573</v>
      </c>
      <c r="H30" s="497" t="s">
        <v>438</v>
      </c>
      <c r="I30" s="495">
        <v>25</v>
      </c>
      <c r="J30" s="491">
        <f t="shared" si="0"/>
        <v>25</v>
      </c>
      <c r="K30" s="491">
        <v>1</v>
      </c>
      <c r="L30" s="491"/>
      <c r="M30">
        <f t="shared" si="1"/>
        <v>2.5</v>
      </c>
    </row>
    <row r="31" spans="1:13" ht="20.100000000000001" customHeight="1">
      <c r="A31" s="494" t="s">
        <v>542</v>
      </c>
      <c r="B31" s="494" t="s">
        <v>582</v>
      </c>
      <c r="C31" s="494"/>
      <c r="D31" s="495" t="s">
        <v>544</v>
      </c>
      <c r="E31" s="495" t="s">
        <v>545</v>
      </c>
      <c r="F31" s="496" t="s">
        <v>546</v>
      </c>
      <c r="G31" s="495" t="s">
        <v>573</v>
      </c>
      <c r="H31" s="497" t="s">
        <v>438</v>
      </c>
      <c r="I31" s="495">
        <v>25</v>
      </c>
      <c r="J31" s="491">
        <f t="shared" si="0"/>
        <v>25</v>
      </c>
      <c r="K31" s="491">
        <v>1</v>
      </c>
      <c r="L31" s="491"/>
      <c r="M31">
        <f t="shared" si="1"/>
        <v>2.5</v>
      </c>
    </row>
    <row r="32" spans="1:13" ht="20.100000000000001" customHeight="1">
      <c r="A32" s="494" t="s">
        <v>542</v>
      </c>
      <c r="B32" s="494" t="s">
        <v>583</v>
      </c>
      <c r="C32" s="494"/>
      <c r="D32" s="495" t="s">
        <v>544</v>
      </c>
      <c r="E32" s="495" t="s">
        <v>584</v>
      </c>
      <c r="F32" s="495"/>
      <c r="G32" s="495" t="s">
        <v>573</v>
      </c>
      <c r="H32" s="497" t="s">
        <v>438</v>
      </c>
      <c r="I32" s="495">
        <v>2</v>
      </c>
      <c r="J32" s="491">
        <f t="shared" si="0"/>
        <v>2</v>
      </c>
      <c r="K32" s="491">
        <v>1</v>
      </c>
      <c r="L32" s="491"/>
      <c r="M32">
        <f t="shared" si="1"/>
        <v>0.19999999999999996</v>
      </c>
    </row>
    <row r="33" spans="1:13" ht="20.100000000000001" customHeight="1">
      <c r="A33" s="494" t="s">
        <v>542</v>
      </c>
      <c r="B33" s="494" t="s">
        <v>585</v>
      </c>
      <c r="C33" s="494"/>
      <c r="D33" s="495" t="s">
        <v>544</v>
      </c>
      <c r="E33" s="495" t="s">
        <v>584</v>
      </c>
      <c r="F33" s="495"/>
      <c r="G33" s="495" t="s">
        <v>573</v>
      </c>
      <c r="H33" s="497" t="s">
        <v>438</v>
      </c>
      <c r="I33" s="495">
        <v>10</v>
      </c>
      <c r="J33" s="491">
        <f t="shared" si="0"/>
        <v>10</v>
      </c>
      <c r="K33" s="491">
        <v>1</v>
      </c>
      <c r="L33" s="491"/>
      <c r="M33">
        <f t="shared" si="1"/>
        <v>1</v>
      </c>
    </row>
    <row r="34" spans="1:13" ht="20.100000000000001" customHeight="1">
      <c r="A34" s="494" t="s">
        <v>542</v>
      </c>
      <c r="B34" s="494" t="s">
        <v>586</v>
      </c>
      <c r="C34" s="494"/>
      <c r="D34" s="495" t="s">
        <v>544</v>
      </c>
      <c r="E34" s="495" t="s">
        <v>584</v>
      </c>
      <c r="F34" s="495"/>
      <c r="G34" s="495" t="s">
        <v>573</v>
      </c>
      <c r="H34" s="497" t="s">
        <v>438</v>
      </c>
      <c r="I34" s="495">
        <v>2</v>
      </c>
      <c r="J34" s="491">
        <f t="shared" si="0"/>
        <v>2</v>
      </c>
      <c r="K34" s="491">
        <v>1</v>
      </c>
      <c r="L34" s="491"/>
      <c r="M34">
        <f t="shared" si="1"/>
        <v>0.19999999999999996</v>
      </c>
    </row>
    <row r="35" spans="1:13" ht="20.100000000000001" customHeight="1">
      <c r="A35" s="494" t="s">
        <v>542</v>
      </c>
      <c r="B35" s="494" t="s">
        <v>543</v>
      </c>
      <c r="C35" s="494"/>
      <c r="D35" s="495" t="s">
        <v>544</v>
      </c>
      <c r="E35" s="495" t="s">
        <v>584</v>
      </c>
      <c r="F35" s="495"/>
      <c r="G35" s="495" t="s">
        <v>573</v>
      </c>
      <c r="H35" s="497" t="s">
        <v>438</v>
      </c>
      <c r="I35" s="495">
        <v>2</v>
      </c>
      <c r="J35" s="491">
        <f t="shared" si="0"/>
        <v>2</v>
      </c>
      <c r="K35" s="491">
        <v>1</v>
      </c>
      <c r="L35" s="491"/>
      <c r="M35">
        <f t="shared" si="1"/>
        <v>0.19999999999999996</v>
      </c>
    </row>
    <row r="36" spans="1:13" ht="20.100000000000001" customHeight="1">
      <c r="A36" s="494" t="s">
        <v>542</v>
      </c>
      <c r="B36" s="494" t="s">
        <v>587</v>
      </c>
      <c r="C36" s="494"/>
      <c r="D36" s="495" t="s">
        <v>544</v>
      </c>
      <c r="E36" s="495" t="s">
        <v>584</v>
      </c>
      <c r="F36" s="495"/>
      <c r="G36" s="495" t="s">
        <v>573</v>
      </c>
      <c r="H36" s="497" t="s">
        <v>438</v>
      </c>
      <c r="I36" s="495">
        <v>2</v>
      </c>
      <c r="J36" s="491">
        <f t="shared" si="0"/>
        <v>2</v>
      </c>
      <c r="K36" s="491">
        <v>1</v>
      </c>
      <c r="L36" s="491"/>
      <c r="M36">
        <f t="shared" si="1"/>
        <v>0.19999999999999996</v>
      </c>
    </row>
    <row r="37" spans="1:13" ht="20.100000000000001" customHeight="1">
      <c r="A37" s="494" t="s">
        <v>542</v>
      </c>
      <c r="B37" s="494" t="s">
        <v>588</v>
      </c>
      <c r="C37" s="494"/>
      <c r="D37" s="495" t="s">
        <v>544</v>
      </c>
      <c r="E37" s="495" t="s">
        <v>584</v>
      </c>
      <c r="F37" s="495"/>
      <c r="G37" s="495" t="s">
        <v>573</v>
      </c>
      <c r="H37" s="497" t="s">
        <v>438</v>
      </c>
      <c r="I37" s="495">
        <v>2</v>
      </c>
      <c r="J37" s="491">
        <f t="shared" si="0"/>
        <v>2</v>
      </c>
      <c r="K37" s="491">
        <v>1</v>
      </c>
      <c r="L37" s="491"/>
      <c r="M37">
        <f t="shared" si="1"/>
        <v>0.19999999999999996</v>
      </c>
    </row>
    <row r="38" spans="1:13" ht="20.100000000000001" customHeight="1">
      <c r="A38" s="494" t="s">
        <v>542</v>
      </c>
      <c r="B38" s="494" t="s">
        <v>548</v>
      </c>
      <c r="C38" s="494"/>
      <c r="D38" s="495" t="s">
        <v>544</v>
      </c>
      <c r="E38" s="495" t="s">
        <v>584</v>
      </c>
      <c r="F38" s="495"/>
      <c r="G38" s="495" t="s">
        <v>573</v>
      </c>
      <c r="H38" s="497" t="s">
        <v>438</v>
      </c>
      <c r="I38" s="495">
        <v>2</v>
      </c>
      <c r="J38" s="491">
        <f t="shared" si="0"/>
        <v>2</v>
      </c>
      <c r="K38" s="491">
        <v>1</v>
      </c>
      <c r="L38" s="491"/>
      <c r="M38">
        <f t="shared" si="1"/>
        <v>0.19999999999999996</v>
      </c>
    </row>
    <row r="39" spans="1:13" ht="20.100000000000001" customHeight="1">
      <c r="A39" s="494" t="s">
        <v>542</v>
      </c>
      <c r="B39" s="494" t="s">
        <v>589</v>
      </c>
      <c r="C39" s="494"/>
      <c r="D39" s="495" t="s">
        <v>544</v>
      </c>
      <c r="E39" s="495" t="s">
        <v>584</v>
      </c>
      <c r="F39" s="495"/>
      <c r="G39" s="495" t="s">
        <v>573</v>
      </c>
      <c r="H39" s="497" t="s">
        <v>438</v>
      </c>
      <c r="I39" s="495">
        <v>2</v>
      </c>
      <c r="J39" s="491">
        <f t="shared" si="0"/>
        <v>2</v>
      </c>
      <c r="K39" s="491">
        <v>1</v>
      </c>
      <c r="L39" s="491"/>
      <c r="M39">
        <f t="shared" si="1"/>
        <v>0.19999999999999996</v>
      </c>
    </row>
    <row r="40" spans="1:13" ht="20.100000000000001" customHeight="1">
      <c r="A40" s="494" t="s">
        <v>542</v>
      </c>
      <c r="B40" s="494" t="s">
        <v>590</v>
      </c>
      <c r="C40" s="494"/>
      <c r="D40" s="495" t="s">
        <v>544</v>
      </c>
      <c r="E40" s="495" t="s">
        <v>584</v>
      </c>
      <c r="F40" s="495"/>
      <c r="G40" s="495" t="s">
        <v>573</v>
      </c>
      <c r="H40" s="497" t="s">
        <v>438</v>
      </c>
      <c r="I40" s="495">
        <v>5</v>
      </c>
      <c r="J40" s="491">
        <f t="shared" si="0"/>
        <v>5</v>
      </c>
      <c r="K40" s="491">
        <v>1</v>
      </c>
      <c r="L40" s="491"/>
      <c r="M40">
        <f t="shared" si="1"/>
        <v>0.5</v>
      </c>
    </row>
    <row r="41" spans="1:13" ht="20.100000000000001" customHeight="1">
      <c r="A41" s="494" t="s">
        <v>542</v>
      </c>
      <c r="B41" s="494" t="s">
        <v>591</v>
      </c>
      <c r="C41" s="494"/>
      <c r="D41" s="495" t="s">
        <v>544</v>
      </c>
      <c r="E41" s="495" t="s">
        <v>584</v>
      </c>
      <c r="F41" s="495"/>
      <c r="G41" s="495" t="s">
        <v>573</v>
      </c>
      <c r="H41" s="497" t="s">
        <v>438</v>
      </c>
      <c r="I41" s="495">
        <v>2</v>
      </c>
      <c r="J41" s="491">
        <f t="shared" si="0"/>
        <v>2</v>
      </c>
      <c r="K41" s="491">
        <v>1</v>
      </c>
      <c r="L41" s="491"/>
      <c r="M41">
        <f t="shared" si="1"/>
        <v>0.19999999999999996</v>
      </c>
    </row>
    <row r="42" spans="1:13" ht="20.100000000000001" customHeight="1">
      <c r="A42" s="494" t="s">
        <v>542</v>
      </c>
      <c r="B42" s="494" t="s">
        <v>592</v>
      </c>
      <c r="C42" s="494"/>
      <c r="D42" s="495" t="s">
        <v>544</v>
      </c>
      <c r="E42" s="495" t="s">
        <v>584</v>
      </c>
      <c r="F42" s="495"/>
      <c r="G42" s="495" t="s">
        <v>573</v>
      </c>
      <c r="H42" s="497" t="s">
        <v>438</v>
      </c>
      <c r="I42" s="495">
        <v>2</v>
      </c>
      <c r="J42" s="491">
        <f t="shared" si="0"/>
        <v>2</v>
      </c>
      <c r="K42" s="491">
        <v>1</v>
      </c>
      <c r="L42" s="491"/>
      <c r="M42">
        <f t="shared" si="1"/>
        <v>0.19999999999999996</v>
      </c>
    </row>
    <row r="43" spans="1:13" ht="20.100000000000001" customHeight="1">
      <c r="A43" s="494" t="s">
        <v>542</v>
      </c>
      <c r="B43" s="494" t="s">
        <v>574</v>
      </c>
      <c r="C43" s="494"/>
      <c r="D43" s="495" t="s">
        <v>544</v>
      </c>
      <c r="E43" s="495" t="s">
        <v>584</v>
      </c>
      <c r="F43" s="495"/>
      <c r="G43" s="495" t="s">
        <v>573</v>
      </c>
      <c r="H43" s="497" t="s">
        <v>438</v>
      </c>
      <c r="I43" s="495">
        <v>2</v>
      </c>
      <c r="J43" s="491">
        <f t="shared" si="0"/>
        <v>2</v>
      </c>
      <c r="K43" s="491">
        <v>1</v>
      </c>
      <c r="L43" s="491"/>
      <c r="M43">
        <f t="shared" si="1"/>
        <v>0.19999999999999996</v>
      </c>
    </row>
    <row r="44" spans="1:13" ht="20.100000000000001" customHeight="1">
      <c r="A44" s="494" t="s">
        <v>542</v>
      </c>
      <c r="B44" s="494" t="s">
        <v>593</v>
      </c>
      <c r="C44" s="494"/>
      <c r="D44" s="495" t="s">
        <v>544</v>
      </c>
      <c r="E44" s="495" t="s">
        <v>584</v>
      </c>
      <c r="F44" s="495"/>
      <c r="G44" s="495" t="s">
        <v>573</v>
      </c>
      <c r="H44" s="497" t="s">
        <v>438</v>
      </c>
      <c r="I44" s="495">
        <v>2</v>
      </c>
      <c r="J44" s="491">
        <f t="shared" si="0"/>
        <v>2</v>
      </c>
      <c r="K44" s="491">
        <v>1</v>
      </c>
      <c r="L44" s="491"/>
      <c r="M44">
        <f t="shared" si="1"/>
        <v>0.19999999999999996</v>
      </c>
    </row>
    <row r="45" spans="1:13" ht="20.100000000000001" customHeight="1">
      <c r="A45" s="494" t="s">
        <v>542</v>
      </c>
      <c r="B45" s="494" t="s">
        <v>550</v>
      </c>
      <c r="C45" s="494"/>
      <c r="D45" s="495" t="s">
        <v>544</v>
      </c>
      <c r="E45" s="495" t="s">
        <v>584</v>
      </c>
      <c r="F45" s="495"/>
      <c r="G45" s="495" t="s">
        <v>573</v>
      </c>
      <c r="H45" s="497" t="s">
        <v>438</v>
      </c>
      <c r="I45" s="495">
        <v>2</v>
      </c>
      <c r="J45" s="491">
        <f t="shared" si="0"/>
        <v>2</v>
      </c>
      <c r="K45" s="491">
        <v>1</v>
      </c>
      <c r="L45" s="491"/>
      <c r="M45">
        <f t="shared" si="1"/>
        <v>0.19999999999999996</v>
      </c>
    </row>
    <row r="46" spans="1:13" ht="20.100000000000001" customHeight="1">
      <c r="A46" s="494" t="s">
        <v>542</v>
      </c>
      <c r="B46" s="494" t="s">
        <v>551</v>
      </c>
      <c r="C46" s="494"/>
      <c r="D46" s="495" t="s">
        <v>544</v>
      </c>
      <c r="E46" s="495" t="s">
        <v>584</v>
      </c>
      <c r="F46" s="495"/>
      <c r="G46" s="495" t="s">
        <v>573</v>
      </c>
      <c r="H46" s="497" t="s">
        <v>438</v>
      </c>
      <c r="I46" s="495">
        <v>2</v>
      </c>
      <c r="J46" s="491">
        <f t="shared" si="0"/>
        <v>2</v>
      </c>
      <c r="K46" s="491">
        <v>1</v>
      </c>
      <c r="L46" s="491"/>
      <c r="M46">
        <f t="shared" si="1"/>
        <v>0.19999999999999996</v>
      </c>
    </row>
    <row r="47" spans="1:13" ht="20.100000000000001" customHeight="1">
      <c r="A47" s="494" t="s">
        <v>542</v>
      </c>
      <c r="B47" s="494" t="s">
        <v>594</v>
      </c>
      <c r="C47" s="494"/>
      <c r="D47" s="495" t="s">
        <v>544</v>
      </c>
      <c r="E47" s="495" t="s">
        <v>584</v>
      </c>
      <c r="F47" s="495"/>
      <c r="G47" s="495" t="s">
        <v>573</v>
      </c>
      <c r="H47" s="497" t="s">
        <v>438</v>
      </c>
      <c r="I47" s="495">
        <v>2</v>
      </c>
      <c r="J47" s="491">
        <f t="shared" si="0"/>
        <v>2</v>
      </c>
      <c r="K47" s="491">
        <v>1</v>
      </c>
      <c r="L47" s="491"/>
      <c r="M47">
        <f t="shared" si="1"/>
        <v>0.19999999999999996</v>
      </c>
    </row>
    <row r="48" spans="1:13" ht="20.100000000000001" customHeight="1">
      <c r="A48" s="494" t="s">
        <v>542</v>
      </c>
      <c r="B48" s="494" t="s">
        <v>552</v>
      </c>
      <c r="C48" s="494"/>
      <c r="D48" s="495" t="s">
        <v>544</v>
      </c>
      <c r="E48" s="495" t="s">
        <v>584</v>
      </c>
      <c r="F48" s="495"/>
      <c r="G48" s="495" t="s">
        <v>573</v>
      </c>
      <c r="H48" s="497" t="s">
        <v>438</v>
      </c>
      <c r="I48" s="495">
        <v>2</v>
      </c>
      <c r="J48" s="491">
        <f>+I48</f>
        <v>2</v>
      </c>
      <c r="K48" s="491">
        <v>1</v>
      </c>
      <c r="L48" s="491"/>
      <c r="M48">
        <f t="shared" si="1"/>
        <v>0.19999999999999996</v>
      </c>
    </row>
    <row r="49" spans="1:13" ht="20.100000000000001" customHeight="1">
      <c r="A49" s="494" t="s">
        <v>542</v>
      </c>
      <c r="B49" s="494" t="s">
        <v>595</v>
      </c>
      <c r="C49" s="494"/>
      <c r="D49" s="495" t="s">
        <v>544</v>
      </c>
      <c r="E49" s="495" t="s">
        <v>584</v>
      </c>
      <c r="F49" s="495"/>
      <c r="G49" s="495" t="s">
        <v>573</v>
      </c>
      <c r="H49" s="497" t="s">
        <v>438</v>
      </c>
      <c r="I49" s="495">
        <v>2</v>
      </c>
      <c r="J49" s="491">
        <f t="shared" ref="J49:J112" si="2">+I49</f>
        <v>2</v>
      </c>
      <c r="K49" s="491">
        <v>1</v>
      </c>
      <c r="L49" s="491"/>
      <c r="M49">
        <f t="shared" si="1"/>
        <v>0.19999999999999996</v>
      </c>
    </row>
    <row r="50" spans="1:13" ht="20.100000000000001" customHeight="1">
      <c r="A50" s="494" t="s">
        <v>542</v>
      </c>
      <c r="B50" s="494" t="s">
        <v>575</v>
      </c>
      <c r="C50" s="494"/>
      <c r="D50" s="495" t="s">
        <v>544</v>
      </c>
      <c r="E50" s="495" t="s">
        <v>584</v>
      </c>
      <c r="F50" s="495"/>
      <c r="G50" s="495" t="s">
        <v>573</v>
      </c>
      <c r="H50" s="497" t="s">
        <v>438</v>
      </c>
      <c r="I50" s="495">
        <v>2</v>
      </c>
      <c r="J50" s="491">
        <f t="shared" si="2"/>
        <v>2</v>
      </c>
      <c r="K50" s="491">
        <v>1</v>
      </c>
      <c r="L50" s="491"/>
      <c r="M50">
        <f t="shared" si="1"/>
        <v>0.19999999999999996</v>
      </c>
    </row>
    <row r="51" spans="1:13" ht="20.100000000000001" customHeight="1">
      <c r="A51" s="494" t="s">
        <v>542</v>
      </c>
      <c r="B51" s="494" t="s">
        <v>558</v>
      </c>
      <c r="C51" s="494"/>
      <c r="D51" s="495" t="s">
        <v>544</v>
      </c>
      <c r="E51" s="495" t="s">
        <v>584</v>
      </c>
      <c r="F51" s="495"/>
      <c r="G51" s="495" t="s">
        <v>573</v>
      </c>
      <c r="H51" s="497" t="s">
        <v>438</v>
      </c>
      <c r="I51" s="495">
        <v>3</v>
      </c>
      <c r="J51" s="491">
        <f t="shared" si="2"/>
        <v>3</v>
      </c>
      <c r="K51" s="491">
        <v>1</v>
      </c>
      <c r="L51" s="491"/>
      <c r="M51">
        <f t="shared" si="1"/>
        <v>0.29999999999999982</v>
      </c>
    </row>
    <row r="52" spans="1:13" ht="20.100000000000001" customHeight="1">
      <c r="A52" s="494" t="s">
        <v>542</v>
      </c>
      <c r="B52" s="494" t="s">
        <v>596</v>
      </c>
      <c r="C52" s="494"/>
      <c r="D52" s="495" t="s">
        <v>544</v>
      </c>
      <c r="E52" s="495" t="s">
        <v>584</v>
      </c>
      <c r="F52" s="495"/>
      <c r="G52" s="495" t="s">
        <v>573</v>
      </c>
      <c r="H52" s="497" t="s">
        <v>438</v>
      </c>
      <c r="I52" s="495">
        <v>3</v>
      </c>
      <c r="J52" s="491">
        <f t="shared" si="2"/>
        <v>3</v>
      </c>
      <c r="K52" s="491">
        <v>11</v>
      </c>
      <c r="L52" s="491"/>
      <c r="M52" t="e">
        <f t="shared" si="1"/>
        <v>#VALUE!</v>
      </c>
    </row>
    <row r="53" spans="1:13" ht="20.100000000000001" customHeight="1">
      <c r="A53" s="494" t="s">
        <v>542</v>
      </c>
      <c r="B53" s="494" t="s">
        <v>597</v>
      </c>
      <c r="C53" s="494"/>
      <c r="D53" s="495" t="s">
        <v>544</v>
      </c>
      <c r="E53" s="495" t="s">
        <v>584</v>
      </c>
      <c r="F53" s="495"/>
      <c r="G53" s="495" t="s">
        <v>573</v>
      </c>
      <c r="H53" s="497" t="s">
        <v>438</v>
      </c>
      <c r="I53" s="495">
        <v>15</v>
      </c>
      <c r="J53" s="491">
        <f t="shared" si="2"/>
        <v>15</v>
      </c>
      <c r="K53" s="491">
        <v>1</v>
      </c>
      <c r="L53" s="491"/>
      <c r="M53">
        <f t="shared" si="1"/>
        <v>1.5</v>
      </c>
    </row>
    <row r="54" spans="1:13" ht="20.100000000000001" customHeight="1">
      <c r="A54" s="494" t="s">
        <v>542</v>
      </c>
      <c r="B54" s="494" t="s">
        <v>598</v>
      </c>
      <c r="C54" s="494"/>
      <c r="D54" s="495" t="s">
        <v>544</v>
      </c>
      <c r="E54" s="495" t="s">
        <v>584</v>
      </c>
      <c r="F54" s="495"/>
      <c r="G54" s="495" t="s">
        <v>573</v>
      </c>
      <c r="H54" s="497" t="s">
        <v>438</v>
      </c>
      <c r="I54" s="495">
        <v>7</v>
      </c>
      <c r="J54" s="491">
        <f t="shared" si="2"/>
        <v>7</v>
      </c>
      <c r="K54" s="491">
        <v>1</v>
      </c>
      <c r="L54" s="491"/>
      <c r="M54">
        <f t="shared" si="1"/>
        <v>0.70000000000000018</v>
      </c>
    </row>
    <row r="55" spans="1:13" ht="20.100000000000001" customHeight="1">
      <c r="A55" s="494" t="s">
        <v>542</v>
      </c>
      <c r="B55" s="494" t="s">
        <v>599</v>
      </c>
      <c r="C55" s="494"/>
      <c r="D55" s="495" t="s">
        <v>544</v>
      </c>
      <c r="E55" s="495" t="s">
        <v>584</v>
      </c>
      <c r="F55" s="495"/>
      <c r="G55" s="495" t="s">
        <v>573</v>
      </c>
      <c r="H55" s="497" t="s">
        <v>438</v>
      </c>
      <c r="I55" s="495">
        <v>2</v>
      </c>
      <c r="J55" s="491">
        <f t="shared" si="2"/>
        <v>2</v>
      </c>
      <c r="K55" s="491">
        <v>1</v>
      </c>
      <c r="L55" s="491"/>
      <c r="M55">
        <f t="shared" si="1"/>
        <v>0.19999999999999996</v>
      </c>
    </row>
    <row r="56" spans="1:13" ht="20.100000000000001" customHeight="1">
      <c r="A56" s="494" t="s">
        <v>542</v>
      </c>
      <c r="B56" s="494" t="s">
        <v>600</v>
      </c>
      <c r="C56" s="494"/>
      <c r="D56" s="495" t="s">
        <v>544</v>
      </c>
      <c r="E56" s="495" t="s">
        <v>584</v>
      </c>
      <c r="F56" s="495"/>
      <c r="G56" s="495" t="s">
        <v>573</v>
      </c>
      <c r="H56" s="497" t="s">
        <v>438</v>
      </c>
      <c r="I56" s="495">
        <v>2</v>
      </c>
      <c r="J56" s="491">
        <f t="shared" si="2"/>
        <v>2</v>
      </c>
      <c r="K56" s="491">
        <v>1</v>
      </c>
      <c r="L56" s="491"/>
      <c r="M56">
        <f t="shared" si="1"/>
        <v>0.19999999999999996</v>
      </c>
    </row>
    <row r="57" spans="1:13" ht="20.100000000000001" customHeight="1">
      <c r="A57" s="494" t="s">
        <v>542</v>
      </c>
      <c r="B57" s="494" t="s">
        <v>601</v>
      </c>
      <c r="C57" s="494"/>
      <c r="D57" s="495" t="s">
        <v>544</v>
      </c>
      <c r="E57" s="495" t="s">
        <v>584</v>
      </c>
      <c r="F57" s="495"/>
      <c r="G57" s="495" t="s">
        <v>573</v>
      </c>
      <c r="H57" s="497" t="s">
        <v>438</v>
      </c>
      <c r="I57" s="495">
        <v>2</v>
      </c>
      <c r="J57" s="491">
        <f t="shared" si="2"/>
        <v>2</v>
      </c>
      <c r="K57" s="491">
        <v>1</v>
      </c>
      <c r="L57" s="491"/>
      <c r="M57">
        <f t="shared" si="1"/>
        <v>0.19999999999999996</v>
      </c>
    </row>
    <row r="58" spans="1:13" ht="20.100000000000001" customHeight="1">
      <c r="A58" s="494" t="s">
        <v>542</v>
      </c>
      <c r="B58" s="494" t="s">
        <v>602</v>
      </c>
      <c r="C58" s="494"/>
      <c r="D58" s="495" t="s">
        <v>544</v>
      </c>
      <c r="E58" s="495" t="s">
        <v>584</v>
      </c>
      <c r="F58" s="495"/>
      <c r="G58" s="495" t="s">
        <v>573</v>
      </c>
      <c r="H58" s="497" t="s">
        <v>438</v>
      </c>
      <c r="I58" s="495">
        <v>2</v>
      </c>
      <c r="J58" s="491">
        <f t="shared" si="2"/>
        <v>2</v>
      </c>
      <c r="K58" s="491">
        <v>1</v>
      </c>
      <c r="L58" s="491"/>
      <c r="M58">
        <f t="shared" si="1"/>
        <v>0.19999999999999996</v>
      </c>
    </row>
    <row r="59" spans="1:13" ht="20.100000000000001" customHeight="1">
      <c r="A59" s="494" t="s">
        <v>542</v>
      </c>
      <c r="B59" s="494" t="s">
        <v>603</v>
      </c>
      <c r="C59" s="494"/>
      <c r="D59" s="495" t="s">
        <v>544</v>
      </c>
      <c r="E59" s="495" t="s">
        <v>584</v>
      </c>
      <c r="F59" s="495"/>
      <c r="G59" s="495" t="s">
        <v>573</v>
      </c>
      <c r="H59" s="497" t="s">
        <v>438</v>
      </c>
      <c r="I59" s="495">
        <v>2</v>
      </c>
      <c r="J59" s="491">
        <f t="shared" si="2"/>
        <v>2</v>
      </c>
      <c r="K59" s="491">
        <v>1</v>
      </c>
      <c r="L59" s="491"/>
      <c r="M59">
        <f t="shared" si="1"/>
        <v>0.19999999999999996</v>
      </c>
    </row>
    <row r="60" spans="1:13" ht="20.100000000000001" customHeight="1">
      <c r="A60" s="494" t="s">
        <v>542</v>
      </c>
      <c r="B60" s="494" t="s">
        <v>553</v>
      </c>
      <c r="C60" s="494"/>
      <c r="D60" s="495" t="s">
        <v>544</v>
      </c>
      <c r="E60" s="495" t="s">
        <v>584</v>
      </c>
      <c r="F60" s="495"/>
      <c r="G60" s="495" t="s">
        <v>573</v>
      </c>
      <c r="H60" s="497" t="s">
        <v>438</v>
      </c>
      <c r="I60" s="495">
        <v>2</v>
      </c>
      <c r="J60" s="491">
        <f t="shared" si="2"/>
        <v>2</v>
      </c>
      <c r="K60" s="491">
        <v>1</v>
      </c>
      <c r="L60" s="491"/>
      <c r="M60">
        <f t="shared" si="1"/>
        <v>0.19999999999999996</v>
      </c>
    </row>
    <row r="61" spans="1:13" ht="20.100000000000001" customHeight="1">
      <c r="A61" s="494" t="s">
        <v>542</v>
      </c>
      <c r="B61" s="494" t="s">
        <v>604</v>
      </c>
      <c r="C61" s="494"/>
      <c r="D61" s="495" t="s">
        <v>544</v>
      </c>
      <c r="E61" s="495" t="s">
        <v>584</v>
      </c>
      <c r="F61" s="495"/>
      <c r="G61" s="495" t="s">
        <v>573</v>
      </c>
      <c r="H61" s="497" t="s">
        <v>438</v>
      </c>
      <c r="I61" s="495">
        <v>2</v>
      </c>
      <c r="J61" s="491">
        <f t="shared" si="2"/>
        <v>2</v>
      </c>
      <c r="K61" s="491">
        <v>1</v>
      </c>
      <c r="L61" s="491"/>
      <c r="M61">
        <f t="shared" si="1"/>
        <v>0.19999999999999996</v>
      </c>
    </row>
    <row r="62" spans="1:13" ht="20.100000000000001" customHeight="1">
      <c r="A62" s="494" t="s">
        <v>542</v>
      </c>
      <c r="B62" s="494" t="s">
        <v>605</v>
      </c>
      <c r="C62" s="494"/>
      <c r="D62" s="495" t="s">
        <v>544</v>
      </c>
      <c r="E62" s="495" t="s">
        <v>584</v>
      </c>
      <c r="F62" s="495"/>
      <c r="G62" s="495" t="s">
        <v>573</v>
      </c>
      <c r="H62" s="497" t="s">
        <v>438</v>
      </c>
      <c r="I62" s="495">
        <v>2</v>
      </c>
      <c r="J62" s="491">
        <f t="shared" si="2"/>
        <v>2</v>
      </c>
      <c r="K62" s="491">
        <v>1</v>
      </c>
      <c r="L62" s="491"/>
      <c r="M62">
        <f t="shared" si="1"/>
        <v>0.19999999999999996</v>
      </c>
    </row>
    <row r="63" spans="1:13" ht="20.100000000000001" customHeight="1">
      <c r="A63" s="494" t="s">
        <v>542</v>
      </c>
      <c r="B63" s="494" t="s">
        <v>554</v>
      </c>
      <c r="C63" s="494"/>
      <c r="D63" s="495" t="s">
        <v>544</v>
      </c>
      <c r="E63" s="495" t="s">
        <v>584</v>
      </c>
      <c r="F63" s="495"/>
      <c r="G63" s="495" t="s">
        <v>573</v>
      </c>
      <c r="H63" s="497" t="s">
        <v>438</v>
      </c>
      <c r="I63" s="495">
        <v>2</v>
      </c>
      <c r="J63" s="491">
        <f t="shared" si="2"/>
        <v>2</v>
      </c>
      <c r="K63" s="491">
        <v>1</v>
      </c>
      <c r="L63" s="491"/>
      <c r="M63">
        <f t="shared" si="1"/>
        <v>0.19999999999999996</v>
      </c>
    </row>
    <row r="64" spans="1:13" ht="20.100000000000001" customHeight="1">
      <c r="A64" s="494" t="s">
        <v>542</v>
      </c>
      <c r="B64" s="494" t="s">
        <v>555</v>
      </c>
      <c r="C64" s="494"/>
      <c r="D64" s="495" t="s">
        <v>544</v>
      </c>
      <c r="E64" s="495" t="s">
        <v>584</v>
      </c>
      <c r="F64" s="495"/>
      <c r="G64" s="495" t="s">
        <v>573</v>
      </c>
      <c r="H64" s="497" t="s">
        <v>438</v>
      </c>
      <c r="I64" s="495">
        <v>2</v>
      </c>
      <c r="J64" s="491">
        <f t="shared" si="2"/>
        <v>2</v>
      </c>
      <c r="K64" s="491">
        <v>1</v>
      </c>
      <c r="L64" s="491"/>
      <c r="M64">
        <f t="shared" si="1"/>
        <v>0.19999999999999996</v>
      </c>
    </row>
    <row r="65" spans="1:13" ht="20.100000000000001" customHeight="1">
      <c r="A65" s="494" t="s">
        <v>542</v>
      </c>
      <c r="B65" s="494" t="s">
        <v>576</v>
      </c>
      <c r="C65" s="494"/>
      <c r="D65" s="495" t="s">
        <v>544</v>
      </c>
      <c r="E65" s="495" t="s">
        <v>584</v>
      </c>
      <c r="F65" s="495"/>
      <c r="G65" s="495" t="s">
        <v>573</v>
      </c>
      <c r="H65" s="497" t="s">
        <v>438</v>
      </c>
      <c r="I65" s="495">
        <v>2</v>
      </c>
      <c r="J65" s="491">
        <f t="shared" si="2"/>
        <v>2</v>
      </c>
      <c r="K65" s="491">
        <v>1</v>
      </c>
      <c r="L65" s="491"/>
      <c r="M65">
        <f t="shared" si="1"/>
        <v>0.19999999999999996</v>
      </c>
    </row>
    <row r="66" spans="1:13" ht="20.100000000000001" customHeight="1">
      <c r="A66" s="494" t="s">
        <v>542</v>
      </c>
      <c r="B66" s="494" t="s">
        <v>577</v>
      </c>
      <c r="C66" s="494"/>
      <c r="D66" s="495" t="s">
        <v>544</v>
      </c>
      <c r="E66" s="495" t="s">
        <v>584</v>
      </c>
      <c r="F66" s="495"/>
      <c r="G66" s="495" t="s">
        <v>573</v>
      </c>
      <c r="H66" s="497" t="s">
        <v>438</v>
      </c>
      <c r="I66" s="495">
        <v>2</v>
      </c>
      <c r="J66" s="491">
        <f t="shared" si="2"/>
        <v>2</v>
      </c>
      <c r="K66" s="491">
        <v>1</v>
      </c>
      <c r="L66" s="491"/>
      <c r="M66">
        <f t="shared" si="1"/>
        <v>0.19999999999999996</v>
      </c>
    </row>
    <row r="67" spans="1:13" ht="20.100000000000001" customHeight="1">
      <c r="A67" s="494" t="s">
        <v>542</v>
      </c>
      <c r="B67" s="494" t="s">
        <v>606</v>
      </c>
      <c r="C67" s="494"/>
      <c r="D67" s="495" t="s">
        <v>544</v>
      </c>
      <c r="E67" s="495" t="s">
        <v>584</v>
      </c>
      <c r="F67" s="495"/>
      <c r="G67" s="495" t="s">
        <v>573</v>
      </c>
      <c r="H67" s="497" t="s">
        <v>438</v>
      </c>
      <c r="I67" s="495">
        <v>2</v>
      </c>
      <c r="J67" s="491">
        <f t="shared" si="2"/>
        <v>2</v>
      </c>
      <c r="K67" s="491">
        <v>1</v>
      </c>
      <c r="L67" s="491"/>
      <c r="M67">
        <f t="shared" si="1"/>
        <v>0.19999999999999996</v>
      </c>
    </row>
    <row r="68" spans="1:13" ht="20.100000000000001" customHeight="1">
      <c r="A68" s="494" t="s">
        <v>542</v>
      </c>
      <c r="B68" s="494" t="s">
        <v>607</v>
      </c>
      <c r="C68" s="494"/>
      <c r="D68" s="495" t="s">
        <v>544</v>
      </c>
      <c r="E68" s="495" t="s">
        <v>584</v>
      </c>
      <c r="F68" s="495"/>
      <c r="G68" s="495" t="s">
        <v>573</v>
      </c>
      <c r="H68" s="497" t="s">
        <v>438</v>
      </c>
      <c r="I68" s="495">
        <v>2</v>
      </c>
      <c r="J68" s="491">
        <f t="shared" si="2"/>
        <v>2</v>
      </c>
      <c r="K68" s="491">
        <v>1</v>
      </c>
      <c r="L68" s="491"/>
      <c r="M68">
        <f t="shared" ref="M68:M131" si="3">IF(K68=1,J68,"")-IF(K68=1,J68*0.9,"")</f>
        <v>0.19999999999999996</v>
      </c>
    </row>
    <row r="69" spans="1:13" ht="20.100000000000001" customHeight="1">
      <c r="A69" s="494" t="s">
        <v>542</v>
      </c>
      <c r="B69" s="494" t="s">
        <v>608</v>
      </c>
      <c r="C69" s="494"/>
      <c r="D69" s="495" t="s">
        <v>544</v>
      </c>
      <c r="E69" s="495" t="s">
        <v>584</v>
      </c>
      <c r="F69" s="495"/>
      <c r="G69" s="495" t="s">
        <v>573</v>
      </c>
      <c r="H69" s="497" t="s">
        <v>438</v>
      </c>
      <c r="I69" s="495">
        <v>2</v>
      </c>
      <c r="J69" s="491">
        <f t="shared" si="2"/>
        <v>2</v>
      </c>
      <c r="K69" s="491">
        <v>1</v>
      </c>
      <c r="L69" s="491"/>
      <c r="M69">
        <f t="shared" si="3"/>
        <v>0.19999999999999996</v>
      </c>
    </row>
    <row r="70" spans="1:13" ht="20.100000000000001" customHeight="1">
      <c r="A70" s="494" t="s">
        <v>542</v>
      </c>
      <c r="B70" s="494" t="s">
        <v>556</v>
      </c>
      <c r="C70" s="494"/>
      <c r="D70" s="495" t="s">
        <v>544</v>
      </c>
      <c r="E70" s="495" t="s">
        <v>584</v>
      </c>
      <c r="F70" s="495"/>
      <c r="G70" s="495" t="s">
        <v>573</v>
      </c>
      <c r="H70" s="497" t="s">
        <v>438</v>
      </c>
      <c r="I70" s="495">
        <v>2</v>
      </c>
      <c r="J70" s="491">
        <f t="shared" si="2"/>
        <v>2</v>
      </c>
      <c r="K70" s="491">
        <v>1</v>
      </c>
      <c r="L70" s="491"/>
      <c r="M70">
        <f t="shared" si="3"/>
        <v>0.19999999999999996</v>
      </c>
    </row>
    <row r="71" spans="1:13" ht="20.100000000000001" customHeight="1">
      <c r="A71" s="491" t="s">
        <v>542</v>
      </c>
      <c r="B71" s="491" t="s">
        <v>557</v>
      </c>
      <c r="C71" s="491"/>
      <c r="D71" s="492" t="s">
        <v>544</v>
      </c>
      <c r="E71" s="492" t="s">
        <v>584</v>
      </c>
      <c r="F71" s="492"/>
      <c r="G71" s="492" t="s">
        <v>573</v>
      </c>
      <c r="H71" s="499" t="s">
        <v>438</v>
      </c>
      <c r="I71" s="492">
        <v>5</v>
      </c>
      <c r="J71" s="491">
        <f t="shared" si="2"/>
        <v>5</v>
      </c>
      <c r="K71" s="491">
        <v>1</v>
      </c>
      <c r="L71" s="491"/>
      <c r="M71">
        <f t="shared" si="3"/>
        <v>0.5</v>
      </c>
    </row>
    <row r="72" spans="1:13" ht="20.100000000000001" customHeight="1">
      <c r="A72" s="491" t="s">
        <v>542</v>
      </c>
      <c r="B72" s="491" t="s">
        <v>609</v>
      </c>
      <c r="C72" s="491"/>
      <c r="D72" s="492" t="s">
        <v>544</v>
      </c>
      <c r="E72" s="492" t="s">
        <v>584</v>
      </c>
      <c r="F72" s="492"/>
      <c r="G72" s="492" t="s">
        <v>573</v>
      </c>
      <c r="H72" s="499" t="s">
        <v>438</v>
      </c>
      <c r="I72" s="492">
        <v>2</v>
      </c>
      <c r="J72" s="491">
        <f t="shared" si="2"/>
        <v>2</v>
      </c>
      <c r="K72" s="491">
        <v>1</v>
      </c>
      <c r="L72" s="491"/>
      <c r="M72">
        <f t="shared" si="3"/>
        <v>0.19999999999999996</v>
      </c>
    </row>
    <row r="73" spans="1:13" ht="20.100000000000001" customHeight="1">
      <c r="A73" s="491" t="s">
        <v>542</v>
      </c>
      <c r="B73" s="491" t="s">
        <v>610</v>
      </c>
      <c r="C73" s="491"/>
      <c r="D73" s="492" t="s">
        <v>544</v>
      </c>
      <c r="E73" s="492" t="s">
        <v>584</v>
      </c>
      <c r="F73" s="492"/>
      <c r="G73" s="492" t="s">
        <v>573</v>
      </c>
      <c r="H73" s="499" t="s">
        <v>438</v>
      </c>
      <c r="I73" s="492">
        <v>2</v>
      </c>
      <c r="J73" s="491">
        <f t="shared" si="2"/>
        <v>2</v>
      </c>
      <c r="K73" s="491">
        <v>1</v>
      </c>
      <c r="L73" s="491"/>
      <c r="M73">
        <f t="shared" si="3"/>
        <v>0.19999999999999996</v>
      </c>
    </row>
    <row r="74" spans="1:13" ht="20.100000000000001" customHeight="1">
      <c r="A74" s="491" t="s">
        <v>542</v>
      </c>
      <c r="B74" s="491" t="s">
        <v>611</v>
      </c>
      <c r="C74" s="491"/>
      <c r="D74" s="492" t="s">
        <v>544</v>
      </c>
      <c r="E74" s="492" t="s">
        <v>584</v>
      </c>
      <c r="F74" s="492"/>
      <c r="G74" s="492" t="s">
        <v>573</v>
      </c>
      <c r="H74" s="499" t="s">
        <v>438</v>
      </c>
      <c r="I74" s="492">
        <v>2</v>
      </c>
      <c r="J74" s="491">
        <f t="shared" si="2"/>
        <v>2</v>
      </c>
      <c r="K74" s="491">
        <v>1</v>
      </c>
      <c r="L74" s="491"/>
      <c r="M74">
        <f t="shared" si="3"/>
        <v>0.19999999999999996</v>
      </c>
    </row>
    <row r="75" spans="1:13" ht="20.100000000000001" customHeight="1">
      <c r="A75" s="491" t="s">
        <v>542</v>
      </c>
      <c r="B75" s="491" t="s">
        <v>561</v>
      </c>
      <c r="C75" s="491"/>
      <c r="D75" s="492" t="s">
        <v>544</v>
      </c>
      <c r="E75" s="492" t="s">
        <v>584</v>
      </c>
      <c r="F75" s="492"/>
      <c r="G75" s="492" t="s">
        <v>573</v>
      </c>
      <c r="H75" s="499" t="s">
        <v>438</v>
      </c>
      <c r="I75" s="492">
        <v>2</v>
      </c>
      <c r="J75" s="491">
        <f t="shared" si="2"/>
        <v>2</v>
      </c>
      <c r="K75" s="491">
        <v>1</v>
      </c>
      <c r="L75" s="491"/>
      <c r="M75">
        <f t="shared" si="3"/>
        <v>0.19999999999999996</v>
      </c>
    </row>
    <row r="76" spans="1:13" ht="20.100000000000001" customHeight="1">
      <c r="A76" s="491" t="s">
        <v>542</v>
      </c>
      <c r="B76" s="491" t="s">
        <v>568</v>
      </c>
      <c r="C76" s="491"/>
      <c r="D76" s="492" t="s">
        <v>544</v>
      </c>
      <c r="E76" s="492" t="s">
        <v>584</v>
      </c>
      <c r="F76" s="492"/>
      <c r="G76" s="492" t="s">
        <v>573</v>
      </c>
      <c r="H76" s="499" t="s">
        <v>438</v>
      </c>
      <c r="I76" s="492">
        <v>2</v>
      </c>
      <c r="J76" s="491">
        <f t="shared" si="2"/>
        <v>2</v>
      </c>
      <c r="K76" s="491">
        <v>1</v>
      </c>
      <c r="L76" s="491"/>
      <c r="M76">
        <f t="shared" si="3"/>
        <v>0.19999999999999996</v>
      </c>
    </row>
    <row r="77" spans="1:13" ht="20.100000000000001" customHeight="1">
      <c r="A77" s="491" t="s">
        <v>542</v>
      </c>
      <c r="B77" s="491" t="s">
        <v>570</v>
      </c>
      <c r="C77" s="491"/>
      <c r="D77" s="492" t="s">
        <v>544</v>
      </c>
      <c r="E77" s="492" t="s">
        <v>584</v>
      </c>
      <c r="F77" s="492"/>
      <c r="G77" s="492" t="s">
        <v>573</v>
      </c>
      <c r="H77" s="499" t="s">
        <v>438</v>
      </c>
      <c r="I77" s="492">
        <v>2</v>
      </c>
      <c r="J77" s="491">
        <f t="shared" si="2"/>
        <v>2</v>
      </c>
      <c r="K77" s="491">
        <v>1</v>
      </c>
      <c r="L77" s="491"/>
      <c r="M77">
        <f t="shared" si="3"/>
        <v>0.19999999999999996</v>
      </c>
    </row>
    <row r="78" spans="1:13" ht="20.100000000000001" customHeight="1">
      <c r="A78" s="491" t="s">
        <v>542</v>
      </c>
      <c r="B78" s="491" t="s">
        <v>578</v>
      </c>
      <c r="C78" s="491"/>
      <c r="D78" s="492" t="s">
        <v>544</v>
      </c>
      <c r="E78" s="492" t="s">
        <v>584</v>
      </c>
      <c r="F78" s="492"/>
      <c r="G78" s="492" t="s">
        <v>573</v>
      </c>
      <c r="H78" s="499" t="s">
        <v>438</v>
      </c>
      <c r="I78" s="492">
        <v>10</v>
      </c>
      <c r="J78" s="491">
        <f t="shared" si="2"/>
        <v>10</v>
      </c>
      <c r="K78" s="491">
        <v>1</v>
      </c>
      <c r="L78" s="491"/>
      <c r="M78">
        <f t="shared" si="3"/>
        <v>1</v>
      </c>
    </row>
    <row r="79" spans="1:13" ht="20.100000000000001" customHeight="1">
      <c r="A79" s="491" t="s">
        <v>542</v>
      </c>
      <c r="B79" s="491" t="s">
        <v>563</v>
      </c>
      <c r="C79" s="491"/>
      <c r="D79" s="492" t="s">
        <v>544</v>
      </c>
      <c r="E79" s="492" t="s">
        <v>584</v>
      </c>
      <c r="F79" s="492"/>
      <c r="G79" s="492" t="s">
        <v>573</v>
      </c>
      <c r="H79" s="499" t="s">
        <v>438</v>
      </c>
      <c r="I79" s="492">
        <v>3</v>
      </c>
      <c r="J79" s="491">
        <f t="shared" si="2"/>
        <v>3</v>
      </c>
      <c r="K79" s="491">
        <v>1</v>
      </c>
      <c r="L79" s="491"/>
      <c r="M79">
        <f t="shared" si="3"/>
        <v>0.29999999999999982</v>
      </c>
    </row>
    <row r="80" spans="1:13" ht="20.100000000000001" customHeight="1">
      <c r="A80" s="491" t="s">
        <v>542</v>
      </c>
      <c r="B80" s="491" t="s">
        <v>612</v>
      </c>
      <c r="C80" s="491"/>
      <c r="D80" s="492" t="s">
        <v>544</v>
      </c>
      <c r="E80" s="492" t="s">
        <v>584</v>
      </c>
      <c r="F80" s="492"/>
      <c r="G80" s="492" t="s">
        <v>573</v>
      </c>
      <c r="H80" s="499" t="s">
        <v>438</v>
      </c>
      <c r="I80" s="492">
        <v>5</v>
      </c>
      <c r="J80" s="491">
        <f t="shared" si="2"/>
        <v>5</v>
      </c>
      <c r="K80" s="491">
        <v>1</v>
      </c>
      <c r="L80" s="491"/>
      <c r="M80">
        <f t="shared" si="3"/>
        <v>0.5</v>
      </c>
    </row>
    <row r="81" spans="1:13" ht="20.100000000000001" customHeight="1">
      <c r="A81" s="491" t="s">
        <v>542</v>
      </c>
      <c r="B81" s="491" t="s">
        <v>580</v>
      </c>
      <c r="C81" s="491"/>
      <c r="D81" s="492" t="s">
        <v>544</v>
      </c>
      <c r="E81" s="492" t="s">
        <v>584</v>
      </c>
      <c r="F81" s="492"/>
      <c r="G81" s="492" t="s">
        <v>573</v>
      </c>
      <c r="H81" s="499" t="s">
        <v>438</v>
      </c>
      <c r="I81" s="492">
        <v>5</v>
      </c>
      <c r="J81" s="491">
        <f t="shared" si="2"/>
        <v>5</v>
      </c>
      <c r="K81" s="491">
        <v>1</v>
      </c>
      <c r="L81" s="491"/>
      <c r="M81">
        <f t="shared" si="3"/>
        <v>0.5</v>
      </c>
    </row>
    <row r="82" spans="1:13" ht="20.100000000000001" customHeight="1">
      <c r="A82" s="491" t="s">
        <v>542</v>
      </c>
      <c r="B82" s="491" t="s">
        <v>613</v>
      </c>
      <c r="C82" s="491"/>
      <c r="D82" s="492" t="s">
        <v>544</v>
      </c>
      <c r="E82" s="492" t="s">
        <v>584</v>
      </c>
      <c r="F82" s="492"/>
      <c r="G82" s="492" t="s">
        <v>573</v>
      </c>
      <c r="H82" s="499" t="s">
        <v>438</v>
      </c>
      <c r="I82" s="492">
        <v>5</v>
      </c>
      <c r="J82" s="491">
        <f t="shared" si="2"/>
        <v>5</v>
      </c>
      <c r="K82" s="491">
        <v>1</v>
      </c>
      <c r="L82" s="491"/>
      <c r="M82">
        <f t="shared" si="3"/>
        <v>0.5</v>
      </c>
    </row>
    <row r="83" spans="1:13" ht="20.100000000000001" customHeight="1">
      <c r="A83" s="491" t="s">
        <v>542</v>
      </c>
      <c r="B83" s="491" t="s">
        <v>614</v>
      </c>
      <c r="C83" s="491"/>
      <c r="D83" s="492" t="s">
        <v>544</v>
      </c>
      <c r="E83" s="492" t="s">
        <v>584</v>
      </c>
      <c r="F83" s="492"/>
      <c r="G83" s="492" t="s">
        <v>573</v>
      </c>
      <c r="H83" s="499" t="s">
        <v>438</v>
      </c>
      <c r="I83" s="492">
        <v>10</v>
      </c>
      <c r="J83" s="491">
        <f t="shared" si="2"/>
        <v>10</v>
      </c>
      <c r="K83" s="491">
        <v>1</v>
      </c>
      <c r="L83" s="491"/>
      <c r="M83">
        <f t="shared" si="3"/>
        <v>1</v>
      </c>
    </row>
    <row r="84" spans="1:13" ht="20.100000000000001" customHeight="1">
      <c r="A84" s="491" t="s">
        <v>542</v>
      </c>
      <c r="B84" s="491" t="s">
        <v>582</v>
      </c>
      <c r="C84" s="491"/>
      <c r="D84" s="492" t="s">
        <v>544</v>
      </c>
      <c r="E84" s="492" t="s">
        <v>584</v>
      </c>
      <c r="F84" s="492"/>
      <c r="G84" s="492" t="s">
        <v>573</v>
      </c>
      <c r="H84" s="499" t="s">
        <v>438</v>
      </c>
      <c r="I84" s="492">
        <v>15</v>
      </c>
      <c r="J84" s="491">
        <f t="shared" si="2"/>
        <v>15</v>
      </c>
      <c r="K84" s="491">
        <v>1</v>
      </c>
      <c r="L84" s="491"/>
      <c r="M84">
        <f t="shared" si="3"/>
        <v>1.5</v>
      </c>
    </row>
    <row r="85" spans="1:13" ht="20.100000000000001" customHeight="1">
      <c r="A85" s="491" t="s">
        <v>542</v>
      </c>
      <c r="B85" s="491" t="s">
        <v>615</v>
      </c>
      <c r="C85" s="491"/>
      <c r="D85" s="492" t="s">
        <v>544</v>
      </c>
      <c r="E85" s="492" t="s">
        <v>584</v>
      </c>
      <c r="F85" s="492"/>
      <c r="G85" s="492" t="s">
        <v>573</v>
      </c>
      <c r="H85" s="499" t="s">
        <v>438</v>
      </c>
      <c r="I85" s="492">
        <v>3</v>
      </c>
      <c r="J85" s="491">
        <f t="shared" si="2"/>
        <v>3</v>
      </c>
      <c r="K85" s="491">
        <v>1</v>
      </c>
      <c r="L85" s="491"/>
      <c r="M85">
        <f t="shared" si="3"/>
        <v>0.29999999999999982</v>
      </c>
    </row>
    <row r="86" spans="1:13" ht="20.100000000000001" customHeight="1">
      <c r="A86" s="491" t="s">
        <v>542</v>
      </c>
      <c r="B86" s="491" t="s">
        <v>616</v>
      </c>
      <c r="C86" s="491"/>
      <c r="D86" s="492" t="s">
        <v>544</v>
      </c>
      <c r="E86" s="492" t="s">
        <v>584</v>
      </c>
      <c r="F86" s="492"/>
      <c r="G86" s="492" t="s">
        <v>573</v>
      </c>
      <c r="H86" s="499" t="s">
        <v>438</v>
      </c>
      <c r="I86" s="492">
        <v>10</v>
      </c>
      <c r="J86" s="491">
        <f t="shared" si="2"/>
        <v>10</v>
      </c>
      <c r="K86" s="491">
        <v>1</v>
      </c>
      <c r="L86" s="491"/>
      <c r="M86">
        <f t="shared" si="3"/>
        <v>1</v>
      </c>
    </row>
    <row r="87" spans="1:13" ht="20.100000000000001" customHeight="1">
      <c r="A87" s="491" t="s">
        <v>542</v>
      </c>
      <c r="B87" s="491" t="s">
        <v>617</v>
      </c>
      <c r="C87" s="491"/>
      <c r="D87" s="492" t="s">
        <v>544</v>
      </c>
      <c r="E87" s="492" t="s">
        <v>584</v>
      </c>
      <c r="F87" s="492"/>
      <c r="G87" s="492" t="s">
        <v>573</v>
      </c>
      <c r="H87" s="499" t="s">
        <v>438</v>
      </c>
      <c r="I87" s="492">
        <v>24</v>
      </c>
      <c r="J87" s="491">
        <f t="shared" si="2"/>
        <v>24</v>
      </c>
      <c r="K87" s="491">
        <v>1</v>
      </c>
      <c r="L87" s="491"/>
      <c r="M87">
        <f t="shared" si="3"/>
        <v>2.3999999999999986</v>
      </c>
    </row>
    <row r="88" spans="1:13" ht="20.100000000000001" customHeight="1">
      <c r="A88" s="491" t="s">
        <v>542</v>
      </c>
      <c r="B88" s="491" t="s">
        <v>618</v>
      </c>
      <c r="C88" s="491"/>
      <c r="D88" s="492" t="s">
        <v>544</v>
      </c>
      <c r="E88" s="492" t="s">
        <v>584</v>
      </c>
      <c r="F88" s="492"/>
      <c r="G88" s="492" t="s">
        <v>573</v>
      </c>
      <c r="H88" s="499" t="s">
        <v>438</v>
      </c>
      <c r="I88" s="492">
        <v>24</v>
      </c>
      <c r="J88" s="491">
        <f t="shared" si="2"/>
        <v>24</v>
      </c>
      <c r="K88" s="491">
        <v>1</v>
      </c>
      <c r="L88" s="491"/>
      <c r="M88">
        <f t="shared" si="3"/>
        <v>2.3999999999999986</v>
      </c>
    </row>
    <row r="89" spans="1:13" ht="20.100000000000001" customHeight="1">
      <c r="A89" s="491" t="s">
        <v>542</v>
      </c>
      <c r="B89" s="491" t="s">
        <v>567</v>
      </c>
      <c r="C89" s="491"/>
      <c r="D89" s="492" t="s">
        <v>544</v>
      </c>
      <c r="E89" s="492" t="s">
        <v>584</v>
      </c>
      <c r="F89" s="492"/>
      <c r="G89" s="492" t="s">
        <v>573</v>
      </c>
      <c r="H89" s="499" t="s">
        <v>438</v>
      </c>
      <c r="I89" s="492">
        <v>10</v>
      </c>
      <c r="J89" s="491">
        <f t="shared" si="2"/>
        <v>10</v>
      </c>
      <c r="K89" s="491">
        <v>1</v>
      </c>
      <c r="L89" s="491"/>
      <c r="M89">
        <f t="shared" si="3"/>
        <v>1</v>
      </c>
    </row>
    <row r="90" spans="1:13" ht="20.100000000000001" customHeight="1">
      <c r="A90" s="491" t="s">
        <v>542</v>
      </c>
      <c r="B90" s="491" t="s">
        <v>619</v>
      </c>
      <c r="C90" s="491"/>
      <c r="D90" s="492" t="s">
        <v>544</v>
      </c>
      <c r="E90" s="492" t="s">
        <v>584</v>
      </c>
      <c r="F90" s="492"/>
      <c r="G90" s="492" t="s">
        <v>573</v>
      </c>
      <c r="H90" s="499" t="s">
        <v>438</v>
      </c>
      <c r="I90" s="492">
        <v>6</v>
      </c>
      <c r="J90" s="491">
        <f t="shared" si="2"/>
        <v>6</v>
      </c>
      <c r="K90" s="491">
        <v>1</v>
      </c>
      <c r="L90" s="491"/>
      <c r="M90">
        <f t="shared" si="3"/>
        <v>0.59999999999999964</v>
      </c>
    </row>
    <row r="91" spans="1:13" ht="20.100000000000001" customHeight="1">
      <c r="A91" s="491" t="s">
        <v>542</v>
      </c>
      <c r="B91" s="491" t="s">
        <v>620</v>
      </c>
      <c r="C91" s="491"/>
      <c r="D91" s="492" t="s">
        <v>544</v>
      </c>
      <c r="E91" s="492" t="s">
        <v>584</v>
      </c>
      <c r="F91" s="492"/>
      <c r="G91" s="492" t="s">
        <v>573</v>
      </c>
      <c r="H91" s="499" t="s">
        <v>438</v>
      </c>
      <c r="I91" s="492">
        <v>3</v>
      </c>
      <c r="J91" s="491">
        <f t="shared" si="2"/>
        <v>3</v>
      </c>
      <c r="K91" s="491">
        <v>1</v>
      </c>
      <c r="L91" s="491"/>
      <c r="M91">
        <f t="shared" si="3"/>
        <v>0.29999999999999982</v>
      </c>
    </row>
    <row r="92" spans="1:13" ht="20.100000000000001" customHeight="1">
      <c r="A92" s="491" t="s">
        <v>542</v>
      </c>
      <c r="B92" s="491" t="s">
        <v>621</v>
      </c>
      <c r="C92" s="491"/>
      <c r="D92" s="492" t="s">
        <v>544</v>
      </c>
      <c r="E92" s="492" t="s">
        <v>584</v>
      </c>
      <c r="F92" s="492"/>
      <c r="G92" s="492" t="s">
        <v>573</v>
      </c>
      <c r="H92" s="499" t="s">
        <v>438</v>
      </c>
      <c r="I92" s="492">
        <v>12</v>
      </c>
      <c r="J92" s="491">
        <f t="shared" si="2"/>
        <v>12</v>
      </c>
      <c r="K92" s="491">
        <v>1</v>
      </c>
      <c r="L92" s="491"/>
      <c r="M92">
        <f t="shared" si="3"/>
        <v>1.1999999999999993</v>
      </c>
    </row>
    <row r="93" spans="1:13" ht="20.100000000000001" customHeight="1">
      <c r="A93" s="491" t="s">
        <v>542</v>
      </c>
      <c r="B93" s="491" t="s">
        <v>622</v>
      </c>
      <c r="C93" s="491"/>
      <c r="D93" s="492" t="s">
        <v>544</v>
      </c>
      <c r="E93" s="492" t="s">
        <v>584</v>
      </c>
      <c r="F93" s="492"/>
      <c r="G93" s="492" t="s">
        <v>573</v>
      </c>
      <c r="H93" s="499" t="s">
        <v>438</v>
      </c>
      <c r="I93" s="492">
        <v>7</v>
      </c>
      <c r="J93" s="491">
        <f t="shared" si="2"/>
        <v>7</v>
      </c>
      <c r="K93" s="491">
        <v>1</v>
      </c>
      <c r="L93" s="491"/>
      <c r="M93">
        <f t="shared" si="3"/>
        <v>0.70000000000000018</v>
      </c>
    </row>
    <row r="94" spans="1:13" ht="20.100000000000001" customHeight="1">
      <c r="A94" s="491" t="s">
        <v>542</v>
      </c>
      <c r="B94" s="491" t="s">
        <v>623</v>
      </c>
      <c r="C94" s="491"/>
      <c r="D94" s="492" t="s">
        <v>544</v>
      </c>
      <c r="E94" s="492" t="s">
        <v>584</v>
      </c>
      <c r="F94" s="492"/>
      <c r="G94" s="492" t="s">
        <v>573</v>
      </c>
      <c r="H94" s="499" t="s">
        <v>438</v>
      </c>
      <c r="I94" s="492">
        <v>7</v>
      </c>
      <c r="J94" s="491">
        <f t="shared" si="2"/>
        <v>7</v>
      </c>
      <c r="K94" s="491">
        <v>1</v>
      </c>
      <c r="L94" s="491"/>
      <c r="M94">
        <f t="shared" si="3"/>
        <v>0.70000000000000018</v>
      </c>
    </row>
    <row r="95" spans="1:13" ht="20.100000000000001" customHeight="1">
      <c r="A95" s="491" t="s">
        <v>542</v>
      </c>
      <c r="B95" s="491" t="s">
        <v>624</v>
      </c>
      <c r="C95" s="491"/>
      <c r="D95" s="492" t="s">
        <v>544</v>
      </c>
      <c r="E95" s="492" t="s">
        <v>584</v>
      </c>
      <c r="F95" s="493" t="s">
        <v>625</v>
      </c>
      <c r="G95" s="492" t="s">
        <v>573</v>
      </c>
      <c r="H95" s="499" t="s">
        <v>461</v>
      </c>
      <c r="I95" s="492">
        <v>30</v>
      </c>
      <c r="J95" s="491">
        <f t="shared" si="2"/>
        <v>30</v>
      </c>
      <c r="K95" s="491">
        <v>1</v>
      </c>
      <c r="L95" s="491"/>
      <c r="M95">
        <f t="shared" si="3"/>
        <v>3</v>
      </c>
    </row>
    <row r="96" spans="1:13" ht="20.100000000000001" customHeight="1">
      <c r="A96" s="491" t="s">
        <v>542</v>
      </c>
      <c r="B96" s="491" t="s">
        <v>566</v>
      </c>
      <c r="C96" s="491"/>
      <c r="D96" s="492" t="s">
        <v>544</v>
      </c>
      <c r="E96" s="492" t="s">
        <v>584</v>
      </c>
      <c r="F96" s="492"/>
      <c r="G96" s="492" t="s">
        <v>573</v>
      </c>
      <c r="H96" s="499" t="s">
        <v>438</v>
      </c>
      <c r="I96" s="492">
        <v>25</v>
      </c>
      <c r="J96" s="491">
        <f t="shared" si="2"/>
        <v>25</v>
      </c>
      <c r="K96" s="491">
        <v>1</v>
      </c>
      <c r="L96" s="491"/>
      <c r="M96">
        <f t="shared" si="3"/>
        <v>2.5</v>
      </c>
    </row>
    <row r="97" spans="1:13" ht="20.100000000000001" customHeight="1">
      <c r="A97" s="491" t="s">
        <v>542</v>
      </c>
      <c r="B97" s="491" t="s">
        <v>626</v>
      </c>
      <c r="C97" s="491"/>
      <c r="D97" s="492" t="s">
        <v>544</v>
      </c>
      <c r="E97" s="492" t="s">
        <v>584</v>
      </c>
      <c r="F97" s="492"/>
      <c r="G97" s="492" t="s">
        <v>573</v>
      </c>
      <c r="H97" s="499" t="s">
        <v>438</v>
      </c>
      <c r="I97" s="492">
        <v>5</v>
      </c>
      <c r="J97" s="491">
        <f t="shared" si="2"/>
        <v>5</v>
      </c>
      <c r="K97" s="491">
        <v>1</v>
      </c>
      <c r="L97" s="491"/>
      <c r="M97">
        <f t="shared" si="3"/>
        <v>0.5</v>
      </c>
    </row>
    <row r="98" spans="1:13" ht="20.100000000000001" customHeight="1">
      <c r="A98" s="491" t="s">
        <v>542</v>
      </c>
      <c r="B98" s="491" t="s">
        <v>565</v>
      </c>
      <c r="C98" s="491"/>
      <c r="D98" s="492" t="s">
        <v>544</v>
      </c>
      <c r="E98" s="492" t="s">
        <v>584</v>
      </c>
      <c r="F98" s="492"/>
      <c r="G98" s="492" t="s">
        <v>573</v>
      </c>
      <c r="H98" s="499" t="s">
        <v>438</v>
      </c>
      <c r="I98" s="492">
        <v>25</v>
      </c>
      <c r="J98" s="491">
        <f t="shared" si="2"/>
        <v>25</v>
      </c>
      <c r="K98" s="491">
        <v>1</v>
      </c>
      <c r="L98" s="491"/>
      <c r="M98">
        <f t="shared" si="3"/>
        <v>2.5</v>
      </c>
    </row>
    <row r="99" spans="1:13" ht="20.100000000000001" customHeight="1">
      <c r="A99" s="491" t="s">
        <v>542</v>
      </c>
      <c r="B99" s="491" t="s">
        <v>627</v>
      </c>
      <c r="C99" s="491"/>
      <c r="D99" s="492" t="s">
        <v>544</v>
      </c>
      <c r="E99" s="492" t="s">
        <v>584</v>
      </c>
      <c r="F99" s="492"/>
      <c r="G99" s="492" t="s">
        <v>573</v>
      </c>
      <c r="H99" s="499" t="s">
        <v>438</v>
      </c>
      <c r="I99" s="492">
        <v>10</v>
      </c>
      <c r="J99" s="491">
        <f t="shared" si="2"/>
        <v>10</v>
      </c>
      <c r="K99" s="491">
        <v>1</v>
      </c>
      <c r="L99" s="491"/>
      <c r="M99">
        <f t="shared" si="3"/>
        <v>1</v>
      </c>
    </row>
    <row r="100" spans="1:13" ht="20.100000000000001" customHeight="1">
      <c r="A100" s="491" t="s">
        <v>542</v>
      </c>
      <c r="B100" s="491" t="s">
        <v>628</v>
      </c>
      <c r="C100" s="491"/>
      <c r="D100" s="492" t="s">
        <v>544</v>
      </c>
      <c r="E100" s="492" t="s">
        <v>584</v>
      </c>
      <c r="F100" s="492"/>
      <c r="G100" s="492" t="s">
        <v>629</v>
      </c>
      <c r="H100" s="499" t="s">
        <v>451</v>
      </c>
      <c r="I100" s="492">
        <v>30</v>
      </c>
      <c r="J100" s="491">
        <f t="shared" si="2"/>
        <v>30</v>
      </c>
      <c r="K100" s="491">
        <v>1</v>
      </c>
      <c r="L100" s="491"/>
      <c r="M100">
        <f t="shared" si="3"/>
        <v>3</v>
      </c>
    </row>
    <row r="101" spans="1:13" ht="20.100000000000001" customHeight="1">
      <c r="A101" s="491" t="s">
        <v>542</v>
      </c>
      <c r="B101" s="491"/>
      <c r="C101" s="491" t="s">
        <v>630</v>
      </c>
      <c r="D101" s="492" t="s">
        <v>544</v>
      </c>
      <c r="E101" s="492" t="s">
        <v>584</v>
      </c>
      <c r="F101" s="492" t="s">
        <v>631</v>
      </c>
      <c r="G101" s="492" t="s">
        <v>573</v>
      </c>
      <c r="H101" s="499" t="s">
        <v>438</v>
      </c>
      <c r="I101" s="492">
        <v>18</v>
      </c>
      <c r="J101" s="491">
        <f t="shared" si="2"/>
        <v>18</v>
      </c>
      <c r="K101" s="491">
        <v>1</v>
      </c>
      <c r="L101" s="491"/>
      <c r="M101">
        <f t="shared" si="3"/>
        <v>1.8000000000000007</v>
      </c>
    </row>
    <row r="102" spans="1:13" ht="20.100000000000001" customHeight="1">
      <c r="A102" s="491" t="s">
        <v>542</v>
      </c>
      <c r="B102" s="491" t="s">
        <v>632</v>
      </c>
      <c r="C102" s="491"/>
      <c r="D102" s="492" t="s">
        <v>544</v>
      </c>
      <c r="E102" s="492" t="s">
        <v>584</v>
      </c>
      <c r="F102" s="492"/>
      <c r="G102" s="492" t="s">
        <v>629</v>
      </c>
      <c r="H102" s="499" t="s">
        <v>451</v>
      </c>
      <c r="I102" s="492">
        <v>20</v>
      </c>
      <c r="J102" s="491">
        <f t="shared" si="2"/>
        <v>20</v>
      </c>
      <c r="K102" s="491">
        <v>1</v>
      </c>
      <c r="L102" s="491"/>
      <c r="M102">
        <f t="shared" si="3"/>
        <v>2</v>
      </c>
    </row>
    <row r="103" spans="1:13" ht="20.100000000000001" customHeight="1">
      <c r="A103" s="491" t="s">
        <v>542</v>
      </c>
      <c r="B103" s="491" t="s">
        <v>632</v>
      </c>
      <c r="C103" s="491"/>
      <c r="D103" s="492" t="s">
        <v>544</v>
      </c>
      <c r="E103" s="492" t="s">
        <v>584</v>
      </c>
      <c r="F103" s="492"/>
      <c r="G103" s="492" t="s">
        <v>633</v>
      </c>
      <c r="H103" s="500"/>
      <c r="I103" s="492">
        <v>90</v>
      </c>
      <c r="J103" s="491">
        <f t="shared" si="2"/>
        <v>90</v>
      </c>
      <c r="K103" s="491">
        <v>1</v>
      </c>
      <c r="L103" s="491">
        <v>1</v>
      </c>
      <c r="M103">
        <f t="shared" si="3"/>
        <v>9</v>
      </c>
    </row>
    <row r="104" spans="1:13" ht="20.100000000000001" customHeight="1">
      <c r="A104" s="501" t="s">
        <v>542</v>
      </c>
      <c r="B104" s="501"/>
      <c r="C104" s="893" t="s">
        <v>634</v>
      </c>
      <c r="D104" s="492" t="s">
        <v>544</v>
      </c>
      <c r="E104" s="492" t="s">
        <v>635</v>
      </c>
      <c r="F104" s="891" t="s">
        <v>636</v>
      </c>
      <c r="G104" s="492" t="s">
        <v>629</v>
      </c>
      <c r="H104" s="499" t="s">
        <v>451</v>
      </c>
      <c r="I104" s="492">
        <v>50</v>
      </c>
      <c r="J104" s="491">
        <f t="shared" si="2"/>
        <v>50</v>
      </c>
      <c r="K104" s="491">
        <v>1</v>
      </c>
      <c r="L104" s="491"/>
      <c r="M104">
        <f t="shared" si="3"/>
        <v>5</v>
      </c>
    </row>
    <row r="105" spans="1:13" ht="20.100000000000001" customHeight="1">
      <c r="A105" s="491" t="s">
        <v>542</v>
      </c>
      <c r="B105" s="491"/>
      <c r="C105" s="894"/>
      <c r="D105" s="492" t="s">
        <v>544</v>
      </c>
      <c r="E105" s="492" t="s">
        <v>637</v>
      </c>
      <c r="F105" s="892"/>
      <c r="G105" s="492" t="s">
        <v>638</v>
      </c>
      <c r="H105" s="492" t="s">
        <v>459</v>
      </c>
      <c r="I105" s="492">
        <v>100</v>
      </c>
      <c r="J105" s="491">
        <f t="shared" si="2"/>
        <v>100</v>
      </c>
      <c r="K105" s="491">
        <v>1</v>
      </c>
      <c r="L105" s="491">
        <v>1</v>
      </c>
      <c r="M105">
        <f t="shared" si="3"/>
        <v>10</v>
      </c>
    </row>
    <row r="106" spans="1:13" ht="20.100000000000001" customHeight="1">
      <c r="A106" s="501" t="s">
        <v>542</v>
      </c>
      <c r="B106" s="501"/>
      <c r="C106" s="893" t="s">
        <v>639</v>
      </c>
      <c r="D106" s="495" t="s">
        <v>640</v>
      </c>
      <c r="E106" s="891" t="s">
        <v>641</v>
      </c>
      <c r="F106" s="891" t="s">
        <v>642</v>
      </c>
      <c r="G106" s="495" t="s">
        <v>638</v>
      </c>
      <c r="H106" s="495" t="s">
        <v>473</v>
      </c>
      <c r="I106" s="495">
        <v>100</v>
      </c>
      <c r="J106" s="491">
        <f>+I106*2/30</f>
        <v>6.666666666666667</v>
      </c>
      <c r="K106" s="491">
        <v>0</v>
      </c>
      <c r="L106" s="491"/>
      <c r="M106" t="e">
        <f t="shared" si="3"/>
        <v>#VALUE!</v>
      </c>
    </row>
    <row r="107" spans="1:13" ht="20.100000000000001" customHeight="1">
      <c r="A107" s="491" t="s">
        <v>542</v>
      </c>
      <c r="B107" s="491"/>
      <c r="C107" s="894"/>
      <c r="D107" s="492" t="s">
        <v>640</v>
      </c>
      <c r="E107" s="892"/>
      <c r="F107" s="892"/>
      <c r="G107" s="492" t="s">
        <v>573</v>
      </c>
      <c r="H107" s="499" t="s">
        <v>31</v>
      </c>
      <c r="I107" s="499" t="s">
        <v>31</v>
      </c>
      <c r="J107" s="491" t="str">
        <f t="shared" si="2"/>
        <v>-</v>
      </c>
      <c r="K107" s="491">
        <v>0</v>
      </c>
      <c r="L107" s="491"/>
      <c r="M107" t="e">
        <f t="shared" si="3"/>
        <v>#VALUE!</v>
      </c>
    </row>
    <row r="108" spans="1:13" ht="20.100000000000001" customHeight="1">
      <c r="A108" s="491" t="s">
        <v>542</v>
      </c>
      <c r="B108" s="491"/>
      <c r="C108" s="491" t="s">
        <v>643</v>
      </c>
      <c r="D108" s="492" t="s">
        <v>544</v>
      </c>
      <c r="E108" s="492" t="s">
        <v>644</v>
      </c>
      <c r="F108" s="492" t="s">
        <v>642</v>
      </c>
      <c r="G108" s="492" t="s">
        <v>645</v>
      </c>
      <c r="H108" s="499" t="s">
        <v>467</v>
      </c>
      <c r="I108" s="492">
        <v>150</v>
      </c>
      <c r="J108" s="491">
        <f t="shared" si="2"/>
        <v>150</v>
      </c>
      <c r="K108" s="491">
        <v>1</v>
      </c>
      <c r="L108" s="491"/>
      <c r="M108">
        <f t="shared" si="3"/>
        <v>15</v>
      </c>
    </row>
    <row r="109" spans="1:13" ht="20.100000000000001" customHeight="1">
      <c r="A109" s="491" t="s">
        <v>542</v>
      </c>
      <c r="B109" s="491"/>
      <c r="C109" s="491" t="s">
        <v>646</v>
      </c>
      <c r="D109" s="492" t="s">
        <v>544</v>
      </c>
      <c r="E109" s="492" t="s">
        <v>647</v>
      </c>
      <c r="F109" s="492" t="s">
        <v>648</v>
      </c>
      <c r="G109" s="492" t="s">
        <v>649</v>
      </c>
      <c r="H109" s="499" t="s">
        <v>466</v>
      </c>
      <c r="I109" s="492">
        <v>2</v>
      </c>
      <c r="J109" s="491">
        <f t="shared" si="2"/>
        <v>2</v>
      </c>
      <c r="K109" s="491">
        <v>1</v>
      </c>
      <c r="L109" s="491"/>
      <c r="M109">
        <f t="shared" si="3"/>
        <v>0.19999999999999996</v>
      </c>
    </row>
    <row r="110" spans="1:13" ht="20.100000000000001" customHeight="1">
      <c r="A110" s="491" t="s">
        <v>650</v>
      </c>
      <c r="B110" s="491"/>
      <c r="C110" s="491" t="s">
        <v>651</v>
      </c>
      <c r="D110" s="492" t="s">
        <v>544</v>
      </c>
      <c r="E110" s="492" t="s">
        <v>652</v>
      </c>
      <c r="F110" s="492"/>
      <c r="G110" s="492" t="s">
        <v>649</v>
      </c>
      <c r="H110" s="499" t="s">
        <v>466</v>
      </c>
      <c r="I110" s="492">
        <v>10</v>
      </c>
      <c r="J110" s="491">
        <f t="shared" si="2"/>
        <v>10</v>
      </c>
      <c r="K110" s="491">
        <v>1</v>
      </c>
      <c r="L110" s="491"/>
      <c r="M110">
        <f t="shared" si="3"/>
        <v>1</v>
      </c>
    </row>
    <row r="111" spans="1:13" ht="20.100000000000001" customHeight="1">
      <c r="A111" s="491" t="s">
        <v>650</v>
      </c>
      <c r="B111" s="491"/>
      <c r="C111" s="491" t="s">
        <v>653</v>
      </c>
      <c r="D111" s="492" t="s">
        <v>544</v>
      </c>
      <c r="E111" s="492" t="s">
        <v>654</v>
      </c>
      <c r="F111" s="492"/>
      <c r="G111" s="492" t="s">
        <v>649</v>
      </c>
      <c r="H111" s="499" t="s">
        <v>466</v>
      </c>
      <c r="I111" s="492">
        <v>10</v>
      </c>
      <c r="J111" s="491">
        <f t="shared" si="2"/>
        <v>10</v>
      </c>
      <c r="K111" s="491">
        <v>1</v>
      </c>
      <c r="L111" s="491"/>
      <c r="M111">
        <f t="shared" si="3"/>
        <v>1</v>
      </c>
    </row>
    <row r="112" spans="1:13" ht="20.100000000000001" customHeight="1">
      <c r="A112" s="501" t="s">
        <v>650</v>
      </c>
      <c r="B112" s="893" t="s">
        <v>655</v>
      </c>
      <c r="C112" s="502"/>
      <c r="D112" s="492" t="s">
        <v>544</v>
      </c>
      <c r="E112" s="492" t="s">
        <v>656</v>
      </c>
      <c r="F112" s="492"/>
      <c r="G112" s="492" t="s">
        <v>573</v>
      </c>
      <c r="H112" s="499" t="s">
        <v>438</v>
      </c>
      <c r="I112" s="492">
        <v>25</v>
      </c>
      <c r="J112" s="491">
        <f t="shared" si="2"/>
        <v>25</v>
      </c>
      <c r="K112" s="491">
        <v>1</v>
      </c>
      <c r="L112" s="491"/>
      <c r="M112">
        <f t="shared" si="3"/>
        <v>2.5</v>
      </c>
    </row>
    <row r="113" spans="1:13" ht="20.100000000000001" customHeight="1">
      <c r="A113" s="491" t="s">
        <v>650</v>
      </c>
      <c r="B113" s="894"/>
      <c r="C113" s="503"/>
      <c r="D113" s="492" t="s">
        <v>544</v>
      </c>
      <c r="E113" s="492" t="s">
        <v>584</v>
      </c>
      <c r="F113" s="492"/>
      <c r="G113" s="492" t="s">
        <v>573</v>
      </c>
      <c r="H113" s="499" t="s">
        <v>438</v>
      </c>
      <c r="I113" s="492">
        <v>25</v>
      </c>
      <c r="J113" s="491">
        <f t="shared" ref="J113:J147" si="4">+I113</f>
        <v>25</v>
      </c>
      <c r="K113" s="491">
        <v>1</v>
      </c>
      <c r="L113" s="491"/>
      <c r="M113">
        <f t="shared" si="3"/>
        <v>2.5</v>
      </c>
    </row>
    <row r="114" spans="1:13" ht="20.100000000000001" customHeight="1">
      <c r="A114" s="501" t="s">
        <v>650</v>
      </c>
      <c r="B114" s="501"/>
      <c r="C114" s="893" t="s">
        <v>657</v>
      </c>
      <c r="D114" s="492" t="s">
        <v>544</v>
      </c>
      <c r="E114" s="492" t="s">
        <v>658</v>
      </c>
      <c r="F114" s="492"/>
      <c r="G114" s="492" t="s">
        <v>629</v>
      </c>
      <c r="H114" s="499" t="s">
        <v>451</v>
      </c>
      <c r="I114" s="492">
        <v>9</v>
      </c>
      <c r="J114" s="491">
        <f t="shared" si="4"/>
        <v>9</v>
      </c>
      <c r="K114" s="491">
        <v>1</v>
      </c>
      <c r="L114" s="491"/>
      <c r="M114">
        <f t="shared" si="3"/>
        <v>0.90000000000000036</v>
      </c>
    </row>
    <row r="115" spans="1:13" ht="20.100000000000001" customHeight="1">
      <c r="A115" s="491" t="s">
        <v>650</v>
      </c>
      <c r="B115" s="491"/>
      <c r="C115" s="894"/>
      <c r="D115" s="492" t="s">
        <v>544</v>
      </c>
      <c r="E115" s="492" t="s">
        <v>659</v>
      </c>
      <c r="F115" s="492"/>
      <c r="G115" s="492" t="s">
        <v>629</v>
      </c>
      <c r="H115" s="499" t="s">
        <v>451</v>
      </c>
      <c r="I115" s="492">
        <v>9</v>
      </c>
      <c r="J115" s="491">
        <f t="shared" si="4"/>
        <v>9</v>
      </c>
      <c r="K115" s="491">
        <v>1</v>
      </c>
      <c r="L115" s="491"/>
      <c r="M115">
        <f t="shared" si="3"/>
        <v>0.90000000000000036</v>
      </c>
    </row>
    <row r="116" spans="1:13" ht="20.100000000000001" customHeight="1">
      <c r="A116" s="501" t="s">
        <v>650</v>
      </c>
      <c r="B116" s="501"/>
      <c r="C116" s="893" t="s">
        <v>660</v>
      </c>
      <c r="D116" s="492" t="s">
        <v>544</v>
      </c>
      <c r="E116" s="492" t="s">
        <v>661</v>
      </c>
      <c r="F116" s="492"/>
      <c r="G116" s="492" t="s">
        <v>633</v>
      </c>
      <c r="H116" s="500"/>
      <c r="I116" s="492" t="s">
        <v>662</v>
      </c>
      <c r="J116" s="491" t="str">
        <f t="shared" si="4"/>
        <v>a demanda</v>
      </c>
      <c r="K116" s="491">
        <v>1</v>
      </c>
      <c r="L116" s="491"/>
    </row>
    <row r="117" spans="1:13" ht="20.100000000000001" customHeight="1">
      <c r="A117" s="491" t="s">
        <v>650</v>
      </c>
      <c r="B117" s="491"/>
      <c r="C117" s="894"/>
      <c r="D117" s="492" t="s">
        <v>663</v>
      </c>
      <c r="E117" s="492" t="s">
        <v>664</v>
      </c>
      <c r="F117" s="492"/>
      <c r="G117" s="492" t="s">
        <v>633</v>
      </c>
      <c r="H117" s="500"/>
      <c r="I117" s="492" t="s">
        <v>662</v>
      </c>
      <c r="J117" s="491" t="str">
        <f t="shared" si="4"/>
        <v>a demanda</v>
      </c>
      <c r="K117" s="491">
        <v>0</v>
      </c>
      <c r="L117" s="491"/>
    </row>
    <row r="118" spans="1:13" ht="20.100000000000001" customHeight="1">
      <c r="A118" s="504" t="s">
        <v>650</v>
      </c>
      <c r="B118" s="504"/>
      <c r="C118" s="895" t="s">
        <v>660</v>
      </c>
      <c r="D118" s="495" t="s">
        <v>544</v>
      </c>
      <c r="E118" s="492" t="s">
        <v>661</v>
      </c>
      <c r="F118" s="492"/>
      <c r="G118" s="492" t="s">
        <v>633</v>
      </c>
      <c r="H118" s="500"/>
      <c r="I118" s="492">
        <v>90</v>
      </c>
      <c r="J118" s="491">
        <f t="shared" si="4"/>
        <v>90</v>
      </c>
      <c r="K118" s="491">
        <v>1</v>
      </c>
      <c r="L118" s="491"/>
      <c r="M118">
        <f t="shared" si="3"/>
        <v>9</v>
      </c>
    </row>
    <row r="119" spans="1:13" ht="20.100000000000001" customHeight="1">
      <c r="A119" s="491" t="s">
        <v>650</v>
      </c>
      <c r="B119" s="491"/>
      <c r="C119" s="894"/>
      <c r="D119" s="492" t="s">
        <v>544</v>
      </c>
      <c r="E119" s="492" t="s">
        <v>664</v>
      </c>
      <c r="F119" s="492"/>
      <c r="G119" s="492" t="s">
        <v>633</v>
      </c>
      <c r="H119" s="500"/>
      <c r="I119" s="492">
        <v>90</v>
      </c>
      <c r="J119" s="491">
        <f t="shared" si="4"/>
        <v>90</v>
      </c>
      <c r="K119" s="491">
        <v>1</v>
      </c>
      <c r="L119" s="491"/>
      <c r="M119">
        <f t="shared" si="3"/>
        <v>9</v>
      </c>
    </row>
    <row r="120" spans="1:13" ht="20.100000000000001" customHeight="1">
      <c r="A120" s="491" t="s">
        <v>650</v>
      </c>
      <c r="B120" s="491" t="s">
        <v>665</v>
      </c>
      <c r="C120" s="491"/>
      <c r="D120" s="492" t="s">
        <v>666</v>
      </c>
      <c r="E120" s="492" t="s">
        <v>584</v>
      </c>
      <c r="F120" s="492"/>
      <c r="G120" s="492" t="s">
        <v>633</v>
      </c>
      <c r="H120" s="500"/>
      <c r="I120" s="492">
        <v>90</v>
      </c>
      <c r="J120" s="491">
        <f t="shared" si="4"/>
        <v>90</v>
      </c>
      <c r="K120" s="491">
        <v>1</v>
      </c>
      <c r="L120" s="491"/>
      <c r="M120">
        <f t="shared" si="3"/>
        <v>9</v>
      </c>
    </row>
    <row r="121" spans="1:13" ht="20.100000000000001" customHeight="1">
      <c r="A121" s="491" t="s">
        <v>650</v>
      </c>
      <c r="B121" s="491" t="s">
        <v>667</v>
      </c>
      <c r="C121" s="491"/>
      <c r="D121" s="492" t="s">
        <v>666</v>
      </c>
      <c r="E121" s="492" t="s">
        <v>584</v>
      </c>
      <c r="F121" s="492"/>
      <c r="G121" s="492" t="s">
        <v>633</v>
      </c>
      <c r="H121" s="500"/>
      <c r="I121" s="492">
        <v>90</v>
      </c>
      <c r="J121" s="491">
        <f t="shared" si="4"/>
        <v>90</v>
      </c>
      <c r="K121" s="491">
        <v>1</v>
      </c>
      <c r="L121" s="491"/>
      <c r="M121">
        <f t="shared" si="3"/>
        <v>9</v>
      </c>
    </row>
    <row r="122" spans="1:13" ht="20.100000000000001" customHeight="1">
      <c r="A122" s="491" t="s">
        <v>650</v>
      </c>
      <c r="B122" s="491"/>
      <c r="C122" s="491" t="s">
        <v>668</v>
      </c>
      <c r="D122" s="492" t="s">
        <v>544</v>
      </c>
      <c r="E122" s="492" t="s">
        <v>669</v>
      </c>
      <c r="F122" s="492"/>
      <c r="G122" s="492" t="s">
        <v>670</v>
      </c>
      <c r="H122" s="491" t="s">
        <v>457</v>
      </c>
      <c r="I122" s="492">
        <v>100</v>
      </c>
      <c r="J122" s="491">
        <f t="shared" si="4"/>
        <v>100</v>
      </c>
      <c r="K122" s="491">
        <v>1</v>
      </c>
      <c r="L122" s="491"/>
      <c r="M122">
        <f t="shared" si="3"/>
        <v>10</v>
      </c>
    </row>
    <row r="123" spans="1:13" ht="20.100000000000001" customHeight="1">
      <c r="A123" s="491" t="s">
        <v>650</v>
      </c>
      <c r="B123" s="491"/>
      <c r="C123" s="491" t="s">
        <v>671</v>
      </c>
      <c r="D123" s="492" t="s">
        <v>544</v>
      </c>
      <c r="E123" s="492" t="s">
        <v>669</v>
      </c>
      <c r="F123" s="492"/>
      <c r="G123" s="492" t="s">
        <v>670</v>
      </c>
      <c r="H123" s="491" t="s">
        <v>457</v>
      </c>
      <c r="I123" s="492"/>
      <c r="J123" s="491">
        <f t="shared" si="4"/>
        <v>0</v>
      </c>
      <c r="K123" s="491">
        <v>1</v>
      </c>
      <c r="L123" s="491"/>
      <c r="M123">
        <f t="shared" si="3"/>
        <v>0</v>
      </c>
    </row>
    <row r="124" spans="1:13" ht="20.100000000000001" customHeight="1">
      <c r="A124" s="491" t="s">
        <v>650</v>
      </c>
      <c r="B124" s="491"/>
      <c r="C124" s="491" t="s">
        <v>672</v>
      </c>
      <c r="D124" s="492" t="s">
        <v>544</v>
      </c>
      <c r="E124" s="492" t="s">
        <v>669</v>
      </c>
      <c r="F124" s="492"/>
      <c r="G124" s="492" t="s">
        <v>670</v>
      </c>
      <c r="H124" s="491" t="s">
        <v>457</v>
      </c>
      <c r="I124" s="492">
        <v>50</v>
      </c>
      <c r="J124" s="491">
        <f t="shared" si="4"/>
        <v>50</v>
      </c>
      <c r="K124" s="491">
        <v>1</v>
      </c>
      <c r="L124" s="491"/>
      <c r="M124">
        <f t="shared" si="3"/>
        <v>5</v>
      </c>
    </row>
    <row r="125" spans="1:13" ht="20.100000000000001" customHeight="1">
      <c r="A125" s="491" t="s">
        <v>650</v>
      </c>
      <c r="B125" s="491"/>
      <c r="C125" s="491" t="s">
        <v>673</v>
      </c>
      <c r="D125" s="492" t="s">
        <v>544</v>
      </c>
      <c r="E125" s="492" t="s">
        <v>669</v>
      </c>
      <c r="F125" s="492"/>
      <c r="G125" s="492" t="s">
        <v>670</v>
      </c>
      <c r="H125" s="491" t="s">
        <v>457</v>
      </c>
      <c r="I125" s="492"/>
      <c r="J125" s="491">
        <f t="shared" si="4"/>
        <v>0</v>
      </c>
      <c r="K125" s="491">
        <v>1</v>
      </c>
      <c r="L125" s="491"/>
      <c r="M125">
        <f t="shared" si="3"/>
        <v>0</v>
      </c>
    </row>
    <row r="126" spans="1:13" ht="20.100000000000001" customHeight="1">
      <c r="A126" s="501" t="s">
        <v>650</v>
      </c>
      <c r="B126" s="501"/>
      <c r="C126" s="893" t="s">
        <v>674</v>
      </c>
      <c r="D126" s="505" t="s">
        <v>544</v>
      </c>
      <c r="E126" s="505" t="s">
        <v>675</v>
      </c>
      <c r="F126" s="505"/>
      <c r="G126" s="505" t="s">
        <v>573</v>
      </c>
      <c r="H126" s="501" t="s">
        <v>461</v>
      </c>
      <c r="I126" s="505">
        <v>45</v>
      </c>
      <c r="J126" s="491">
        <f t="shared" si="4"/>
        <v>45</v>
      </c>
      <c r="K126" s="491">
        <v>1</v>
      </c>
      <c r="L126" s="491"/>
      <c r="M126">
        <f t="shared" si="3"/>
        <v>4.5</v>
      </c>
    </row>
    <row r="127" spans="1:13" ht="20.100000000000001" customHeight="1">
      <c r="A127" s="501" t="s">
        <v>650</v>
      </c>
      <c r="B127" s="501"/>
      <c r="C127" s="893"/>
      <c r="D127" s="492" t="s">
        <v>544</v>
      </c>
      <c r="E127" s="492" t="s">
        <v>675</v>
      </c>
      <c r="F127" s="492"/>
      <c r="G127" s="492" t="s">
        <v>629</v>
      </c>
      <c r="H127" s="499" t="s">
        <v>451</v>
      </c>
      <c r="I127" s="492">
        <v>45</v>
      </c>
      <c r="J127" s="491">
        <f t="shared" si="4"/>
        <v>45</v>
      </c>
      <c r="K127" s="491">
        <v>1</v>
      </c>
      <c r="L127" s="491"/>
      <c r="M127">
        <f t="shared" si="3"/>
        <v>4.5</v>
      </c>
    </row>
    <row r="128" spans="1:13" ht="20.100000000000001" customHeight="1">
      <c r="A128" s="501" t="s">
        <v>650</v>
      </c>
      <c r="B128" s="501"/>
      <c r="C128" s="893"/>
      <c r="D128" s="495" t="s">
        <v>544</v>
      </c>
      <c r="E128" s="495" t="s">
        <v>675</v>
      </c>
      <c r="F128" s="495"/>
      <c r="G128" s="495" t="s">
        <v>638</v>
      </c>
      <c r="H128" s="494" t="s">
        <v>459</v>
      </c>
      <c r="I128" s="495">
        <v>30</v>
      </c>
      <c r="J128" s="491">
        <f t="shared" si="4"/>
        <v>30</v>
      </c>
      <c r="K128" s="491">
        <v>1</v>
      </c>
      <c r="L128" s="491"/>
      <c r="M128">
        <f t="shared" si="3"/>
        <v>3</v>
      </c>
    </row>
    <row r="129" spans="1:13" ht="20.100000000000001" customHeight="1">
      <c r="A129" s="491" t="s">
        <v>650</v>
      </c>
      <c r="B129" s="491"/>
      <c r="C129" s="894"/>
      <c r="D129" s="492" t="s">
        <v>663</v>
      </c>
      <c r="E129" s="492" t="s">
        <v>675</v>
      </c>
      <c r="F129" s="492"/>
      <c r="G129" s="492" t="s">
        <v>638</v>
      </c>
      <c r="H129" s="491" t="s">
        <v>463</v>
      </c>
      <c r="I129" s="492">
        <v>75</v>
      </c>
      <c r="J129" s="491">
        <f>+I129*4/30.5</f>
        <v>9.8360655737704921</v>
      </c>
      <c r="K129" s="491">
        <v>0</v>
      </c>
      <c r="L129" s="491"/>
    </row>
    <row r="130" spans="1:13" ht="20.100000000000001" customHeight="1">
      <c r="A130" s="491" t="s">
        <v>650</v>
      </c>
      <c r="B130" s="491"/>
      <c r="C130" s="491" t="s">
        <v>676</v>
      </c>
      <c r="D130" s="492" t="s">
        <v>544</v>
      </c>
      <c r="E130" s="492" t="s">
        <v>677</v>
      </c>
      <c r="F130" s="492"/>
      <c r="G130" s="492" t="s">
        <v>629</v>
      </c>
      <c r="H130" s="499" t="s">
        <v>451</v>
      </c>
      <c r="I130" s="492">
        <v>15</v>
      </c>
      <c r="J130" s="491">
        <f t="shared" si="4"/>
        <v>15</v>
      </c>
      <c r="K130" s="491">
        <v>1</v>
      </c>
      <c r="L130" s="491"/>
      <c r="M130">
        <f t="shared" si="3"/>
        <v>1.5</v>
      </c>
    </row>
    <row r="131" spans="1:13" ht="20.100000000000001" customHeight="1">
      <c r="A131" s="491" t="s">
        <v>650</v>
      </c>
      <c r="B131" s="491"/>
      <c r="C131" s="491" t="s">
        <v>678</v>
      </c>
      <c r="D131" s="492" t="s">
        <v>544</v>
      </c>
      <c r="E131" s="492" t="s">
        <v>584</v>
      </c>
      <c r="F131" s="492"/>
      <c r="G131" s="492" t="s">
        <v>679</v>
      </c>
      <c r="H131" s="491" t="s">
        <v>457</v>
      </c>
      <c r="I131" s="492">
        <v>15</v>
      </c>
      <c r="J131" s="491">
        <f t="shared" si="4"/>
        <v>15</v>
      </c>
      <c r="K131" s="491">
        <v>1</v>
      </c>
      <c r="L131" s="491"/>
      <c r="M131">
        <f t="shared" si="3"/>
        <v>1.5</v>
      </c>
    </row>
    <row r="132" spans="1:13" ht="20.100000000000001" customHeight="1">
      <c r="A132" s="491" t="s">
        <v>650</v>
      </c>
      <c r="B132" s="491"/>
      <c r="C132" s="491" t="s">
        <v>680</v>
      </c>
      <c r="D132" s="492" t="s">
        <v>666</v>
      </c>
      <c r="E132" s="492" t="s">
        <v>681</v>
      </c>
      <c r="F132" s="492"/>
      <c r="G132" s="492" t="s">
        <v>633</v>
      </c>
      <c r="H132" s="500"/>
      <c r="I132" s="492">
        <v>80</v>
      </c>
      <c r="J132" s="491">
        <f t="shared" si="4"/>
        <v>80</v>
      </c>
      <c r="K132" s="491">
        <v>1</v>
      </c>
      <c r="L132" s="491"/>
      <c r="M132">
        <f t="shared" ref="M132:M134" si="5">IF(K132=1,J132,"")-IF(K132=1,J132*0.9,"")</f>
        <v>8</v>
      </c>
    </row>
    <row r="133" spans="1:13" ht="20.100000000000001" customHeight="1">
      <c r="A133" s="491" t="s">
        <v>650</v>
      </c>
      <c r="B133" s="491"/>
      <c r="C133" s="491" t="s">
        <v>682</v>
      </c>
      <c r="D133" s="492" t="s">
        <v>666</v>
      </c>
      <c r="E133" s="492" t="s">
        <v>31</v>
      </c>
      <c r="F133" s="492"/>
      <c r="G133" s="492" t="s">
        <v>633</v>
      </c>
      <c r="H133" s="500"/>
      <c r="I133" s="492" t="s">
        <v>31</v>
      </c>
      <c r="J133" s="491" t="str">
        <f t="shared" si="4"/>
        <v>-</v>
      </c>
      <c r="K133" s="491">
        <v>1</v>
      </c>
      <c r="L133" s="491"/>
    </row>
    <row r="134" spans="1:13" ht="20.100000000000001" customHeight="1">
      <c r="A134" s="491" t="s">
        <v>683</v>
      </c>
      <c r="B134" s="491" t="s">
        <v>684</v>
      </c>
      <c r="C134" s="491"/>
      <c r="D134" s="492" t="s">
        <v>544</v>
      </c>
      <c r="E134" s="492" t="s">
        <v>685</v>
      </c>
      <c r="F134" s="492"/>
      <c r="G134" s="492" t="s">
        <v>686</v>
      </c>
      <c r="H134" s="492" t="s">
        <v>480</v>
      </c>
      <c r="I134" s="492">
        <v>5</v>
      </c>
      <c r="J134" s="491">
        <f t="shared" si="4"/>
        <v>5</v>
      </c>
      <c r="K134" s="491">
        <v>1</v>
      </c>
      <c r="L134" s="491"/>
      <c r="M134">
        <f t="shared" si="5"/>
        <v>0.5</v>
      </c>
    </row>
    <row r="135" spans="1:13" ht="20.100000000000001" customHeight="1">
      <c r="A135" s="494" t="s">
        <v>650</v>
      </c>
      <c r="B135" s="494" t="s">
        <v>687</v>
      </c>
      <c r="C135" s="494"/>
      <c r="D135" s="495" t="s">
        <v>688</v>
      </c>
      <c r="E135" s="495" t="s">
        <v>689</v>
      </c>
      <c r="F135" s="495"/>
      <c r="G135" s="495" t="s">
        <v>638</v>
      </c>
      <c r="H135" s="495" t="s">
        <v>473</v>
      </c>
      <c r="I135" s="495"/>
      <c r="J135" s="491">
        <f t="shared" si="4"/>
        <v>0</v>
      </c>
      <c r="K135" s="491">
        <v>0</v>
      </c>
      <c r="L135" s="491"/>
    </row>
    <row r="136" spans="1:13" ht="20.100000000000001" customHeight="1">
      <c r="A136" s="494" t="s">
        <v>650</v>
      </c>
      <c r="B136" s="494" t="s">
        <v>690</v>
      </c>
      <c r="C136" s="494"/>
      <c r="D136" s="495" t="s">
        <v>688</v>
      </c>
      <c r="E136" s="495" t="s">
        <v>689</v>
      </c>
      <c r="F136" s="495"/>
      <c r="G136" s="495" t="s">
        <v>638</v>
      </c>
      <c r="H136" s="495" t="s">
        <v>473</v>
      </c>
      <c r="I136" s="495"/>
      <c r="J136" s="491">
        <f t="shared" si="4"/>
        <v>0</v>
      </c>
      <c r="K136" s="491">
        <v>0</v>
      </c>
      <c r="L136" s="491"/>
    </row>
    <row r="137" spans="1:13" ht="20.100000000000001" customHeight="1">
      <c r="A137" s="494" t="s">
        <v>650</v>
      </c>
      <c r="B137" s="494" t="s">
        <v>691</v>
      </c>
      <c r="C137" s="494"/>
      <c r="D137" s="495" t="s">
        <v>688</v>
      </c>
      <c r="E137" s="495" t="s">
        <v>689</v>
      </c>
      <c r="F137" s="495"/>
      <c r="G137" s="495" t="s">
        <v>638</v>
      </c>
      <c r="H137" s="495" t="s">
        <v>473</v>
      </c>
      <c r="I137" s="495"/>
      <c r="J137" s="491">
        <f t="shared" si="4"/>
        <v>0</v>
      </c>
      <c r="K137" s="491">
        <v>0</v>
      </c>
      <c r="L137" s="491"/>
    </row>
    <row r="138" spans="1:13" ht="20.100000000000001" customHeight="1">
      <c r="A138" s="494" t="s">
        <v>650</v>
      </c>
      <c r="B138" s="494" t="s">
        <v>692</v>
      </c>
      <c r="C138" s="494"/>
      <c r="D138" s="495" t="s">
        <v>688</v>
      </c>
      <c r="E138" s="495" t="s">
        <v>689</v>
      </c>
      <c r="F138" s="495"/>
      <c r="G138" s="495" t="s">
        <v>638</v>
      </c>
      <c r="H138" s="495" t="s">
        <v>473</v>
      </c>
      <c r="I138" s="495"/>
      <c r="J138" s="491">
        <f t="shared" si="4"/>
        <v>0</v>
      </c>
      <c r="K138" s="491">
        <v>0</v>
      </c>
      <c r="L138" s="491"/>
    </row>
    <row r="139" spans="1:13" ht="20.100000000000001" customHeight="1">
      <c r="A139" s="494" t="s">
        <v>650</v>
      </c>
      <c r="B139" s="494" t="s">
        <v>693</v>
      </c>
      <c r="C139" s="494"/>
      <c r="D139" s="495" t="s">
        <v>688</v>
      </c>
      <c r="E139" s="495" t="s">
        <v>689</v>
      </c>
      <c r="F139" s="495"/>
      <c r="G139" s="495" t="s">
        <v>638</v>
      </c>
      <c r="H139" s="495" t="s">
        <v>473</v>
      </c>
      <c r="I139" s="495"/>
      <c r="J139" s="491">
        <f t="shared" si="4"/>
        <v>0</v>
      </c>
      <c r="K139" s="491">
        <v>0</v>
      </c>
      <c r="L139" s="491"/>
    </row>
    <row r="140" spans="1:13" ht="20.100000000000001" customHeight="1">
      <c r="A140" s="494" t="s">
        <v>650</v>
      </c>
      <c r="B140" s="494" t="s">
        <v>694</v>
      </c>
      <c r="C140" s="494"/>
      <c r="D140" s="495" t="s">
        <v>688</v>
      </c>
      <c r="E140" s="495" t="s">
        <v>689</v>
      </c>
      <c r="F140" s="495"/>
      <c r="G140" s="495" t="s">
        <v>638</v>
      </c>
      <c r="H140" s="495" t="s">
        <v>473</v>
      </c>
      <c r="I140" s="495"/>
      <c r="J140" s="491">
        <f t="shared" si="4"/>
        <v>0</v>
      </c>
      <c r="K140" s="491">
        <v>0</v>
      </c>
      <c r="L140" s="491"/>
    </row>
    <row r="141" spans="1:13" ht="20.100000000000001" customHeight="1">
      <c r="A141" s="494" t="s">
        <v>650</v>
      </c>
      <c r="B141" s="494" t="s">
        <v>695</v>
      </c>
      <c r="C141" s="494"/>
      <c r="D141" s="495" t="s">
        <v>688</v>
      </c>
      <c r="E141" s="495" t="s">
        <v>689</v>
      </c>
      <c r="F141" s="495"/>
      <c r="G141" s="495" t="s">
        <v>638</v>
      </c>
      <c r="H141" s="495" t="s">
        <v>473</v>
      </c>
      <c r="I141" s="495"/>
      <c r="J141" s="491">
        <f t="shared" si="4"/>
        <v>0</v>
      </c>
      <c r="K141" s="491">
        <v>0</v>
      </c>
      <c r="L141" s="491"/>
    </row>
    <row r="142" spans="1:13" ht="20.100000000000001" customHeight="1">
      <c r="A142" s="494" t="s">
        <v>650</v>
      </c>
      <c r="B142" s="494" t="s">
        <v>696</v>
      </c>
      <c r="C142" s="494"/>
      <c r="D142" s="495" t="s">
        <v>688</v>
      </c>
      <c r="E142" s="495" t="s">
        <v>689</v>
      </c>
      <c r="F142" s="495"/>
      <c r="G142" s="495" t="s">
        <v>638</v>
      </c>
      <c r="H142" s="495" t="s">
        <v>473</v>
      </c>
      <c r="I142" s="495"/>
      <c r="J142" s="491">
        <f t="shared" si="4"/>
        <v>0</v>
      </c>
      <c r="K142" s="491">
        <v>0</v>
      </c>
      <c r="L142" s="491"/>
    </row>
    <row r="143" spans="1:13" ht="20.100000000000001" customHeight="1">
      <c r="A143" s="494" t="s">
        <v>650</v>
      </c>
      <c r="B143" s="494" t="s">
        <v>697</v>
      </c>
      <c r="C143" s="494"/>
      <c r="D143" s="495" t="s">
        <v>688</v>
      </c>
      <c r="E143" s="495" t="s">
        <v>689</v>
      </c>
      <c r="F143" s="495"/>
      <c r="G143" s="495" t="s">
        <v>638</v>
      </c>
      <c r="H143" s="495" t="s">
        <v>473</v>
      </c>
      <c r="I143" s="495"/>
      <c r="J143" s="491">
        <f t="shared" si="4"/>
        <v>0</v>
      </c>
      <c r="K143" s="491">
        <v>0</v>
      </c>
      <c r="L143" s="491"/>
    </row>
    <row r="144" spans="1:13" ht="20.100000000000001" customHeight="1">
      <c r="A144" s="494" t="s">
        <v>650</v>
      </c>
      <c r="B144" s="494" t="s">
        <v>698</v>
      </c>
      <c r="C144" s="494"/>
      <c r="D144" s="495" t="s">
        <v>688</v>
      </c>
      <c r="E144" s="495" t="s">
        <v>689</v>
      </c>
      <c r="F144" s="495"/>
      <c r="G144" s="495" t="s">
        <v>638</v>
      </c>
      <c r="H144" s="495" t="s">
        <v>473</v>
      </c>
      <c r="I144" s="495"/>
      <c r="J144" s="491">
        <f t="shared" si="4"/>
        <v>0</v>
      </c>
      <c r="K144" s="491">
        <v>0</v>
      </c>
      <c r="L144" s="491"/>
    </row>
    <row r="145" spans="1:12" ht="20.100000000000001" customHeight="1">
      <c r="A145" s="494" t="s">
        <v>650</v>
      </c>
      <c r="B145" s="494" t="s">
        <v>699</v>
      </c>
      <c r="C145" s="494"/>
      <c r="D145" s="495" t="s">
        <v>688</v>
      </c>
      <c r="E145" s="495" t="s">
        <v>689</v>
      </c>
      <c r="F145" s="495"/>
      <c r="G145" s="495" t="s">
        <v>638</v>
      </c>
      <c r="H145" s="495" t="s">
        <v>473</v>
      </c>
      <c r="I145" s="495"/>
      <c r="J145" s="491">
        <f t="shared" si="4"/>
        <v>0</v>
      </c>
      <c r="K145" s="491">
        <v>0</v>
      </c>
      <c r="L145" s="491"/>
    </row>
    <row r="146" spans="1:12" ht="20.100000000000001" customHeight="1">
      <c r="A146" s="494" t="s">
        <v>650</v>
      </c>
      <c r="B146" s="494" t="s">
        <v>700</v>
      </c>
      <c r="C146" s="494"/>
      <c r="D146" s="495" t="s">
        <v>688</v>
      </c>
      <c r="E146" s="495" t="s">
        <v>689</v>
      </c>
      <c r="F146" s="495"/>
      <c r="G146" s="495" t="s">
        <v>638</v>
      </c>
      <c r="H146" s="495" t="s">
        <v>473</v>
      </c>
      <c r="I146" s="495"/>
      <c r="J146" s="491">
        <f t="shared" si="4"/>
        <v>0</v>
      </c>
      <c r="K146" s="491">
        <v>0</v>
      </c>
      <c r="L146" s="491"/>
    </row>
    <row r="147" spans="1:12" ht="20.100000000000001" customHeight="1">
      <c r="A147" s="494" t="s">
        <v>650</v>
      </c>
      <c r="B147" s="494" t="s">
        <v>701</v>
      </c>
      <c r="C147" s="494"/>
      <c r="D147" s="495" t="s">
        <v>688</v>
      </c>
      <c r="E147" s="495" t="s">
        <v>689</v>
      </c>
      <c r="F147" s="495"/>
      <c r="G147" s="495" t="s">
        <v>638</v>
      </c>
      <c r="H147" s="495" t="s">
        <v>473</v>
      </c>
      <c r="I147" s="495"/>
      <c r="J147" s="491">
        <f t="shared" si="4"/>
        <v>0</v>
      </c>
      <c r="K147" s="491">
        <v>0</v>
      </c>
      <c r="L147" s="491"/>
    </row>
    <row r="149" spans="1:12">
      <c r="A149" s="506" t="s">
        <v>702</v>
      </c>
    </row>
    <row r="151" spans="1:12">
      <c r="A151" s="511" t="s">
        <v>703</v>
      </c>
      <c r="B151" s="508">
        <f>+COUNTIF(K3:K147,"1")</f>
        <v>127</v>
      </c>
    </row>
    <row r="152" spans="1:12">
      <c r="A152" s="511" t="s">
        <v>704</v>
      </c>
      <c r="B152" s="508">
        <f>++COUNTIF(K3:K147,"0")</f>
        <v>17</v>
      </c>
    </row>
    <row r="153" spans="1:12">
      <c r="A153" s="511" t="s">
        <v>705</v>
      </c>
      <c r="B153" s="508"/>
    </row>
    <row r="154" spans="1:12">
      <c r="A154" s="511" t="s">
        <v>706</v>
      </c>
      <c r="B154" s="508"/>
    </row>
    <row r="156" spans="1:12">
      <c r="A156" s="507" t="s">
        <v>492</v>
      </c>
      <c r="B156" s="508" t="s">
        <v>708</v>
      </c>
      <c r="C156" s="508" t="s">
        <v>709</v>
      </c>
      <c r="D156" s="510" t="s">
        <v>441</v>
      </c>
      <c r="E156" s="488" t="s">
        <v>710</v>
      </c>
      <c r="F156" s="488" t="s">
        <v>714</v>
      </c>
    </row>
    <row r="157" spans="1:12">
      <c r="A157" s="507" t="s">
        <v>444</v>
      </c>
      <c r="B157" s="508">
        <f>+SUMIF($H$3:$H$147,A157,$J$3:$J$147)*30.5</f>
        <v>10888.5</v>
      </c>
      <c r="C157" s="509">
        <f>+B157*60</f>
        <v>653310</v>
      </c>
      <c r="D157" s="509">
        <f>+SUMIF('AjusteK-PQ'!$D$2:$D$24,'Esquema de tratamiento'!A157,'AjusteK-PQ'!$K$2:$K$24)</f>
        <v>0</v>
      </c>
      <c r="F157" s="512">
        <f>+D157/C157-1</f>
        <v>-1</v>
      </c>
    </row>
    <row r="158" spans="1:12">
      <c r="A158" s="508" t="s">
        <v>448</v>
      </c>
      <c r="B158" s="508">
        <f t="shared" ref="B158:B169" si="6">+SUMIF($H$3:$H$147,A158,$J$3:$J$147)*30.5</f>
        <v>7472.5</v>
      </c>
      <c r="C158" s="509">
        <f t="shared" ref="C158:C169" si="7">+B158*60</f>
        <v>448350</v>
      </c>
      <c r="D158" s="509">
        <f>+SUMIF('AjusteK-PQ'!$D$2:$D$24,'Esquema de tratamiento'!A158,'AjusteK-PQ'!$K$2:$K$24)</f>
        <v>0</v>
      </c>
      <c r="F158" s="512">
        <f t="shared" ref="F158:F169" si="8">+D158/C158-1</f>
        <v>-1</v>
      </c>
    </row>
    <row r="159" spans="1:12">
      <c r="A159" s="513" t="s">
        <v>456</v>
      </c>
      <c r="B159" s="508">
        <f t="shared" si="6"/>
        <v>1220</v>
      </c>
      <c r="C159" s="509">
        <f t="shared" si="7"/>
        <v>73200</v>
      </c>
      <c r="D159" s="509">
        <f>+SUMIF('AjusteK-PQ'!$D$2:$D$24,'Esquema de tratamiento'!A159,'AjusteK-PQ'!$K$2:$K$24)</f>
        <v>0</v>
      </c>
      <c r="E159" s="488" t="s">
        <v>711</v>
      </c>
      <c r="F159" s="512">
        <f t="shared" si="8"/>
        <v>-1</v>
      </c>
    </row>
    <row r="160" spans="1:12">
      <c r="A160" s="508" t="s">
        <v>438</v>
      </c>
      <c r="B160" s="508">
        <f t="shared" si="6"/>
        <v>16012.5</v>
      </c>
      <c r="C160" s="509">
        <f t="shared" si="7"/>
        <v>960750</v>
      </c>
      <c r="D160" s="509">
        <f>+SUMIF('AjusteK-PQ'!$D$2:$D$24,'Esquema de tratamiento'!A160,'AjusteK-PQ'!$K$2:$K$24)</f>
        <v>730000</v>
      </c>
      <c r="F160" s="512">
        <f t="shared" si="8"/>
        <v>-0.24017694509497789</v>
      </c>
    </row>
    <row r="161" spans="1:6">
      <c r="A161" s="508" t="s">
        <v>461</v>
      </c>
      <c r="B161" s="508">
        <f t="shared" si="6"/>
        <v>2287.5</v>
      </c>
      <c r="C161" s="509">
        <f t="shared" si="7"/>
        <v>137250</v>
      </c>
      <c r="D161" s="509">
        <f>+SUMIF('AjusteK-PQ'!$D$2:$D$24,'Esquema de tratamiento'!A161,'AjusteK-PQ'!$K$2:$K$24)</f>
        <v>126000</v>
      </c>
      <c r="F161" s="512">
        <f t="shared" si="8"/>
        <v>-8.1967213114754078E-2</v>
      </c>
    </row>
    <row r="162" spans="1:6">
      <c r="A162" s="508" t="s">
        <v>451</v>
      </c>
      <c r="B162" s="508">
        <f t="shared" si="6"/>
        <v>5429</v>
      </c>
      <c r="C162" s="509">
        <f t="shared" si="7"/>
        <v>325740</v>
      </c>
      <c r="D162" s="509">
        <f>+SUMIF('AjusteK-PQ'!$D$2:$D$24,'Esquema de tratamiento'!A162,'AjusteK-PQ'!$K$2:$K$24)</f>
        <v>0</v>
      </c>
      <c r="F162" s="512">
        <f t="shared" si="8"/>
        <v>-1</v>
      </c>
    </row>
    <row r="163" spans="1:6">
      <c r="A163" s="510" t="s">
        <v>459</v>
      </c>
      <c r="B163" s="508">
        <f t="shared" si="6"/>
        <v>3965</v>
      </c>
      <c r="C163" s="509">
        <f t="shared" si="7"/>
        <v>237900</v>
      </c>
      <c r="D163" s="509">
        <f>+SUMIF('AjusteK-PQ'!$D$2:$D$24,'Esquema de tratamiento'!A163,'AjusteK-PQ'!$K$2:$K$24)</f>
        <v>132000</v>
      </c>
      <c r="F163" s="512">
        <f>+D163/C163-1</f>
        <v>-0.44514501891551073</v>
      </c>
    </row>
    <row r="164" spans="1:6">
      <c r="A164" s="510" t="s">
        <v>473</v>
      </c>
      <c r="B164" s="508">
        <f t="shared" si="6"/>
        <v>203.33333333333334</v>
      </c>
      <c r="C164" s="509">
        <f t="shared" si="7"/>
        <v>12200</v>
      </c>
      <c r="D164" s="509">
        <f>+SUMIF('AjusteK-PQ'!$D$2:$D$24,'Esquema de tratamiento'!A164,'AjusteK-PQ'!$K$2:$K$24)</f>
        <v>9000</v>
      </c>
      <c r="F164" s="512">
        <f t="shared" si="8"/>
        <v>-0.26229508196721307</v>
      </c>
    </row>
    <row r="165" spans="1:6">
      <c r="A165" s="508" t="s">
        <v>467</v>
      </c>
      <c r="B165" s="508">
        <f t="shared" si="6"/>
        <v>4575</v>
      </c>
      <c r="C165" s="509">
        <f t="shared" si="7"/>
        <v>274500</v>
      </c>
      <c r="D165" s="509">
        <f>+SUMIF('AjusteK-PQ'!$D$2:$D$24,'Esquema de tratamiento'!A165,'AjusteK-PQ'!$K$2:$K$24)</f>
        <v>30000</v>
      </c>
      <c r="F165" s="512">
        <f t="shared" si="8"/>
        <v>-0.89071038251366119</v>
      </c>
    </row>
    <row r="166" spans="1:6">
      <c r="A166" s="508" t="s">
        <v>466</v>
      </c>
      <c r="B166" s="508">
        <f t="shared" si="6"/>
        <v>671</v>
      </c>
      <c r="C166" s="509">
        <f t="shared" si="7"/>
        <v>40260</v>
      </c>
      <c r="D166" s="509">
        <f>+SUMIF('AjusteK-PQ'!$D$2:$D$24,'Esquema de tratamiento'!A166,'AjusteK-PQ'!$K$2:$K$24)</f>
        <v>36000</v>
      </c>
      <c r="F166" s="512">
        <f t="shared" si="8"/>
        <v>-0.10581222056631889</v>
      </c>
    </row>
    <row r="167" spans="1:6">
      <c r="A167" s="507" t="s">
        <v>457</v>
      </c>
      <c r="B167" s="508">
        <f t="shared" si="6"/>
        <v>5032.5</v>
      </c>
      <c r="C167" s="509">
        <f t="shared" si="7"/>
        <v>301950</v>
      </c>
      <c r="D167" s="509">
        <f>+SUMIF('AjusteK-PQ'!$D$2:$D$24,'Esquema de tratamiento'!A167,'AjusteK-PQ'!$K$2:$K$24)</f>
        <v>0</v>
      </c>
      <c r="F167" s="512">
        <f t="shared" si="8"/>
        <v>-1</v>
      </c>
    </row>
    <row r="168" spans="1:6">
      <c r="A168" s="507" t="s">
        <v>463</v>
      </c>
      <c r="B168" s="508">
        <f t="shared" si="6"/>
        <v>300</v>
      </c>
      <c r="C168" s="509">
        <f t="shared" si="7"/>
        <v>18000</v>
      </c>
      <c r="D168" s="509">
        <f>+SUMIF('AjusteK-PQ'!$D$2:$D$24,'Esquema de tratamiento'!A168,'AjusteK-PQ'!$K$2:$K$24)</f>
        <v>72000</v>
      </c>
      <c r="F168" s="512">
        <f t="shared" si="8"/>
        <v>3</v>
      </c>
    </row>
    <row r="169" spans="1:6">
      <c r="A169" s="510" t="s">
        <v>480</v>
      </c>
      <c r="B169" s="508">
        <f t="shared" si="6"/>
        <v>152.5</v>
      </c>
      <c r="C169" s="509">
        <f t="shared" si="7"/>
        <v>9150</v>
      </c>
      <c r="D169" s="509">
        <f>+SUMIF('AjusteK-PQ'!$D$2:$D$24,'Esquema de tratamiento'!A169,'AjusteK-PQ'!$K$2:$K$24)</f>
        <v>0</v>
      </c>
      <c r="F169" s="512">
        <f t="shared" si="8"/>
        <v>-1</v>
      </c>
    </row>
    <row r="172" spans="1:6">
      <c r="A172"/>
    </row>
    <row r="173" spans="1:6">
      <c r="A173"/>
    </row>
    <row r="174" spans="1:6">
      <c r="A174"/>
    </row>
    <row r="175" spans="1:6">
      <c r="A175"/>
    </row>
    <row r="176" spans="1:6">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row r="221" spans="1:1">
      <c r="A221"/>
    </row>
    <row r="222" spans="1:1">
      <c r="A222"/>
    </row>
    <row r="223" spans="1:1">
      <c r="A223"/>
    </row>
    <row r="224" spans="1:1">
      <c r="A224"/>
    </row>
    <row r="225" spans="1:1">
      <c r="A225"/>
    </row>
    <row r="226" spans="1:1">
      <c r="A226"/>
    </row>
    <row r="227" spans="1:1">
      <c r="A227"/>
    </row>
    <row r="228" spans="1:1">
      <c r="A228"/>
    </row>
    <row r="229" spans="1:1">
      <c r="A229"/>
    </row>
    <row r="230" spans="1:1">
      <c r="A230"/>
    </row>
    <row r="231" spans="1:1">
      <c r="A231"/>
    </row>
    <row r="232" spans="1:1">
      <c r="A232"/>
    </row>
    <row r="233" spans="1:1">
      <c r="A233"/>
    </row>
    <row r="234" spans="1:1">
      <c r="A234"/>
    </row>
    <row r="235" spans="1:1">
      <c r="A235"/>
    </row>
    <row r="236" spans="1:1">
      <c r="A236"/>
    </row>
    <row r="237" spans="1:1">
      <c r="A237"/>
    </row>
    <row r="238" spans="1:1">
      <c r="A238"/>
    </row>
    <row r="239" spans="1:1">
      <c r="A239"/>
    </row>
    <row r="240" spans="1:1">
      <c r="A240"/>
    </row>
    <row r="241" spans="1:1">
      <c r="A241"/>
    </row>
    <row r="242" spans="1:1">
      <c r="A242"/>
    </row>
    <row r="243" spans="1:1">
      <c r="A243"/>
    </row>
    <row r="244" spans="1:1">
      <c r="A244"/>
    </row>
    <row r="245" spans="1:1">
      <c r="A245"/>
    </row>
    <row r="246" spans="1:1">
      <c r="A246"/>
    </row>
    <row r="247" spans="1:1">
      <c r="A247"/>
    </row>
    <row r="248" spans="1:1">
      <c r="A248"/>
    </row>
    <row r="249" spans="1:1">
      <c r="A249"/>
    </row>
    <row r="250" spans="1:1">
      <c r="A250"/>
    </row>
    <row r="251" spans="1:1">
      <c r="A251"/>
    </row>
    <row r="252" spans="1:1">
      <c r="A252"/>
    </row>
    <row r="253" spans="1:1">
      <c r="A253"/>
    </row>
    <row r="254" spans="1:1">
      <c r="A254"/>
    </row>
    <row r="255" spans="1:1">
      <c r="A255"/>
    </row>
    <row r="256" spans="1:1">
      <c r="A256"/>
    </row>
    <row r="257" spans="1:1">
      <c r="A257"/>
    </row>
    <row r="258" spans="1:1">
      <c r="A258"/>
    </row>
    <row r="259" spans="1:1">
      <c r="A259"/>
    </row>
    <row r="260" spans="1:1">
      <c r="A260"/>
    </row>
    <row r="261" spans="1:1">
      <c r="A261"/>
    </row>
    <row r="262" spans="1:1">
      <c r="A262"/>
    </row>
    <row r="263" spans="1:1">
      <c r="A263"/>
    </row>
    <row r="264" spans="1:1">
      <c r="A264"/>
    </row>
    <row r="265" spans="1:1">
      <c r="A265"/>
    </row>
    <row r="266" spans="1:1">
      <c r="A266"/>
    </row>
    <row r="267" spans="1:1">
      <c r="A267"/>
    </row>
    <row r="268" spans="1:1">
      <c r="A268"/>
    </row>
    <row r="269" spans="1:1">
      <c r="A269"/>
    </row>
    <row r="270" spans="1:1">
      <c r="A270"/>
    </row>
    <row r="271" spans="1:1">
      <c r="A271"/>
    </row>
    <row r="272" spans="1:1">
      <c r="A272"/>
    </row>
    <row r="273" spans="1:1">
      <c r="A273"/>
    </row>
    <row r="274" spans="1:1">
      <c r="A274"/>
    </row>
    <row r="275" spans="1:1">
      <c r="A275"/>
    </row>
    <row r="276" spans="1:1">
      <c r="A276"/>
    </row>
    <row r="277" spans="1:1">
      <c r="A277"/>
    </row>
    <row r="278" spans="1:1">
      <c r="A278"/>
    </row>
    <row r="279" spans="1:1">
      <c r="A279"/>
    </row>
    <row r="280" spans="1:1">
      <c r="A280"/>
    </row>
    <row r="281" spans="1:1">
      <c r="A281"/>
    </row>
    <row r="282" spans="1:1">
      <c r="A282"/>
    </row>
    <row r="283" spans="1:1">
      <c r="A283"/>
    </row>
    <row r="284" spans="1:1">
      <c r="A284"/>
    </row>
    <row r="285" spans="1:1">
      <c r="A285"/>
    </row>
    <row r="286" spans="1:1">
      <c r="A286"/>
    </row>
    <row r="287" spans="1:1">
      <c r="A287"/>
    </row>
    <row r="288" spans="1:1">
      <c r="A288"/>
    </row>
    <row r="289" spans="1:1">
      <c r="A289"/>
    </row>
    <row r="290" spans="1:1">
      <c r="A290"/>
    </row>
    <row r="291" spans="1:1">
      <c r="A291"/>
    </row>
    <row r="292" spans="1:1">
      <c r="A292"/>
    </row>
    <row r="293" spans="1:1">
      <c r="A293"/>
    </row>
    <row r="294" spans="1:1">
      <c r="A294"/>
    </row>
    <row r="295" spans="1:1">
      <c r="A295"/>
    </row>
    <row r="296" spans="1:1">
      <c r="A296"/>
    </row>
    <row r="297" spans="1:1">
      <c r="A297"/>
    </row>
    <row r="298" spans="1:1">
      <c r="A298"/>
    </row>
    <row r="299" spans="1:1">
      <c r="A299"/>
    </row>
    <row r="300" spans="1:1">
      <c r="A300"/>
    </row>
  </sheetData>
  <autoFilter ref="A2:I147" xr:uid="{00000000-0009-0000-0000-00000A000000}"/>
  <mergeCells count="10">
    <mergeCell ref="C114:C115"/>
    <mergeCell ref="C116:C117"/>
    <mergeCell ref="C118:C119"/>
    <mergeCell ref="C126:C129"/>
    <mergeCell ref="C104:C105"/>
    <mergeCell ref="F104:F105"/>
    <mergeCell ref="C106:C107"/>
    <mergeCell ref="E106:E107"/>
    <mergeCell ref="F106:F107"/>
    <mergeCell ref="B112:B113"/>
  </mergeCells>
  <printOptions horizontalCentered="1"/>
  <pageMargins left="0.70866141732283472" right="0.70866141732283472" top="0.74803149606299213" bottom="0.74803149606299213" header="0.31496062992125984" footer="0.31496062992125984"/>
  <pageSetup paperSize="9" scale="62" orientation="portrait" r:id="rId1"/>
  <headerFooter>
    <oddFooter>&amp;LNeuquén, 09 de julio de 2022&amp;RPágina &amp;P de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AE69"/>
  <sheetViews>
    <sheetView showGridLines="0" topLeftCell="A22" zoomScale="90" zoomScaleNormal="90" workbookViewId="0">
      <selection activeCell="G18" sqref="G18"/>
    </sheetView>
  </sheetViews>
  <sheetFormatPr baseColWidth="10" defaultRowHeight="11.25"/>
  <cols>
    <col min="1" max="1" width="13.140625" style="5" customWidth="1"/>
    <col min="2" max="2" width="55.42578125" style="35" customWidth="1"/>
    <col min="3" max="3" width="13.7109375" style="5" customWidth="1"/>
    <col min="4" max="4" width="16.42578125" style="8" customWidth="1"/>
    <col min="5" max="5" width="2.28515625" style="3" customWidth="1"/>
    <col min="6" max="6" width="10.28515625" style="9" customWidth="1"/>
    <col min="7" max="7" width="14.140625" style="9" customWidth="1"/>
    <col min="8" max="8" width="8.7109375" style="38" customWidth="1"/>
    <col min="9" max="9" width="14.42578125" style="258" customWidth="1"/>
    <col min="10" max="16" width="5.28515625" style="258" customWidth="1"/>
    <col min="17" max="25" width="5.28515625" style="5" customWidth="1"/>
    <col min="26" max="27" width="11.42578125" style="5"/>
    <col min="28" max="28" width="15.28515625" style="5" customWidth="1"/>
    <col min="29" max="29" width="18.42578125" style="5" customWidth="1"/>
    <col min="30" max="172" width="11.42578125" style="5"/>
    <col min="173" max="173" width="11.5703125" style="5" customWidth="1"/>
    <col min="174" max="174" width="8.42578125" style="5" customWidth="1"/>
    <col min="175" max="175" width="99.28515625" style="5" customWidth="1"/>
    <col min="176" max="176" width="15.85546875" style="5" customWidth="1"/>
    <col min="177" max="177" width="16.7109375" style="5" customWidth="1"/>
    <col min="178" max="178" width="21.5703125" style="5" customWidth="1"/>
    <col min="179" max="179" width="21.7109375" style="5" customWidth="1"/>
    <col min="180" max="428" width="11.42578125" style="5"/>
    <col min="429" max="429" width="11.5703125" style="5" customWidth="1"/>
    <col min="430" max="430" width="8.42578125" style="5" customWidth="1"/>
    <col min="431" max="431" width="99.28515625" style="5" customWidth="1"/>
    <col min="432" max="432" width="15.85546875" style="5" customWidth="1"/>
    <col min="433" max="433" width="16.7109375" style="5" customWidth="1"/>
    <col min="434" max="434" width="21.5703125" style="5" customWidth="1"/>
    <col min="435" max="435" width="21.7109375" style="5" customWidth="1"/>
    <col min="436" max="684" width="11.42578125" style="5"/>
    <col min="685" max="685" width="11.5703125" style="5" customWidth="1"/>
    <col min="686" max="686" width="8.42578125" style="5" customWidth="1"/>
    <col min="687" max="687" width="99.28515625" style="5" customWidth="1"/>
    <col min="688" max="688" width="15.85546875" style="5" customWidth="1"/>
    <col min="689" max="689" width="16.7109375" style="5" customWidth="1"/>
    <col min="690" max="690" width="21.5703125" style="5" customWidth="1"/>
    <col min="691" max="691" width="21.7109375" style="5" customWidth="1"/>
    <col min="692" max="940" width="11.42578125" style="5"/>
    <col min="941" max="941" width="11.5703125" style="5" customWidth="1"/>
    <col min="942" max="942" width="8.42578125" style="5" customWidth="1"/>
    <col min="943" max="943" width="99.28515625" style="5" customWidth="1"/>
    <col min="944" max="944" width="15.85546875" style="5" customWidth="1"/>
    <col min="945" max="945" width="16.7109375" style="5" customWidth="1"/>
    <col min="946" max="946" width="21.5703125" style="5" customWidth="1"/>
    <col min="947" max="947" width="21.7109375" style="5" customWidth="1"/>
    <col min="948" max="1196" width="11.42578125" style="5"/>
    <col min="1197" max="1197" width="11.5703125" style="5" customWidth="1"/>
    <col min="1198" max="1198" width="8.42578125" style="5" customWidth="1"/>
    <col min="1199" max="1199" width="99.28515625" style="5" customWidth="1"/>
    <col min="1200" max="1200" width="15.85546875" style="5" customWidth="1"/>
    <col min="1201" max="1201" width="16.7109375" style="5" customWidth="1"/>
    <col min="1202" max="1202" width="21.5703125" style="5" customWidth="1"/>
    <col min="1203" max="1203" width="21.7109375" style="5" customWidth="1"/>
    <col min="1204" max="1452" width="11.42578125" style="5"/>
    <col min="1453" max="1453" width="11.5703125" style="5" customWidth="1"/>
    <col min="1454" max="1454" width="8.42578125" style="5" customWidth="1"/>
    <col min="1455" max="1455" width="99.28515625" style="5" customWidth="1"/>
    <col min="1456" max="1456" width="15.85546875" style="5" customWidth="1"/>
    <col min="1457" max="1457" width="16.7109375" style="5" customWidth="1"/>
    <col min="1458" max="1458" width="21.5703125" style="5" customWidth="1"/>
    <col min="1459" max="1459" width="21.7109375" style="5" customWidth="1"/>
    <col min="1460" max="1708" width="11.42578125" style="5"/>
    <col min="1709" max="1709" width="11.5703125" style="5" customWidth="1"/>
    <col min="1710" max="1710" width="8.42578125" style="5" customWidth="1"/>
    <col min="1711" max="1711" width="99.28515625" style="5" customWidth="1"/>
    <col min="1712" max="1712" width="15.85546875" style="5" customWidth="1"/>
    <col min="1713" max="1713" width="16.7109375" style="5" customWidth="1"/>
    <col min="1714" max="1714" width="21.5703125" style="5" customWidth="1"/>
    <col min="1715" max="1715" width="21.7109375" style="5" customWidth="1"/>
    <col min="1716" max="1964" width="11.42578125" style="5"/>
    <col min="1965" max="1965" width="11.5703125" style="5" customWidth="1"/>
    <col min="1966" max="1966" width="8.42578125" style="5" customWidth="1"/>
    <col min="1967" max="1967" width="99.28515625" style="5" customWidth="1"/>
    <col min="1968" max="1968" width="15.85546875" style="5" customWidth="1"/>
    <col min="1969" max="1969" width="16.7109375" style="5" customWidth="1"/>
    <col min="1970" max="1970" width="21.5703125" style="5" customWidth="1"/>
    <col min="1971" max="1971" width="21.7109375" style="5" customWidth="1"/>
    <col min="1972" max="2220" width="11.42578125" style="5"/>
    <col min="2221" max="2221" width="11.5703125" style="5" customWidth="1"/>
    <col min="2222" max="2222" width="8.42578125" style="5" customWidth="1"/>
    <col min="2223" max="2223" width="99.28515625" style="5" customWidth="1"/>
    <col min="2224" max="2224" width="15.85546875" style="5" customWidth="1"/>
    <col min="2225" max="2225" width="16.7109375" style="5" customWidth="1"/>
    <col min="2226" max="2226" width="21.5703125" style="5" customWidth="1"/>
    <col min="2227" max="2227" width="21.7109375" style="5" customWidth="1"/>
    <col min="2228" max="2476" width="11.42578125" style="5"/>
    <col min="2477" max="2477" width="11.5703125" style="5" customWidth="1"/>
    <col min="2478" max="2478" width="8.42578125" style="5" customWidth="1"/>
    <col min="2479" max="2479" width="99.28515625" style="5" customWidth="1"/>
    <col min="2480" max="2480" width="15.85546875" style="5" customWidth="1"/>
    <col min="2481" max="2481" width="16.7109375" style="5" customWidth="1"/>
    <col min="2482" max="2482" width="21.5703125" style="5" customWidth="1"/>
    <col min="2483" max="2483" width="21.7109375" style="5" customWidth="1"/>
    <col min="2484" max="2732" width="11.42578125" style="5"/>
    <col min="2733" max="2733" width="11.5703125" style="5" customWidth="1"/>
    <col min="2734" max="2734" width="8.42578125" style="5" customWidth="1"/>
    <col min="2735" max="2735" width="99.28515625" style="5" customWidth="1"/>
    <col min="2736" max="2736" width="15.85546875" style="5" customWidth="1"/>
    <col min="2737" max="2737" width="16.7109375" style="5" customWidth="1"/>
    <col min="2738" max="2738" width="21.5703125" style="5" customWidth="1"/>
    <col min="2739" max="2739" width="21.7109375" style="5" customWidth="1"/>
    <col min="2740" max="2988" width="11.42578125" style="5"/>
    <col min="2989" max="2989" width="11.5703125" style="5" customWidth="1"/>
    <col min="2990" max="2990" width="8.42578125" style="5" customWidth="1"/>
    <col min="2991" max="2991" width="99.28515625" style="5" customWidth="1"/>
    <col min="2992" max="2992" width="15.85546875" style="5" customWidth="1"/>
    <col min="2993" max="2993" width="16.7109375" style="5" customWidth="1"/>
    <col min="2994" max="2994" width="21.5703125" style="5" customWidth="1"/>
    <col min="2995" max="2995" width="21.7109375" style="5" customWidth="1"/>
    <col min="2996" max="3244" width="11.42578125" style="5"/>
    <col min="3245" max="3245" width="11.5703125" style="5" customWidth="1"/>
    <col min="3246" max="3246" width="8.42578125" style="5" customWidth="1"/>
    <col min="3247" max="3247" width="99.28515625" style="5" customWidth="1"/>
    <col min="3248" max="3248" width="15.85546875" style="5" customWidth="1"/>
    <col min="3249" max="3249" width="16.7109375" style="5" customWidth="1"/>
    <col min="3250" max="3250" width="21.5703125" style="5" customWidth="1"/>
    <col min="3251" max="3251" width="21.7109375" style="5" customWidth="1"/>
    <col min="3252" max="3500" width="11.42578125" style="5"/>
    <col min="3501" max="3501" width="11.5703125" style="5" customWidth="1"/>
    <col min="3502" max="3502" width="8.42578125" style="5" customWidth="1"/>
    <col min="3503" max="3503" width="99.28515625" style="5" customWidth="1"/>
    <col min="3504" max="3504" width="15.85546875" style="5" customWidth="1"/>
    <col min="3505" max="3505" width="16.7109375" style="5" customWidth="1"/>
    <col min="3506" max="3506" width="21.5703125" style="5" customWidth="1"/>
    <col min="3507" max="3507" width="21.7109375" style="5" customWidth="1"/>
    <col min="3508" max="3756" width="11.42578125" style="5"/>
    <col min="3757" max="3757" width="11.5703125" style="5" customWidth="1"/>
    <col min="3758" max="3758" width="8.42578125" style="5" customWidth="1"/>
    <col min="3759" max="3759" width="99.28515625" style="5" customWidth="1"/>
    <col min="3760" max="3760" width="15.85546875" style="5" customWidth="1"/>
    <col min="3761" max="3761" width="16.7109375" style="5" customWidth="1"/>
    <col min="3762" max="3762" width="21.5703125" style="5" customWidth="1"/>
    <col min="3763" max="3763" width="21.7109375" style="5" customWidth="1"/>
    <col min="3764" max="4012" width="11.42578125" style="5"/>
    <col min="4013" max="4013" width="11.5703125" style="5" customWidth="1"/>
    <col min="4014" max="4014" width="8.42578125" style="5" customWidth="1"/>
    <col min="4015" max="4015" width="99.28515625" style="5" customWidth="1"/>
    <col min="4016" max="4016" width="15.85546875" style="5" customWidth="1"/>
    <col min="4017" max="4017" width="16.7109375" style="5" customWidth="1"/>
    <col min="4018" max="4018" width="21.5703125" style="5" customWidth="1"/>
    <col min="4019" max="4019" width="21.7109375" style="5" customWidth="1"/>
    <col min="4020" max="4268" width="11.42578125" style="5"/>
    <col min="4269" max="4269" width="11.5703125" style="5" customWidth="1"/>
    <col min="4270" max="4270" width="8.42578125" style="5" customWidth="1"/>
    <col min="4271" max="4271" width="99.28515625" style="5" customWidth="1"/>
    <col min="4272" max="4272" width="15.85546875" style="5" customWidth="1"/>
    <col min="4273" max="4273" width="16.7109375" style="5" customWidth="1"/>
    <col min="4274" max="4274" width="21.5703125" style="5" customWidth="1"/>
    <col min="4275" max="4275" width="21.7109375" style="5" customWidth="1"/>
    <col min="4276" max="4524" width="11.42578125" style="5"/>
    <col min="4525" max="4525" width="11.5703125" style="5" customWidth="1"/>
    <col min="4526" max="4526" width="8.42578125" style="5" customWidth="1"/>
    <col min="4527" max="4527" width="99.28515625" style="5" customWidth="1"/>
    <col min="4528" max="4528" width="15.85546875" style="5" customWidth="1"/>
    <col min="4529" max="4529" width="16.7109375" style="5" customWidth="1"/>
    <col min="4530" max="4530" width="21.5703125" style="5" customWidth="1"/>
    <col min="4531" max="4531" width="21.7109375" style="5" customWidth="1"/>
    <col min="4532" max="4780" width="11.42578125" style="5"/>
    <col min="4781" max="4781" width="11.5703125" style="5" customWidth="1"/>
    <col min="4782" max="4782" width="8.42578125" style="5" customWidth="1"/>
    <col min="4783" max="4783" width="99.28515625" style="5" customWidth="1"/>
    <col min="4784" max="4784" width="15.85546875" style="5" customWidth="1"/>
    <col min="4785" max="4785" width="16.7109375" style="5" customWidth="1"/>
    <col min="4786" max="4786" width="21.5703125" style="5" customWidth="1"/>
    <col min="4787" max="4787" width="21.7109375" style="5" customWidth="1"/>
    <col min="4788" max="5036" width="11.42578125" style="5"/>
    <col min="5037" max="5037" width="11.5703125" style="5" customWidth="1"/>
    <col min="5038" max="5038" width="8.42578125" style="5" customWidth="1"/>
    <col min="5039" max="5039" width="99.28515625" style="5" customWidth="1"/>
    <col min="5040" max="5040" width="15.85546875" style="5" customWidth="1"/>
    <col min="5041" max="5041" width="16.7109375" style="5" customWidth="1"/>
    <col min="5042" max="5042" width="21.5703125" style="5" customWidth="1"/>
    <col min="5043" max="5043" width="21.7109375" style="5" customWidth="1"/>
    <col min="5044" max="5292" width="11.42578125" style="5"/>
    <col min="5293" max="5293" width="11.5703125" style="5" customWidth="1"/>
    <col min="5294" max="5294" width="8.42578125" style="5" customWidth="1"/>
    <col min="5295" max="5295" width="99.28515625" style="5" customWidth="1"/>
    <col min="5296" max="5296" width="15.85546875" style="5" customWidth="1"/>
    <col min="5297" max="5297" width="16.7109375" style="5" customWidth="1"/>
    <col min="5298" max="5298" width="21.5703125" style="5" customWidth="1"/>
    <col min="5299" max="5299" width="21.7109375" style="5" customWidth="1"/>
    <col min="5300" max="5548" width="11.42578125" style="5"/>
    <col min="5549" max="5549" width="11.5703125" style="5" customWidth="1"/>
    <col min="5550" max="5550" width="8.42578125" style="5" customWidth="1"/>
    <col min="5551" max="5551" width="99.28515625" style="5" customWidth="1"/>
    <col min="5552" max="5552" width="15.85546875" style="5" customWidth="1"/>
    <col min="5553" max="5553" width="16.7109375" style="5" customWidth="1"/>
    <col min="5554" max="5554" width="21.5703125" style="5" customWidth="1"/>
    <col min="5555" max="5555" width="21.7109375" style="5" customWidth="1"/>
    <col min="5556" max="5804" width="11.42578125" style="5"/>
    <col min="5805" max="5805" width="11.5703125" style="5" customWidth="1"/>
    <col min="5806" max="5806" width="8.42578125" style="5" customWidth="1"/>
    <col min="5807" max="5807" width="99.28515625" style="5" customWidth="1"/>
    <col min="5808" max="5808" width="15.85546875" style="5" customWidth="1"/>
    <col min="5809" max="5809" width="16.7109375" style="5" customWidth="1"/>
    <col min="5810" max="5810" width="21.5703125" style="5" customWidth="1"/>
    <col min="5811" max="5811" width="21.7109375" style="5" customWidth="1"/>
    <col min="5812" max="6060" width="11.42578125" style="5"/>
    <col min="6061" max="6061" width="11.5703125" style="5" customWidth="1"/>
    <col min="6062" max="6062" width="8.42578125" style="5" customWidth="1"/>
    <col min="6063" max="6063" width="99.28515625" style="5" customWidth="1"/>
    <col min="6064" max="6064" width="15.85546875" style="5" customWidth="1"/>
    <col min="6065" max="6065" width="16.7109375" style="5" customWidth="1"/>
    <col min="6066" max="6066" width="21.5703125" style="5" customWidth="1"/>
    <col min="6067" max="6067" width="21.7109375" style="5" customWidth="1"/>
    <col min="6068" max="6316" width="11.42578125" style="5"/>
    <col min="6317" max="6317" width="11.5703125" style="5" customWidth="1"/>
    <col min="6318" max="6318" width="8.42578125" style="5" customWidth="1"/>
    <col min="6319" max="6319" width="99.28515625" style="5" customWidth="1"/>
    <col min="6320" max="6320" width="15.85546875" style="5" customWidth="1"/>
    <col min="6321" max="6321" width="16.7109375" style="5" customWidth="1"/>
    <col min="6322" max="6322" width="21.5703125" style="5" customWidth="1"/>
    <col min="6323" max="6323" width="21.7109375" style="5" customWidth="1"/>
    <col min="6324" max="6572" width="11.42578125" style="5"/>
    <col min="6573" max="6573" width="11.5703125" style="5" customWidth="1"/>
    <col min="6574" max="6574" width="8.42578125" style="5" customWidth="1"/>
    <col min="6575" max="6575" width="99.28515625" style="5" customWidth="1"/>
    <col min="6576" max="6576" width="15.85546875" style="5" customWidth="1"/>
    <col min="6577" max="6577" width="16.7109375" style="5" customWidth="1"/>
    <col min="6578" max="6578" width="21.5703125" style="5" customWidth="1"/>
    <col min="6579" max="6579" width="21.7109375" style="5" customWidth="1"/>
    <col min="6580" max="6828" width="11.42578125" style="5"/>
    <col min="6829" max="6829" width="11.5703125" style="5" customWidth="1"/>
    <col min="6830" max="6830" width="8.42578125" style="5" customWidth="1"/>
    <col min="6831" max="6831" width="99.28515625" style="5" customWidth="1"/>
    <col min="6832" max="6832" width="15.85546875" style="5" customWidth="1"/>
    <col min="6833" max="6833" width="16.7109375" style="5" customWidth="1"/>
    <col min="6834" max="6834" width="21.5703125" style="5" customWidth="1"/>
    <col min="6835" max="6835" width="21.7109375" style="5" customWidth="1"/>
    <col min="6836" max="7084" width="11.42578125" style="5"/>
    <col min="7085" max="7085" width="11.5703125" style="5" customWidth="1"/>
    <col min="7086" max="7086" width="8.42578125" style="5" customWidth="1"/>
    <col min="7087" max="7087" width="99.28515625" style="5" customWidth="1"/>
    <col min="7088" max="7088" width="15.85546875" style="5" customWidth="1"/>
    <col min="7089" max="7089" width="16.7109375" style="5" customWidth="1"/>
    <col min="7090" max="7090" width="21.5703125" style="5" customWidth="1"/>
    <col min="7091" max="7091" width="21.7109375" style="5" customWidth="1"/>
    <col min="7092" max="7340" width="11.42578125" style="5"/>
    <col min="7341" max="7341" width="11.5703125" style="5" customWidth="1"/>
    <col min="7342" max="7342" width="8.42578125" style="5" customWidth="1"/>
    <col min="7343" max="7343" width="99.28515625" style="5" customWidth="1"/>
    <col min="7344" max="7344" width="15.85546875" style="5" customWidth="1"/>
    <col min="7345" max="7345" width="16.7109375" style="5" customWidth="1"/>
    <col min="7346" max="7346" width="21.5703125" style="5" customWidth="1"/>
    <col min="7347" max="7347" width="21.7109375" style="5" customWidth="1"/>
    <col min="7348" max="7596" width="11.42578125" style="5"/>
    <col min="7597" max="7597" width="11.5703125" style="5" customWidth="1"/>
    <col min="7598" max="7598" width="8.42578125" style="5" customWidth="1"/>
    <col min="7599" max="7599" width="99.28515625" style="5" customWidth="1"/>
    <col min="7600" max="7600" width="15.85546875" style="5" customWidth="1"/>
    <col min="7601" max="7601" width="16.7109375" style="5" customWidth="1"/>
    <col min="7602" max="7602" width="21.5703125" style="5" customWidth="1"/>
    <col min="7603" max="7603" width="21.7109375" style="5" customWidth="1"/>
    <col min="7604" max="7852" width="11.42578125" style="5"/>
    <col min="7853" max="7853" width="11.5703125" style="5" customWidth="1"/>
    <col min="7854" max="7854" width="8.42578125" style="5" customWidth="1"/>
    <col min="7855" max="7855" width="99.28515625" style="5" customWidth="1"/>
    <col min="7856" max="7856" width="15.85546875" style="5" customWidth="1"/>
    <col min="7857" max="7857" width="16.7109375" style="5" customWidth="1"/>
    <col min="7858" max="7858" width="21.5703125" style="5" customWidth="1"/>
    <col min="7859" max="7859" width="21.7109375" style="5" customWidth="1"/>
    <col min="7860" max="8108" width="11.42578125" style="5"/>
    <col min="8109" max="8109" width="11.5703125" style="5" customWidth="1"/>
    <col min="8110" max="8110" width="8.42578125" style="5" customWidth="1"/>
    <col min="8111" max="8111" width="99.28515625" style="5" customWidth="1"/>
    <col min="8112" max="8112" width="15.85546875" style="5" customWidth="1"/>
    <col min="8113" max="8113" width="16.7109375" style="5" customWidth="1"/>
    <col min="8114" max="8114" width="21.5703125" style="5" customWidth="1"/>
    <col min="8115" max="8115" width="21.7109375" style="5" customWidth="1"/>
    <col min="8116" max="8364" width="11.42578125" style="5"/>
    <col min="8365" max="8365" width="11.5703125" style="5" customWidth="1"/>
    <col min="8366" max="8366" width="8.42578125" style="5" customWidth="1"/>
    <col min="8367" max="8367" width="99.28515625" style="5" customWidth="1"/>
    <col min="8368" max="8368" width="15.85546875" style="5" customWidth="1"/>
    <col min="8369" max="8369" width="16.7109375" style="5" customWidth="1"/>
    <col min="8370" max="8370" width="21.5703125" style="5" customWidth="1"/>
    <col min="8371" max="8371" width="21.7109375" style="5" customWidth="1"/>
    <col min="8372" max="8620" width="11.42578125" style="5"/>
    <col min="8621" max="8621" width="11.5703125" style="5" customWidth="1"/>
    <col min="8622" max="8622" width="8.42578125" style="5" customWidth="1"/>
    <col min="8623" max="8623" width="99.28515625" style="5" customWidth="1"/>
    <col min="8624" max="8624" width="15.85546875" style="5" customWidth="1"/>
    <col min="8625" max="8625" width="16.7109375" style="5" customWidth="1"/>
    <col min="8626" max="8626" width="21.5703125" style="5" customWidth="1"/>
    <col min="8627" max="8627" width="21.7109375" style="5" customWidth="1"/>
    <col min="8628" max="8876" width="11.42578125" style="5"/>
    <col min="8877" max="8877" width="11.5703125" style="5" customWidth="1"/>
    <col min="8878" max="8878" width="8.42578125" style="5" customWidth="1"/>
    <col min="8879" max="8879" width="99.28515625" style="5" customWidth="1"/>
    <col min="8880" max="8880" width="15.85546875" style="5" customWidth="1"/>
    <col min="8881" max="8881" width="16.7109375" style="5" customWidth="1"/>
    <col min="8882" max="8882" width="21.5703125" style="5" customWidth="1"/>
    <col min="8883" max="8883" width="21.7109375" style="5" customWidth="1"/>
    <col min="8884" max="9132" width="11.42578125" style="5"/>
    <col min="9133" max="9133" width="11.5703125" style="5" customWidth="1"/>
    <col min="9134" max="9134" width="8.42578125" style="5" customWidth="1"/>
    <col min="9135" max="9135" width="99.28515625" style="5" customWidth="1"/>
    <col min="9136" max="9136" width="15.85546875" style="5" customWidth="1"/>
    <col min="9137" max="9137" width="16.7109375" style="5" customWidth="1"/>
    <col min="9138" max="9138" width="21.5703125" style="5" customWidth="1"/>
    <col min="9139" max="9139" width="21.7109375" style="5" customWidth="1"/>
    <col min="9140" max="9388" width="11.42578125" style="5"/>
    <col min="9389" max="9389" width="11.5703125" style="5" customWidth="1"/>
    <col min="9390" max="9390" width="8.42578125" style="5" customWidth="1"/>
    <col min="9391" max="9391" width="99.28515625" style="5" customWidth="1"/>
    <col min="9392" max="9392" width="15.85546875" style="5" customWidth="1"/>
    <col min="9393" max="9393" width="16.7109375" style="5" customWidth="1"/>
    <col min="9394" max="9394" width="21.5703125" style="5" customWidth="1"/>
    <col min="9395" max="9395" width="21.7109375" style="5" customWidth="1"/>
    <col min="9396" max="9644" width="11.42578125" style="5"/>
    <col min="9645" max="9645" width="11.5703125" style="5" customWidth="1"/>
    <col min="9646" max="9646" width="8.42578125" style="5" customWidth="1"/>
    <col min="9647" max="9647" width="99.28515625" style="5" customWidth="1"/>
    <col min="9648" max="9648" width="15.85546875" style="5" customWidth="1"/>
    <col min="9649" max="9649" width="16.7109375" style="5" customWidth="1"/>
    <col min="9650" max="9650" width="21.5703125" style="5" customWidth="1"/>
    <col min="9651" max="9651" width="21.7109375" style="5" customWidth="1"/>
    <col min="9652" max="9900" width="11.42578125" style="5"/>
    <col min="9901" max="9901" width="11.5703125" style="5" customWidth="1"/>
    <col min="9902" max="9902" width="8.42578125" style="5" customWidth="1"/>
    <col min="9903" max="9903" width="99.28515625" style="5" customWidth="1"/>
    <col min="9904" max="9904" width="15.85546875" style="5" customWidth="1"/>
    <col min="9905" max="9905" width="16.7109375" style="5" customWidth="1"/>
    <col min="9906" max="9906" width="21.5703125" style="5" customWidth="1"/>
    <col min="9907" max="9907" width="21.7109375" style="5" customWidth="1"/>
    <col min="9908" max="10156" width="11.42578125" style="5"/>
    <col min="10157" max="10157" width="11.5703125" style="5" customWidth="1"/>
    <col min="10158" max="10158" width="8.42578125" style="5" customWidth="1"/>
    <col min="10159" max="10159" width="99.28515625" style="5" customWidth="1"/>
    <col min="10160" max="10160" width="15.85546875" style="5" customWidth="1"/>
    <col min="10161" max="10161" width="16.7109375" style="5" customWidth="1"/>
    <col min="10162" max="10162" width="21.5703125" style="5" customWidth="1"/>
    <col min="10163" max="10163" width="21.7109375" style="5" customWidth="1"/>
    <col min="10164" max="10412" width="11.42578125" style="5"/>
    <col min="10413" max="10413" width="11.5703125" style="5" customWidth="1"/>
    <col min="10414" max="10414" width="8.42578125" style="5" customWidth="1"/>
    <col min="10415" max="10415" width="99.28515625" style="5" customWidth="1"/>
    <col min="10416" max="10416" width="15.85546875" style="5" customWidth="1"/>
    <col min="10417" max="10417" width="16.7109375" style="5" customWidth="1"/>
    <col min="10418" max="10418" width="21.5703125" style="5" customWidth="1"/>
    <col min="10419" max="10419" width="21.7109375" style="5" customWidth="1"/>
    <col min="10420" max="10668" width="11.42578125" style="5"/>
    <col min="10669" max="10669" width="11.5703125" style="5" customWidth="1"/>
    <col min="10670" max="10670" width="8.42578125" style="5" customWidth="1"/>
    <col min="10671" max="10671" width="99.28515625" style="5" customWidth="1"/>
    <col min="10672" max="10672" width="15.85546875" style="5" customWidth="1"/>
    <col min="10673" max="10673" width="16.7109375" style="5" customWidth="1"/>
    <col min="10674" max="10674" width="21.5703125" style="5" customWidth="1"/>
    <col min="10675" max="10675" width="21.7109375" style="5" customWidth="1"/>
    <col min="10676" max="10924" width="11.42578125" style="5"/>
    <col min="10925" max="10925" width="11.5703125" style="5" customWidth="1"/>
    <col min="10926" max="10926" width="8.42578125" style="5" customWidth="1"/>
    <col min="10927" max="10927" width="99.28515625" style="5" customWidth="1"/>
    <col min="10928" max="10928" width="15.85546875" style="5" customWidth="1"/>
    <col min="10929" max="10929" width="16.7109375" style="5" customWidth="1"/>
    <col min="10930" max="10930" width="21.5703125" style="5" customWidth="1"/>
    <col min="10931" max="10931" width="21.7109375" style="5" customWidth="1"/>
    <col min="10932" max="11180" width="11.42578125" style="5"/>
    <col min="11181" max="11181" width="11.5703125" style="5" customWidth="1"/>
    <col min="11182" max="11182" width="8.42578125" style="5" customWidth="1"/>
    <col min="11183" max="11183" width="99.28515625" style="5" customWidth="1"/>
    <col min="11184" max="11184" width="15.85546875" style="5" customWidth="1"/>
    <col min="11185" max="11185" width="16.7109375" style="5" customWidth="1"/>
    <col min="11186" max="11186" width="21.5703125" style="5" customWidth="1"/>
    <col min="11187" max="11187" width="21.7109375" style="5" customWidth="1"/>
    <col min="11188" max="11436" width="11.42578125" style="5"/>
    <col min="11437" max="11437" width="11.5703125" style="5" customWidth="1"/>
    <col min="11438" max="11438" width="8.42578125" style="5" customWidth="1"/>
    <col min="11439" max="11439" width="99.28515625" style="5" customWidth="1"/>
    <col min="11440" max="11440" width="15.85546875" style="5" customWidth="1"/>
    <col min="11441" max="11441" width="16.7109375" style="5" customWidth="1"/>
    <col min="11442" max="11442" width="21.5703125" style="5" customWidth="1"/>
    <col min="11443" max="11443" width="21.7109375" style="5" customWidth="1"/>
    <col min="11444" max="11692" width="11.42578125" style="5"/>
    <col min="11693" max="11693" width="11.5703125" style="5" customWidth="1"/>
    <col min="11694" max="11694" width="8.42578125" style="5" customWidth="1"/>
    <col min="11695" max="11695" width="99.28515625" style="5" customWidth="1"/>
    <col min="11696" max="11696" width="15.85546875" style="5" customWidth="1"/>
    <col min="11697" max="11697" width="16.7109375" style="5" customWidth="1"/>
    <col min="11698" max="11698" width="21.5703125" style="5" customWidth="1"/>
    <col min="11699" max="11699" width="21.7109375" style="5" customWidth="1"/>
    <col min="11700" max="11948" width="11.42578125" style="5"/>
    <col min="11949" max="11949" width="11.5703125" style="5" customWidth="1"/>
    <col min="11950" max="11950" width="8.42578125" style="5" customWidth="1"/>
    <col min="11951" max="11951" width="99.28515625" style="5" customWidth="1"/>
    <col min="11952" max="11952" width="15.85546875" style="5" customWidth="1"/>
    <col min="11953" max="11953" width="16.7109375" style="5" customWidth="1"/>
    <col min="11954" max="11954" width="21.5703125" style="5" customWidth="1"/>
    <col min="11955" max="11955" width="21.7109375" style="5" customWidth="1"/>
    <col min="11956" max="12204" width="11.42578125" style="5"/>
    <col min="12205" max="12205" width="11.5703125" style="5" customWidth="1"/>
    <col min="12206" max="12206" width="8.42578125" style="5" customWidth="1"/>
    <col min="12207" max="12207" width="99.28515625" style="5" customWidth="1"/>
    <col min="12208" max="12208" width="15.85546875" style="5" customWidth="1"/>
    <col min="12209" max="12209" width="16.7109375" style="5" customWidth="1"/>
    <col min="12210" max="12210" width="21.5703125" style="5" customWidth="1"/>
    <col min="12211" max="12211" width="21.7109375" style="5" customWidth="1"/>
    <col min="12212" max="12460" width="11.42578125" style="5"/>
    <col min="12461" max="12461" width="11.5703125" style="5" customWidth="1"/>
    <col min="12462" max="12462" width="8.42578125" style="5" customWidth="1"/>
    <col min="12463" max="12463" width="99.28515625" style="5" customWidth="1"/>
    <col min="12464" max="12464" width="15.85546875" style="5" customWidth="1"/>
    <col min="12465" max="12465" width="16.7109375" style="5" customWidth="1"/>
    <col min="12466" max="12466" width="21.5703125" style="5" customWidth="1"/>
    <col min="12467" max="12467" width="21.7109375" style="5" customWidth="1"/>
    <col min="12468" max="12716" width="11.42578125" style="5"/>
    <col min="12717" max="12717" width="11.5703125" style="5" customWidth="1"/>
    <col min="12718" max="12718" width="8.42578125" style="5" customWidth="1"/>
    <col min="12719" max="12719" width="99.28515625" style="5" customWidth="1"/>
    <col min="12720" max="12720" width="15.85546875" style="5" customWidth="1"/>
    <col min="12721" max="12721" width="16.7109375" style="5" customWidth="1"/>
    <col min="12722" max="12722" width="21.5703125" style="5" customWidth="1"/>
    <col min="12723" max="12723" width="21.7109375" style="5" customWidth="1"/>
    <col min="12724" max="12972" width="11.42578125" style="5"/>
    <col min="12973" max="12973" width="11.5703125" style="5" customWidth="1"/>
    <col min="12974" max="12974" width="8.42578125" style="5" customWidth="1"/>
    <col min="12975" max="12975" width="99.28515625" style="5" customWidth="1"/>
    <col min="12976" max="12976" width="15.85546875" style="5" customWidth="1"/>
    <col min="12977" max="12977" width="16.7109375" style="5" customWidth="1"/>
    <col min="12978" max="12978" width="21.5703125" style="5" customWidth="1"/>
    <col min="12979" max="12979" width="21.7109375" style="5" customWidth="1"/>
    <col min="12980" max="13228" width="11.42578125" style="5"/>
    <col min="13229" max="13229" width="11.5703125" style="5" customWidth="1"/>
    <col min="13230" max="13230" width="8.42578125" style="5" customWidth="1"/>
    <col min="13231" max="13231" width="99.28515625" style="5" customWidth="1"/>
    <col min="13232" max="13232" width="15.85546875" style="5" customWidth="1"/>
    <col min="13233" max="13233" width="16.7109375" style="5" customWidth="1"/>
    <col min="13234" max="13234" width="21.5703125" style="5" customWidth="1"/>
    <col min="13235" max="13235" width="21.7109375" style="5" customWidth="1"/>
    <col min="13236" max="13484" width="11.42578125" style="5"/>
    <col min="13485" max="13485" width="11.5703125" style="5" customWidth="1"/>
    <col min="13486" max="13486" width="8.42578125" style="5" customWidth="1"/>
    <col min="13487" max="13487" width="99.28515625" style="5" customWidth="1"/>
    <col min="13488" max="13488" width="15.85546875" style="5" customWidth="1"/>
    <col min="13489" max="13489" width="16.7109375" style="5" customWidth="1"/>
    <col min="13490" max="13490" width="21.5703125" style="5" customWidth="1"/>
    <col min="13491" max="13491" width="21.7109375" style="5" customWidth="1"/>
    <col min="13492" max="13740" width="11.42578125" style="5"/>
    <col min="13741" max="13741" width="11.5703125" style="5" customWidth="1"/>
    <col min="13742" max="13742" width="8.42578125" style="5" customWidth="1"/>
    <col min="13743" max="13743" width="99.28515625" style="5" customWidth="1"/>
    <col min="13744" max="13744" width="15.85546875" style="5" customWidth="1"/>
    <col min="13745" max="13745" width="16.7109375" style="5" customWidth="1"/>
    <col min="13746" max="13746" width="21.5703125" style="5" customWidth="1"/>
    <col min="13747" max="13747" width="21.7109375" style="5" customWidth="1"/>
    <col min="13748" max="13996" width="11.42578125" style="5"/>
    <col min="13997" max="13997" width="11.5703125" style="5" customWidth="1"/>
    <col min="13998" max="13998" width="8.42578125" style="5" customWidth="1"/>
    <col min="13999" max="13999" width="99.28515625" style="5" customWidth="1"/>
    <col min="14000" max="14000" width="15.85546875" style="5" customWidth="1"/>
    <col min="14001" max="14001" width="16.7109375" style="5" customWidth="1"/>
    <col min="14002" max="14002" width="21.5703125" style="5" customWidth="1"/>
    <col min="14003" max="14003" width="21.7109375" style="5" customWidth="1"/>
    <col min="14004" max="14252" width="11.42578125" style="5"/>
    <col min="14253" max="14253" width="11.5703125" style="5" customWidth="1"/>
    <col min="14254" max="14254" width="8.42578125" style="5" customWidth="1"/>
    <col min="14255" max="14255" width="99.28515625" style="5" customWidth="1"/>
    <col min="14256" max="14256" width="15.85546875" style="5" customWidth="1"/>
    <col min="14257" max="14257" width="16.7109375" style="5" customWidth="1"/>
    <col min="14258" max="14258" width="21.5703125" style="5" customWidth="1"/>
    <col min="14259" max="14259" width="21.7109375" style="5" customWidth="1"/>
    <col min="14260" max="14508" width="11.42578125" style="5"/>
    <col min="14509" max="14509" width="11.5703125" style="5" customWidth="1"/>
    <col min="14510" max="14510" width="8.42578125" style="5" customWidth="1"/>
    <col min="14511" max="14511" width="99.28515625" style="5" customWidth="1"/>
    <col min="14512" max="14512" width="15.85546875" style="5" customWidth="1"/>
    <col min="14513" max="14513" width="16.7109375" style="5" customWidth="1"/>
    <col min="14514" max="14514" width="21.5703125" style="5" customWidth="1"/>
    <col min="14515" max="14515" width="21.7109375" style="5" customWidth="1"/>
    <col min="14516" max="14764" width="11.42578125" style="5"/>
    <col min="14765" max="14765" width="11.5703125" style="5" customWidth="1"/>
    <col min="14766" max="14766" width="8.42578125" style="5" customWidth="1"/>
    <col min="14767" max="14767" width="99.28515625" style="5" customWidth="1"/>
    <col min="14768" max="14768" width="15.85546875" style="5" customWidth="1"/>
    <col min="14769" max="14769" width="16.7109375" style="5" customWidth="1"/>
    <col min="14770" max="14770" width="21.5703125" style="5" customWidth="1"/>
    <col min="14771" max="14771" width="21.7109375" style="5" customWidth="1"/>
    <col min="14772" max="15020" width="11.42578125" style="5"/>
    <col min="15021" max="15021" width="11.5703125" style="5" customWidth="1"/>
    <col min="15022" max="15022" width="8.42578125" style="5" customWidth="1"/>
    <col min="15023" max="15023" width="99.28515625" style="5" customWidth="1"/>
    <col min="15024" max="15024" width="15.85546875" style="5" customWidth="1"/>
    <col min="15025" max="15025" width="16.7109375" style="5" customWidth="1"/>
    <col min="15026" max="15026" width="21.5703125" style="5" customWidth="1"/>
    <col min="15027" max="15027" width="21.7109375" style="5" customWidth="1"/>
    <col min="15028" max="15276" width="11.42578125" style="5"/>
    <col min="15277" max="15277" width="11.5703125" style="5" customWidth="1"/>
    <col min="15278" max="15278" width="8.42578125" style="5" customWidth="1"/>
    <col min="15279" max="15279" width="99.28515625" style="5" customWidth="1"/>
    <col min="15280" max="15280" width="15.85546875" style="5" customWidth="1"/>
    <col min="15281" max="15281" width="16.7109375" style="5" customWidth="1"/>
    <col min="15282" max="15282" width="21.5703125" style="5" customWidth="1"/>
    <col min="15283" max="15283" width="21.7109375" style="5" customWidth="1"/>
    <col min="15284" max="15532" width="11.42578125" style="5"/>
    <col min="15533" max="15533" width="11.5703125" style="5" customWidth="1"/>
    <col min="15534" max="15534" width="8.42578125" style="5" customWidth="1"/>
    <col min="15535" max="15535" width="99.28515625" style="5" customWidth="1"/>
    <col min="15536" max="15536" width="15.85546875" style="5" customWidth="1"/>
    <col min="15537" max="15537" width="16.7109375" style="5" customWidth="1"/>
    <col min="15538" max="15538" width="21.5703125" style="5" customWidth="1"/>
    <col min="15539" max="15539" width="21.7109375" style="5" customWidth="1"/>
    <col min="15540" max="15788" width="11.42578125" style="5"/>
    <col min="15789" max="15789" width="11.5703125" style="5" customWidth="1"/>
    <col min="15790" max="15790" width="8.42578125" style="5" customWidth="1"/>
    <col min="15791" max="15791" width="99.28515625" style="5" customWidth="1"/>
    <col min="15792" max="15792" width="15.85546875" style="5" customWidth="1"/>
    <col min="15793" max="15793" width="16.7109375" style="5" customWidth="1"/>
    <col min="15794" max="15794" width="21.5703125" style="5" customWidth="1"/>
    <col min="15795" max="15795" width="21.7109375" style="5" customWidth="1"/>
    <col min="15796" max="16044" width="11.42578125" style="5"/>
    <col min="16045" max="16045" width="11.5703125" style="5" customWidth="1"/>
    <col min="16046" max="16046" width="8.42578125" style="5" customWidth="1"/>
    <col min="16047" max="16047" width="99.28515625" style="5" customWidth="1"/>
    <col min="16048" max="16048" width="15.85546875" style="5" customWidth="1"/>
    <col min="16049" max="16049" width="16.7109375" style="5" customWidth="1"/>
    <col min="16050" max="16050" width="21.5703125" style="5" customWidth="1"/>
    <col min="16051" max="16051" width="21.7109375" style="5" customWidth="1"/>
    <col min="16052" max="16384" width="11.42578125" style="5"/>
  </cols>
  <sheetData>
    <row r="1" spans="1:25" ht="22.5" customHeight="1">
      <c r="A1" s="7" t="s">
        <v>511</v>
      </c>
      <c r="B1" s="271">
        <v>45411</v>
      </c>
      <c r="C1" s="7">
        <v>867</v>
      </c>
      <c r="F1" s="9">
        <v>123.5</v>
      </c>
      <c r="G1" s="284">
        <v>44701</v>
      </c>
      <c r="J1" s="903" t="str">
        <f>+B6</f>
        <v>1. Servicio de reposición</v>
      </c>
      <c r="K1" s="904"/>
      <c r="L1" s="903" t="str">
        <f>+B9</f>
        <v>2. Servicio de control y mantenimiento</v>
      </c>
      <c r="M1" s="904"/>
      <c r="N1" s="903" t="str">
        <f>+B12</f>
        <v>3. Servicio Responsable Técnico</v>
      </c>
      <c r="O1" s="904"/>
      <c r="P1" s="903" t="str">
        <f>+B15</f>
        <v>4. Servicio Ing. Aplicación</v>
      </c>
      <c r="Q1" s="904"/>
      <c r="R1" s="896" t="str">
        <f>+B18</f>
        <v>5. Servicio Laboratorista</v>
      </c>
      <c r="S1" s="897"/>
      <c r="T1" s="896" t="str">
        <f>+B21</f>
        <v>6. Servicio Técnico en Seguridad</v>
      </c>
      <c r="U1" s="897"/>
      <c r="V1" s="896" t="str">
        <f>+B24</f>
        <v>7. Servicio de Batch con camión</v>
      </c>
      <c r="W1" s="897"/>
      <c r="X1" s="896" t="str">
        <f>+B27</f>
        <v>8. Servicio de Trailer Vestidor</v>
      </c>
      <c r="Y1" s="897"/>
    </row>
    <row r="2" spans="1:25" ht="2.25" customHeight="1">
      <c r="A2" s="10"/>
      <c r="B2" s="11"/>
      <c r="C2" s="10"/>
      <c r="J2" s="350"/>
      <c r="K2" s="343"/>
      <c r="L2" s="350"/>
      <c r="M2" s="343"/>
      <c r="N2" s="350"/>
      <c r="O2" s="343"/>
      <c r="P2" s="350"/>
      <c r="Q2" s="343"/>
      <c r="R2" s="350"/>
      <c r="S2" s="343"/>
      <c r="T2" s="350"/>
      <c r="U2" s="343"/>
      <c r="V2" s="350"/>
      <c r="W2" s="343"/>
      <c r="X2" s="350"/>
      <c r="Y2" s="343"/>
    </row>
    <row r="3" spans="1:25" ht="2.25" customHeight="1">
      <c r="A3" s="12"/>
      <c r="B3" s="13"/>
      <c r="C3" s="14"/>
      <c r="J3" s="337"/>
      <c r="K3" s="344"/>
      <c r="L3" s="337"/>
      <c r="M3" s="344"/>
      <c r="N3" s="337"/>
      <c r="O3" s="344"/>
      <c r="P3" s="337"/>
      <c r="Q3" s="344"/>
      <c r="R3" s="337"/>
      <c r="S3" s="344"/>
      <c r="T3" s="337"/>
      <c r="U3" s="344"/>
      <c r="V3" s="337"/>
      <c r="W3" s="344"/>
      <c r="X3" s="337"/>
      <c r="Y3" s="344"/>
    </row>
    <row r="4" spans="1:25" s="17" customFormat="1" ht="2.25" customHeight="1">
      <c r="A4" s="15"/>
      <c r="B4" s="16"/>
      <c r="C4" s="16"/>
      <c r="D4" s="250">
        <v>110</v>
      </c>
      <c r="E4" s="3"/>
      <c r="F4" s="905"/>
      <c r="G4" s="905"/>
      <c r="H4" s="39"/>
      <c r="I4" s="3"/>
      <c r="J4" s="337"/>
      <c r="K4" s="344"/>
      <c r="L4" s="337"/>
      <c r="M4" s="344"/>
      <c r="N4" s="337"/>
      <c r="O4" s="344"/>
      <c r="P4" s="337"/>
      <c r="Q4" s="344"/>
      <c r="R4" s="337"/>
      <c r="S4" s="344"/>
      <c r="T4" s="337"/>
      <c r="U4" s="344"/>
      <c r="V4" s="337"/>
      <c r="W4" s="344"/>
      <c r="X4" s="337"/>
      <c r="Y4" s="344"/>
    </row>
    <row r="5" spans="1:25" ht="23.25" thickBot="1">
      <c r="A5" s="285" t="s">
        <v>291</v>
      </c>
      <c r="B5" s="286" t="s">
        <v>5</v>
      </c>
      <c r="C5" s="287" t="s">
        <v>2</v>
      </c>
      <c r="D5" s="288" t="s">
        <v>6</v>
      </c>
      <c r="E5" s="18"/>
      <c r="F5" s="289" t="s">
        <v>0</v>
      </c>
      <c r="G5" s="289" t="s">
        <v>7</v>
      </c>
      <c r="J5" s="338" t="s">
        <v>285</v>
      </c>
      <c r="K5" s="345" t="s">
        <v>385</v>
      </c>
      <c r="L5" s="338" t="s">
        <v>285</v>
      </c>
      <c r="M5" s="345" t="s">
        <v>385</v>
      </c>
      <c r="N5" s="338" t="s">
        <v>285</v>
      </c>
      <c r="O5" s="345" t="s">
        <v>385</v>
      </c>
      <c r="P5" s="338" t="s">
        <v>285</v>
      </c>
      <c r="Q5" s="345" t="s">
        <v>385</v>
      </c>
      <c r="R5" s="338" t="s">
        <v>285</v>
      </c>
      <c r="S5" s="345" t="s">
        <v>385</v>
      </c>
      <c r="T5" s="338" t="s">
        <v>285</v>
      </c>
      <c r="U5" s="345" t="s">
        <v>385</v>
      </c>
      <c r="V5" s="338" t="s">
        <v>285</v>
      </c>
      <c r="W5" s="345" t="s">
        <v>385</v>
      </c>
      <c r="X5" s="338" t="s">
        <v>285</v>
      </c>
      <c r="Y5" s="345" t="s">
        <v>385</v>
      </c>
    </row>
    <row r="6" spans="1:25" ht="12" customHeight="1">
      <c r="A6" s="898" t="s">
        <v>307</v>
      </c>
      <c r="B6" s="290" t="s">
        <v>386</v>
      </c>
      <c r="C6" s="291" t="s">
        <v>8</v>
      </c>
      <c r="D6" s="292"/>
      <c r="E6" s="293"/>
      <c r="F6" s="294"/>
      <c r="G6" s="295">
        <f>+G32+G44+G52+G56+G68</f>
        <v>19295365.621767242</v>
      </c>
      <c r="J6" s="351">
        <f>+SUM(J29:J69)</f>
        <v>1</v>
      </c>
      <c r="K6" s="349"/>
      <c r="L6" s="351">
        <f>+SUM(L29:L69)</f>
        <v>0.99999999999999989</v>
      </c>
      <c r="M6" s="349"/>
      <c r="N6" s="351">
        <f>+SUM(N29:N69)</f>
        <v>1.0000000000000002</v>
      </c>
      <c r="O6" s="349"/>
      <c r="P6" s="351">
        <f>+SUM(P29:P69)</f>
        <v>1.2214364005644496</v>
      </c>
      <c r="Q6" s="349"/>
      <c r="R6" s="351">
        <f>+SUM(R29:R69)</f>
        <v>1</v>
      </c>
      <c r="S6" s="349"/>
      <c r="T6" s="351">
        <f>+SUM(T29:T69)</f>
        <v>1</v>
      </c>
      <c r="U6" s="349"/>
      <c r="V6" s="351">
        <f>+SUM(V29:V69)</f>
        <v>0.99999999999999978</v>
      </c>
      <c r="W6" s="349"/>
      <c r="X6" s="351">
        <f>+SUM(X29:X69)</f>
        <v>0</v>
      </c>
      <c r="Y6" s="349"/>
    </row>
    <row r="7" spans="1:25" ht="12" customHeight="1">
      <c r="A7" s="899"/>
      <c r="B7" s="275" t="s">
        <v>303</v>
      </c>
      <c r="C7" s="267"/>
      <c r="D7" s="268"/>
      <c r="E7" s="269"/>
      <c r="F7" s="270"/>
      <c r="G7" s="311">
        <f>++H32+(G44+G52+G56+G68)/(22*8)</f>
        <v>157505.18276572297</v>
      </c>
      <c r="J7" s="338"/>
      <c r="K7" s="345"/>
      <c r="L7" s="346"/>
      <c r="M7" s="346"/>
      <c r="N7" s="346"/>
      <c r="O7" s="346"/>
      <c r="P7" s="346"/>
      <c r="Q7" s="346"/>
      <c r="R7" s="346"/>
      <c r="S7" s="346"/>
      <c r="T7" s="346"/>
      <c r="U7" s="346"/>
      <c r="V7" s="346"/>
      <c r="W7" s="346"/>
      <c r="X7" s="346"/>
      <c r="Y7" s="346"/>
    </row>
    <row r="8" spans="1:25" ht="12" customHeight="1" thickBot="1">
      <c r="A8" s="900"/>
      <c r="B8" s="296" t="s">
        <v>304</v>
      </c>
      <c r="C8" s="297"/>
      <c r="D8" s="298"/>
      <c r="E8" s="299"/>
      <c r="F8" s="300"/>
      <c r="G8" s="312">
        <f>+++I32+(G44+G52+G56+G68)/(22*8)</f>
        <v>198012.61807822299</v>
      </c>
      <c r="J8" s="338"/>
      <c r="K8" s="345"/>
      <c r="L8" s="345"/>
      <c r="M8" s="345"/>
      <c r="N8" s="345"/>
      <c r="O8" s="345"/>
      <c r="P8" s="345"/>
      <c r="Q8" s="345"/>
      <c r="R8" s="345"/>
      <c r="S8" s="345"/>
      <c r="T8" s="345"/>
      <c r="U8" s="345"/>
      <c r="V8" s="345"/>
      <c r="W8" s="345"/>
      <c r="X8" s="345"/>
      <c r="Y8" s="345"/>
    </row>
    <row r="9" spans="1:25" ht="12" customHeight="1">
      <c r="A9" s="898" t="s">
        <v>308</v>
      </c>
      <c r="B9" s="290" t="s">
        <v>387</v>
      </c>
      <c r="C9" s="291" t="s">
        <v>8</v>
      </c>
      <c r="D9" s="292"/>
      <c r="E9" s="293"/>
      <c r="F9" s="294"/>
      <c r="G9" s="295">
        <f>+G31+G40+G48+G59+G63</f>
        <v>26193290.918103453</v>
      </c>
      <c r="J9" s="338"/>
      <c r="K9" s="345"/>
      <c r="L9" s="345"/>
      <c r="M9" s="345"/>
      <c r="N9" s="345"/>
      <c r="O9" s="345"/>
      <c r="P9" s="345"/>
      <c r="Q9" s="345"/>
      <c r="R9" s="345"/>
      <c r="S9" s="345"/>
      <c r="T9" s="345"/>
      <c r="U9" s="345"/>
      <c r="V9" s="345"/>
      <c r="W9" s="345"/>
      <c r="X9" s="345"/>
      <c r="Y9" s="345"/>
    </row>
    <row r="10" spans="1:25" ht="12" customHeight="1">
      <c r="A10" s="899"/>
      <c r="B10" s="275" t="s">
        <v>305</v>
      </c>
      <c r="C10" s="267"/>
      <c r="D10" s="268"/>
      <c r="E10" s="269"/>
      <c r="F10" s="270"/>
      <c r="G10" s="311">
        <f>++H31+(G40+G48+G59+G63)/(22*8)</f>
        <v>228612.88916536051</v>
      </c>
      <c r="J10" s="338"/>
      <c r="K10" s="345"/>
      <c r="L10" s="345"/>
      <c r="M10" s="345"/>
      <c r="N10" s="345"/>
      <c r="O10" s="345"/>
      <c r="P10" s="345"/>
      <c r="Q10" s="345"/>
      <c r="R10" s="345"/>
      <c r="S10" s="345"/>
      <c r="T10" s="345"/>
      <c r="U10" s="345"/>
      <c r="V10" s="345"/>
      <c r="W10" s="345"/>
      <c r="X10" s="345"/>
      <c r="Y10" s="345"/>
    </row>
    <row r="11" spans="1:25" ht="12" customHeight="1" thickBot="1">
      <c r="A11" s="900"/>
      <c r="B11" s="296" t="s">
        <v>306</v>
      </c>
      <c r="C11" s="305"/>
      <c r="D11" s="306"/>
      <c r="E11" s="307"/>
      <c r="F11" s="308"/>
      <c r="G11" s="313">
        <f>++I31+(G40+G48+G59+G63)/(22*8)</f>
        <v>296125.28135286056</v>
      </c>
      <c r="J11" s="338"/>
      <c r="K11" s="345"/>
      <c r="L11" s="345"/>
      <c r="M11" s="345"/>
      <c r="N11" s="345"/>
      <c r="O11" s="345"/>
      <c r="P11" s="345"/>
      <c r="Q11" s="345"/>
      <c r="R11" s="345"/>
      <c r="S11" s="345"/>
      <c r="T11" s="345"/>
      <c r="U11" s="345"/>
      <c r="V11" s="345"/>
      <c r="W11" s="345"/>
      <c r="X11" s="345"/>
      <c r="Y11" s="345"/>
    </row>
    <row r="12" spans="1:25" ht="12" customHeight="1">
      <c r="A12" s="316"/>
      <c r="B12" s="290" t="s">
        <v>392</v>
      </c>
      <c r="C12" s="317" t="s">
        <v>8</v>
      </c>
      <c r="D12" s="318"/>
      <c r="E12" s="319"/>
      <c r="F12" s="320"/>
      <c r="G12" s="321">
        <f>+G34+G43+G51+G64+G67</f>
        <v>3507817.8628571425</v>
      </c>
      <c r="J12" s="338"/>
      <c r="K12" s="345"/>
      <c r="L12" s="345"/>
      <c r="M12" s="345"/>
      <c r="N12" s="345"/>
      <c r="O12" s="345"/>
      <c r="P12" s="345"/>
      <c r="Q12" s="345"/>
      <c r="R12" s="345"/>
      <c r="S12" s="345"/>
      <c r="T12" s="345"/>
      <c r="U12" s="345"/>
      <c r="V12" s="345"/>
      <c r="W12" s="345"/>
      <c r="X12" s="345"/>
      <c r="Y12" s="345"/>
    </row>
    <row r="13" spans="1:25" ht="12" customHeight="1">
      <c r="A13" s="322"/>
      <c r="B13" s="315">
        <v>0.5</v>
      </c>
      <c r="C13" s="302"/>
      <c r="D13" s="303"/>
      <c r="F13" s="304"/>
      <c r="G13" s="323">
        <f>++H34+(G43+G51+G64+G67)/(22*8)</f>
        <v>67424.602913961033</v>
      </c>
      <c r="J13" s="338"/>
      <c r="K13" s="345"/>
      <c r="L13" s="345"/>
      <c r="M13" s="345"/>
      <c r="N13" s="345"/>
      <c r="O13" s="345"/>
      <c r="P13" s="345"/>
      <c r="Q13" s="345"/>
      <c r="R13" s="345"/>
      <c r="S13" s="345"/>
      <c r="T13" s="345"/>
      <c r="U13" s="345"/>
      <c r="V13" s="345"/>
      <c r="W13" s="345"/>
      <c r="X13" s="345"/>
      <c r="Y13" s="345"/>
    </row>
    <row r="14" spans="1:25" ht="12" customHeight="1" thickBot="1">
      <c r="A14" s="324"/>
      <c r="B14" s="325">
        <v>1</v>
      </c>
      <c r="C14" s="326"/>
      <c r="D14" s="327"/>
      <c r="E14" s="307"/>
      <c r="F14" s="328"/>
      <c r="G14" s="329">
        <f>++I34+(G43+G51+G64+G67)/(22*8)</f>
        <v>88321.883538961032</v>
      </c>
      <c r="J14" s="338"/>
      <c r="K14" s="345"/>
      <c r="L14" s="345"/>
      <c r="M14" s="345"/>
      <c r="N14" s="345"/>
      <c r="O14" s="345"/>
      <c r="P14" s="345"/>
      <c r="Q14" s="345"/>
      <c r="R14" s="345"/>
      <c r="S14" s="345"/>
      <c r="T14" s="345"/>
      <c r="U14" s="345"/>
      <c r="V14" s="345"/>
      <c r="W14" s="345"/>
      <c r="X14" s="345"/>
      <c r="Y14" s="345"/>
    </row>
    <row r="15" spans="1:25" ht="12" customHeight="1">
      <c r="A15" s="316"/>
      <c r="B15" s="290" t="s">
        <v>390</v>
      </c>
      <c r="C15" s="317" t="s">
        <v>8</v>
      </c>
      <c r="D15" s="318"/>
      <c r="E15" s="319"/>
      <c r="F15" s="320"/>
      <c r="G15" s="321">
        <f>+G36+G42+G49+G64</f>
        <v>5860382.9857142866</v>
      </c>
      <c r="J15" s="338"/>
      <c r="K15" s="345"/>
      <c r="L15" s="345"/>
      <c r="M15" s="345"/>
      <c r="N15" s="345"/>
      <c r="O15" s="345"/>
      <c r="P15" s="345"/>
      <c r="Q15" s="345"/>
      <c r="R15" s="345"/>
      <c r="S15" s="345"/>
      <c r="T15" s="345"/>
      <c r="U15" s="345"/>
      <c r="V15" s="345"/>
      <c r="W15" s="345"/>
      <c r="X15" s="345"/>
      <c r="Y15" s="345"/>
    </row>
    <row r="16" spans="1:25" ht="12" customHeight="1">
      <c r="A16" s="330"/>
      <c r="B16" s="315">
        <v>0.5</v>
      </c>
      <c r="C16" s="6"/>
      <c r="D16" s="2"/>
      <c r="F16" s="4"/>
      <c r="G16" s="331">
        <f>+H36+(G42+G48+G64)/(22*8)</f>
        <v>56628.412585227277</v>
      </c>
      <c r="J16" s="338"/>
      <c r="K16" s="345"/>
      <c r="L16" s="345"/>
      <c r="M16" s="345"/>
      <c r="N16" s="345"/>
      <c r="O16" s="345"/>
      <c r="P16" s="345"/>
      <c r="Q16" s="345"/>
      <c r="R16" s="345"/>
      <c r="S16" s="345"/>
      <c r="T16" s="345"/>
      <c r="U16" s="345"/>
      <c r="V16" s="345"/>
      <c r="W16" s="345"/>
      <c r="X16" s="345"/>
      <c r="Y16" s="345"/>
    </row>
    <row r="17" spans="1:31" ht="12" customHeight="1" thickBot="1">
      <c r="A17" s="332"/>
      <c r="B17" s="325">
        <v>1</v>
      </c>
      <c r="C17" s="305"/>
      <c r="D17" s="306"/>
      <c r="E17" s="307"/>
      <c r="F17" s="308"/>
      <c r="G17" s="313">
        <f>++I36+(G42+G48+G64)/(22*8)</f>
        <v>70130.891022727272</v>
      </c>
      <c r="J17" s="338"/>
      <c r="K17" s="345"/>
      <c r="L17" s="345"/>
      <c r="M17" s="345"/>
      <c r="N17" s="345"/>
      <c r="O17" s="345"/>
      <c r="P17" s="345"/>
      <c r="Q17" s="345"/>
      <c r="R17" s="345"/>
      <c r="S17" s="345"/>
      <c r="T17" s="345"/>
      <c r="U17" s="345"/>
      <c r="V17" s="345"/>
      <c r="W17" s="345"/>
      <c r="X17" s="345"/>
      <c r="Y17" s="345"/>
    </row>
    <row r="18" spans="1:31" ht="12" customHeight="1">
      <c r="A18" s="316"/>
      <c r="B18" s="290" t="s">
        <v>388</v>
      </c>
      <c r="C18" s="317" t="s">
        <v>8</v>
      </c>
      <c r="D18" s="318"/>
      <c r="E18" s="319"/>
      <c r="F18" s="320"/>
      <c r="G18" s="321">
        <f>+G38+G41+G49+G64+G60</f>
        <v>1242599.4475246307</v>
      </c>
      <c r="J18" s="338"/>
      <c r="K18" s="345"/>
      <c r="L18" s="345"/>
      <c r="M18" s="345"/>
      <c r="N18" s="345"/>
      <c r="O18" s="345"/>
      <c r="P18" s="345"/>
      <c r="Q18" s="345"/>
      <c r="R18" s="345"/>
      <c r="S18" s="345"/>
      <c r="T18" s="345"/>
      <c r="U18" s="345"/>
      <c r="V18" s="345"/>
      <c r="W18" s="345"/>
      <c r="X18" s="345"/>
      <c r="Y18" s="345"/>
      <c r="Z18" s="5">
        <f>3000*C1</f>
        <v>2601000</v>
      </c>
    </row>
    <row r="19" spans="1:31" ht="12" customHeight="1">
      <c r="A19" s="330"/>
      <c r="B19" s="315">
        <v>0.5</v>
      </c>
      <c r="C19" s="6"/>
      <c r="D19" s="2"/>
      <c r="F19" s="4"/>
      <c r="G19" s="331">
        <f>++H38+(G41+G49+G64+G60)/H20</f>
        <v>42872.690484528946</v>
      </c>
      <c r="J19" s="338"/>
      <c r="K19" s="345"/>
      <c r="L19" s="345"/>
      <c r="M19" s="345"/>
      <c r="N19" s="345"/>
      <c r="O19" s="345"/>
      <c r="P19" s="345"/>
      <c r="Q19" s="345"/>
      <c r="R19" s="345"/>
      <c r="S19" s="345"/>
      <c r="T19" s="345"/>
      <c r="U19" s="345"/>
      <c r="V19" s="345"/>
      <c r="W19" s="345"/>
      <c r="X19" s="345"/>
      <c r="Y19" s="345"/>
    </row>
    <row r="20" spans="1:31" ht="12" customHeight="1" thickBot="1">
      <c r="A20" s="332"/>
      <c r="B20" s="325">
        <v>1</v>
      </c>
      <c r="C20" s="305"/>
      <c r="D20" s="306"/>
      <c r="E20" s="307"/>
      <c r="F20" s="308"/>
      <c r="G20" s="313">
        <f>+++I38+(G41+G49+G64+G60)/H20</f>
        <v>56375.168922028948</v>
      </c>
      <c r="H20" s="38">
        <f>20*8</f>
        <v>160</v>
      </c>
      <c r="J20" s="338"/>
      <c r="K20" s="345"/>
      <c r="L20" s="345"/>
      <c r="M20" s="345"/>
      <c r="N20" s="345"/>
      <c r="O20" s="345"/>
      <c r="P20" s="345"/>
      <c r="Q20" s="345"/>
      <c r="R20" s="345"/>
      <c r="S20" s="345"/>
      <c r="T20" s="345"/>
      <c r="U20" s="345"/>
      <c r="V20" s="345"/>
      <c r="W20" s="345"/>
      <c r="X20" s="345"/>
      <c r="Y20" s="345"/>
    </row>
    <row r="21" spans="1:31" ht="12" customHeight="1">
      <c r="A21" s="316"/>
      <c r="B21" s="290" t="s">
        <v>391</v>
      </c>
      <c r="C21" s="317"/>
      <c r="D21" s="318"/>
      <c r="E21" s="319"/>
      <c r="F21" s="320"/>
      <c r="G21" s="321">
        <f>+G37+G41+G49+G60+G64</f>
        <v>1242599.4475246307</v>
      </c>
      <c r="J21" s="338"/>
      <c r="K21" s="345"/>
      <c r="L21" s="345"/>
      <c r="M21" s="345"/>
      <c r="N21" s="345"/>
      <c r="O21" s="345"/>
      <c r="P21" s="345"/>
      <c r="Q21" s="345"/>
      <c r="R21" s="345"/>
      <c r="S21" s="345"/>
      <c r="T21" s="345"/>
      <c r="U21" s="345"/>
      <c r="V21" s="345"/>
      <c r="W21" s="345"/>
      <c r="X21" s="345"/>
      <c r="Y21" s="345"/>
    </row>
    <row r="22" spans="1:31" ht="12" customHeight="1">
      <c r="A22" s="330"/>
      <c r="B22" s="315">
        <v>0.5</v>
      </c>
      <c r="C22" s="6"/>
      <c r="D22" s="2"/>
      <c r="F22" s="4"/>
      <c r="G22" s="331">
        <f>++H37+(G41+G49+G60+G64)/H20</f>
        <v>42872.690484528946</v>
      </c>
      <c r="J22" s="338"/>
      <c r="K22" s="345"/>
      <c r="L22" s="345"/>
      <c r="M22" s="345"/>
      <c r="N22" s="345"/>
      <c r="O22" s="345"/>
      <c r="P22" s="345"/>
      <c r="Q22" s="345"/>
      <c r="R22" s="345"/>
      <c r="S22" s="345"/>
      <c r="T22" s="345"/>
      <c r="U22" s="345"/>
      <c r="V22" s="345"/>
      <c r="W22" s="345"/>
      <c r="X22" s="345"/>
      <c r="Y22" s="345"/>
    </row>
    <row r="23" spans="1:31" ht="12" customHeight="1" thickBot="1">
      <c r="A23" s="332"/>
      <c r="B23" s="325">
        <v>1</v>
      </c>
      <c r="C23" s="305"/>
      <c r="D23" s="306"/>
      <c r="E23" s="307"/>
      <c r="F23" s="308"/>
      <c r="G23" s="313">
        <f>++I37+(G41+G49+G60+G64)/H20</f>
        <v>56375.168922028948</v>
      </c>
      <c r="J23" s="338"/>
      <c r="K23" s="345"/>
      <c r="L23" s="345"/>
      <c r="M23" s="345"/>
      <c r="N23" s="345"/>
      <c r="O23" s="345"/>
      <c r="P23" s="345"/>
      <c r="Q23" s="345"/>
      <c r="R23" s="345"/>
      <c r="S23" s="345"/>
      <c r="T23" s="345"/>
      <c r="U23" s="345"/>
      <c r="V23" s="345"/>
      <c r="W23" s="345"/>
      <c r="X23" s="345"/>
      <c r="Y23" s="345"/>
    </row>
    <row r="24" spans="1:31" ht="12" customHeight="1">
      <c r="A24" s="316"/>
      <c r="B24" s="290" t="s">
        <v>395</v>
      </c>
      <c r="C24" s="317" t="s">
        <v>352</v>
      </c>
      <c r="D24" s="318"/>
      <c r="E24" s="319"/>
      <c r="F24" s="320"/>
      <c r="G24" s="321">
        <f>+G33+G45+G53+G57+G65+G58+G69</f>
        <v>796020.27608836221</v>
      </c>
      <c r="H24" s="38">
        <f>+G24/180</f>
        <v>4422.3348671575677</v>
      </c>
      <c r="I24" s="278"/>
      <c r="J24" s="338"/>
      <c r="K24" s="345"/>
      <c r="L24" s="345"/>
      <c r="M24" s="345"/>
      <c r="N24" s="345"/>
      <c r="O24" s="345"/>
      <c r="P24" s="345"/>
      <c r="Q24" s="345"/>
      <c r="R24" s="345"/>
      <c r="S24" s="345"/>
      <c r="T24" s="345"/>
      <c r="U24" s="345"/>
      <c r="V24" s="345"/>
      <c r="W24" s="345"/>
      <c r="X24" s="345"/>
      <c r="Y24" s="345"/>
    </row>
    <row r="25" spans="1:31" ht="12" customHeight="1">
      <c r="A25" s="330"/>
      <c r="B25" s="315">
        <v>0.5</v>
      </c>
      <c r="C25" s="6"/>
      <c r="D25" s="2"/>
      <c r="F25" s="4"/>
      <c r="G25" s="331">
        <f>+H32+(G45+G53+G57+G65+G58+G69)/(20*8)</f>
        <v>123796.93697555228</v>
      </c>
      <c r="H25" s="38">
        <f>+G25*8/180</f>
        <v>5502.0860878023232</v>
      </c>
      <c r="I25" s="278"/>
      <c r="J25" s="338"/>
      <c r="K25" s="345"/>
      <c r="L25" s="345"/>
      <c r="M25" s="345"/>
      <c r="N25" s="345"/>
      <c r="O25" s="345"/>
      <c r="P25" s="345"/>
      <c r="Q25" s="345"/>
      <c r="R25" s="345"/>
      <c r="S25" s="345"/>
      <c r="T25" s="345"/>
      <c r="U25" s="345"/>
      <c r="V25" s="345"/>
      <c r="W25" s="345"/>
      <c r="X25" s="345"/>
      <c r="Y25" s="345"/>
    </row>
    <row r="26" spans="1:31" ht="12" customHeight="1" thickBot="1">
      <c r="A26" s="332"/>
      <c r="B26" s="325">
        <v>1</v>
      </c>
      <c r="C26" s="305"/>
      <c r="D26" s="306"/>
      <c r="E26" s="307"/>
      <c r="F26" s="308"/>
      <c r="G26" s="313">
        <f>++I32+(G45+G53+G57+G65+G58+G69)/H20</f>
        <v>164304.37228805228</v>
      </c>
      <c r="H26" s="38">
        <f>+G26*8/180</f>
        <v>7302.416546135657</v>
      </c>
      <c r="I26" s="278"/>
      <c r="J26" s="338"/>
      <c r="K26" s="345"/>
      <c r="L26" s="345"/>
      <c r="M26" s="345"/>
      <c r="N26" s="345"/>
      <c r="O26" s="345"/>
      <c r="P26" s="345"/>
      <c r="Q26" s="345"/>
      <c r="R26" s="345"/>
      <c r="S26" s="345"/>
      <c r="T26" s="345"/>
      <c r="U26" s="345"/>
      <c r="V26" s="345"/>
      <c r="W26" s="345"/>
      <c r="X26" s="345"/>
      <c r="Y26" s="345"/>
    </row>
    <row r="27" spans="1:31" ht="12" customHeight="1">
      <c r="A27" s="301"/>
      <c r="B27" s="266" t="s">
        <v>389</v>
      </c>
      <c r="C27" s="302" t="s">
        <v>8</v>
      </c>
      <c r="D27" s="303"/>
      <c r="F27" s="304"/>
      <c r="G27" s="314">
        <f>+'Trailer vestidor'!J4</f>
        <v>2675583.3333333335</v>
      </c>
      <c r="J27" s="338"/>
      <c r="K27" s="345"/>
      <c r="L27" s="345"/>
      <c r="M27" s="345"/>
      <c r="N27" s="345"/>
      <c r="O27" s="345"/>
      <c r="P27" s="345"/>
      <c r="Q27" s="345"/>
      <c r="R27" s="345"/>
      <c r="S27" s="345"/>
      <c r="T27" s="345"/>
      <c r="U27" s="345"/>
      <c r="V27" s="345"/>
      <c r="W27" s="345"/>
      <c r="X27" s="345">
        <v>100</v>
      </c>
      <c r="Y27" s="345" t="s">
        <v>279</v>
      </c>
    </row>
    <row r="28" spans="1:31">
      <c r="A28" s="251"/>
      <c r="B28" s="252"/>
      <c r="C28" s="253"/>
      <c r="D28" s="254"/>
      <c r="E28" s="255"/>
      <c r="F28" s="256"/>
      <c r="G28" s="352"/>
      <c r="H28" s="259"/>
      <c r="J28" s="337"/>
      <c r="K28" s="344"/>
      <c r="L28" s="345"/>
      <c r="M28" s="345"/>
      <c r="N28" s="345"/>
      <c r="O28" s="345"/>
      <c r="P28" s="345"/>
      <c r="Q28" s="345"/>
      <c r="R28" s="345"/>
      <c r="S28" s="345"/>
      <c r="T28" s="345"/>
      <c r="U28" s="345"/>
      <c r="V28" s="345"/>
      <c r="W28" s="345"/>
      <c r="X28" s="345"/>
      <c r="Y28" s="345"/>
    </row>
    <row r="29" spans="1:31">
      <c r="A29" s="19">
        <v>1</v>
      </c>
      <c r="B29" s="20" t="s">
        <v>23</v>
      </c>
      <c r="C29" s="36"/>
      <c r="D29" s="36"/>
      <c r="E29" s="21"/>
      <c r="F29" s="26"/>
      <c r="G29" s="36">
        <f>+SUM(G31:G32)</f>
        <v>34566344.800000004</v>
      </c>
      <c r="H29" s="901" t="s">
        <v>384</v>
      </c>
      <c r="I29" s="902"/>
      <c r="J29" s="350"/>
      <c r="K29" s="343"/>
      <c r="L29" s="343"/>
      <c r="M29" s="343"/>
      <c r="N29" s="343"/>
      <c r="O29" s="343"/>
      <c r="P29" s="343"/>
      <c r="Q29" s="343"/>
      <c r="R29" s="343"/>
      <c r="S29" s="343"/>
      <c r="T29" s="343"/>
      <c r="U29" s="343"/>
      <c r="V29" s="343"/>
      <c r="W29" s="343"/>
      <c r="X29" s="343"/>
      <c r="Y29" s="343"/>
    </row>
    <row r="30" spans="1:31">
      <c r="A30" s="19">
        <v>1</v>
      </c>
      <c r="B30" s="20" t="s">
        <v>24</v>
      </c>
      <c r="C30" s="36"/>
      <c r="D30" s="36"/>
      <c r="E30" s="21"/>
      <c r="F30" s="26"/>
      <c r="G30" s="36">
        <f>+SUM(G34:G37)</f>
        <v>7859803.6400000006</v>
      </c>
      <c r="H30" s="334">
        <v>0.5</v>
      </c>
      <c r="I30" s="335">
        <v>1</v>
      </c>
      <c r="J30" s="337"/>
      <c r="K30" s="344"/>
      <c r="L30" s="344"/>
      <c r="M30" s="344"/>
      <c r="N30" s="344"/>
      <c r="O30" s="344"/>
      <c r="P30" s="344"/>
      <c r="Q30" s="344"/>
      <c r="R30" s="344"/>
      <c r="S30" s="344"/>
      <c r="T30" s="344"/>
      <c r="U30" s="344"/>
      <c r="V30" s="344"/>
      <c r="W30" s="344"/>
      <c r="X30" s="344"/>
      <c r="Y30" s="344"/>
    </row>
    <row r="31" spans="1:31" ht="15">
      <c r="A31" s="22" t="s">
        <v>9</v>
      </c>
      <c r="B31" s="23" t="s">
        <v>10</v>
      </c>
      <c r="C31" s="25" t="s">
        <v>8</v>
      </c>
      <c r="D31" s="239">
        <f>+MO!C8</f>
        <v>4320793.1000000006</v>
      </c>
      <c r="F31" s="24">
        <f>4+1</f>
        <v>5</v>
      </c>
      <c r="G31" s="25">
        <f>D31*F31</f>
        <v>21603965.500000004</v>
      </c>
      <c r="H31" s="333">
        <f>+G31/H20*1.5</f>
        <v>202537.17656250001</v>
      </c>
      <c r="I31" s="336">
        <f>+G31/H20*2</f>
        <v>270049.56875000003</v>
      </c>
      <c r="J31" s="337"/>
      <c r="K31" s="344"/>
      <c r="L31" s="344">
        <f>+G31/$G$9</f>
        <v>0.82479004137156575</v>
      </c>
      <c r="M31" s="344" t="s">
        <v>276</v>
      </c>
      <c r="N31" s="344"/>
      <c r="O31" s="344"/>
      <c r="P31" s="344"/>
      <c r="Q31" s="344"/>
      <c r="R31" s="344"/>
      <c r="S31" s="344"/>
      <c r="T31" s="344"/>
      <c r="U31" s="344"/>
      <c r="V31" s="344"/>
      <c r="W31" s="344"/>
      <c r="X31" s="344"/>
      <c r="Y31" s="344"/>
      <c r="AA31" s="419"/>
      <c r="AB31" s="257"/>
      <c r="AC31" s="257"/>
      <c r="AD31" s="282"/>
      <c r="AE31" s="283"/>
    </row>
    <row r="32" spans="1:31" ht="15">
      <c r="A32" s="22" t="s">
        <v>11</v>
      </c>
      <c r="B32" s="27" t="s">
        <v>301</v>
      </c>
      <c r="C32" s="25" t="s">
        <v>8</v>
      </c>
      <c r="D32" s="239">
        <f>+MO!C7</f>
        <v>4320793.1000000006</v>
      </c>
      <c r="F32" s="24">
        <f>2+1</f>
        <v>3</v>
      </c>
      <c r="G32" s="25">
        <f t="shared" ref="G32:G38" si="0">D32*F32</f>
        <v>12962379.300000001</v>
      </c>
      <c r="H32" s="333">
        <f>+G32/H20*1.5</f>
        <v>121522.30593750002</v>
      </c>
      <c r="I32" s="336">
        <f>+G32/H20*2</f>
        <v>162029.74125000002</v>
      </c>
      <c r="J32" s="339">
        <f>+G32/$G$6</f>
        <v>0.67178718217067868</v>
      </c>
      <c r="K32" s="344" t="s">
        <v>276</v>
      </c>
      <c r="L32" s="344"/>
      <c r="M32" s="344"/>
      <c r="N32" s="344"/>
      <c r="O32" s="344"/>
      <c r="P32" s="344"/>
      <c r="Q32" s="344"/>
      <c r="R32" s="344"/>
      <c r="S32" s="344"/>
      <c r="T32" s="344"/>
      <c r="U32" s="344"/>
      <c r="V32" s="344"/>
      <c r="W32" s="344"/>
      <c r="X32" s="344"/>
      <c r="Y32" s="344"/>
      <c r="AA32" s="419"/>
      <c r="AB32" s="257"/>
      <c r="AC32" s="257"/>
      <c r="AD32" s="282"/>
      <c r="AE32" s="283"/>
    </row>
    <row r="33" spans="1:31" ht="15">
      <c r="A33" s="22" t="s">
        <v>362</v>
      </c>
      <c r="B33" s="27" t="s">
        <v>356</v>
      </c>
      <c r="C33" s="25" t="s">
        <v>352</v>
      </c>
      <c r="D33" s="239">
        <f>+D32/20</f>
        <v>216039.65500000003</v>
      </c>
      <c r="F33" s="24">
        <v>2</v>
      </c>
      <c r="G33" s="25">
        <f t="shared" si="0"/>
        <v>432079.31000000006</v>
      </c>
      <c r="H33" s="333">
        <f>+G33/H20*1.5</f>
        <v>4050.7435312500002</v>
      </c>
      <c r="I33" s="336">
        <f>+G33/H20*2</f>
        <v>5400.9913750000005</v>
      </c>
      <c r="J33" s="337"/>
      <c r="K33" s="344"/>
      <c r="L33" s="344"/>
      <c r="M33" s="344"/>
      <c r="N33" s="344"/>
      <c r="O33" s="344"/>
      <c r="P33" s="344"/>
      <c r="Q33" s="344"/>
      <c r="R33" s="344"/>
      <c r="S33" s="344"/>
      <c r="T33" s="344"/>
      <c r="U33" s="344"/>
      <c r="V33" s="344">
        <f>+G33/$G$24</f>
        <v>0.54279937707521042</v>
      </c>
      <c r="W33" s="344" t="s">
        <v>276</v>
      </c>
      <c r="X33" s="344"/>
      <c r="Y33" s="344"/>
      <c r="AA33" s="419"/>
      <c r="AB33" s="257"/>
      <c r="AC33" s="257"/>
      <c r="AD33" s="282"/>
      <c r="AE33" s="283"/>
    </row>
    <row r="34" spans="1:31" ht="15">
      <c r="A34" s="22" t="s">
        <v>363</v>
      </c>
      <c r="B34" s="27" t="s">
        <v>12</v>
      </c>
      <c r="C34" s="25" t="s">
        <v>8</v>
      </c>
      <c r="D34" s="239">
        <f>+MO!C3</f>
        <v>6687129.7999999998</v>
      </c>
      <c r="F34" s="24">
        <f>2/5</f>
        <v>0.4</v>
      </c>
      <c r="G34" s="25">
        <f t="shared" si="0"/>
        <v>2674851.92</v>
      </c>
      <c r="H34" s="333">
        <f>+D34/H20*1.5</f>
        <v>62691.841874999998</v>
      </c>
      <c r="I34" s="336">
        <f>+D34/H20*2</f>
        <v>83589.122499999998</v>
      </c>
      <c r="J34" s="337"/>
      <c r="K34" s="344"/>
      <c r="L34" s="344"/>
      <c r="M34" s="344"/>
      <c r="N34" s="344">
        <f>+G34/$G$12</f>
        <v>0.76254013879195948</v>
      </c>
      <c r="O34" s="344" t="s">
        <v>276</v>
      </c>
      <c r="P34" s="344"/>
      <c r="Q34" s="344"/>
      <c r="R34" s="344"/>
      <c r="S34" s="344"/>
      <c r="T34" s="344"/>
      <c r="U34" s="344"/>
      <c r="V34" s="344"/>
      <c r="W34" s="344"/>
      <c r="X34" s="344"/>
      <c r="Y34" s="344"/>
      <c r="AA34" s="419"/>
      <c r="AB34" s="257"/>
      <c r="AC34" s="257"/>
      <c r="AD34" s="282"/>
      <c r="AE34" s="283"/>
    </row>
    <row r="35" spans="1:31" ht="15">
      <c r="A35" s="22" t="s">
        <v>364</v>
      </c>
      <c r="B35" s="27" t="s">
        <v>15</v>
      </c>
      <c r="C35" s="25" t="s">
        <v>8</v>
      </c>
      <c r="D35" s="239">
        <f>+MO!C4</f>
        <v>5077514</v>
      </c>
      <c r="F35" s="24">
        <v>0</v>
      </c>
      <c r="G35" s="25">
        <f t="shared" si="0"/>
        <v>0</v>
      </c>
      <c r="H35" s="333">
        <f t="shared" ref="H35" si="1">+G35/180*1.5</f>
        <v>0</v>
      </c>
      <c r="I35" s="336">
        <f t="shared" ref="I35" si="2">+G35/180*2</f>
        <v>0</v>
      </c>
      <c r="J35" s="337"/>
      <c r="K35" s="344"/>
      <c r="L35" s="344"/>
      <c r="M35" s="344"/>
      <c r="N35" s="344"/>
      <c r="O35" s="344"/>
      <c r="P35" s="344"/>
      <c r="Q35" s="344"/>
      <c r="R35" s="344"/>
      <c r="S35" s="344"/>
      <c r="T35" s="344"/>
      <c r="U35" s="344"/>
      <c r="V35" s="344"/>
      <c r="W35" s="344"/>
      <c r="X35" s="344"/>
      <c r="Y35" s="344"/>
      <c r="AA35" s="419"/>
      <c r="AB35" s="257"/>
      <c r="AC35" s="257"/>
      <c r="AD35" s="282"/>
      <c r="AE35" s="283"/>
    </row>
    <row r="36" spans="1:31" ht="15">
      <c r="A36" s="22" t="s">
        <v>365</v>
      </c>
      <c r="B36" s="27" t="s">
        <v>16</v>
      </c>
      <c r="C36" s="25" t="s">
        <v>8</v>
      </c>
      <c r="D36" s="239">
        <f>+MO!C5</f>
        <v>4320793.1000000006</v>
      </c>
      <c r="F36" s="24">
        <v>1</v>
      </c>
      <c r="G36" s="25">
        <f t="shared" si="0"/>
        <v>4320793.1000000006</v>
      </c>
      <c r="H36" s="333">
        <f>+G36/H20*1.5</f>
        <v>40507.435312500005</v>
      </c>
      <c r="I36" s="336">
        <f>+G36/H20*2</f>
        <v>54009.913750000007</v>
      </c>
      <c r="J36" s="337"/>
      <c r="K36" s="344"/>
      <c r="L36" s="344"/>
      <c r="M36" s="344"/>
      <c r="N36" s="344"/>
      <c r="O36" s="344"/>
      <c r="P36" s="344">
        <f>+G36/$G$15</f>
        <v>0.73728852031218661</v>
      </c>
      <c r="Q36" s="344" t="s">
        <v>276</v>
      </c>
      <c r="R36" s="344"/>
      <c r="S36" s="344"/>
      <c r="T36" s="344"/>
      <c r="U36" s="344"/>
      <c r="V36" s="344"/>
      <c r="W36" s="344"/>
      <c r="X36" s="344"/>
      <c r="Y36" s="344"/>
      <c r="AA36" s="419"/>
      <c r="AB36" s="257"/>
      <c r="AC36" s="257"/>
      <c r="AD36" s="282"/>
      <c r="AE36" s="283"/>
    </row>
    <row r="37" spans="1:31" ht="15">
      <c r="A37" s="22" t="s">
        <v>366</v>
      </c>
      <c r="B37" s="27" t="s">
        <v>27</v>
      </c>
      <c r="C37" s="25" t="s">
        <v>8</v>
      </c>
      <c r="D37" s="239">
        <f>+MO!C6</f>
        <v>4320793.1000000006</v>
      </c>
      <c r="F37" s="24">
        <f>1/5</f>
        <v>0.2</v>
      </c>
      <c r="G37" s="25">
        <f t="shared" si="0"/>
        <v>864158.62000000011</v>
      </c>
      <c r="H37" s="333">
        <f>+D37/H20*1.5</f>
        <v>40507.435312500005</v>
      </c>
      <c r="I37" s="336">
        <f>+D37/H20*2</f>
        <v>54009.913750000007</v>
      </c>
      <c r="J37" s="337"/>
      <c r="K37" s="344"/>
      <c r="L37" s="344"/>
      <c r="M37" s="344"/>
      <c r="N37" s="344"/>
      <c r="O37" s="344"/>
      <c r="P37" s="344"/>
      <c r="Q37" s="344"/>
      <c r="R37" s="344"/>
      <c r="S37" s="344"/>
      <c r="T37" s="344">
        <f>+G37/$G$21</f>
        <v>0.69544423323338944</v>
      </c>
      <c r="U37" s="344" t="s">
        <v>276</v>
      </c>
      <c r="V37" s="344"/>
      <c r="W37" s="344"/>
      <c r="X37" s="344"/>
      <c r="Y37" s="344"/>
      <c r="AA37" s="419"/>
      <c r="AB37" s="257"/>
      <c r="AC37" s="257"/>
      <c r="AD37" s="282"/>
      <c r="AE37" s="283"/>
    </row>
    <row r="38" spans="1:31" ht="12.75">
      <c r="A38" s="22" t="s">
        <v>367</v>
      </c>
      <c r="B38" s="27" t="s">
        <v>302</v>
      </c>
      <c r="C38" s="25" t="s">
        <v>8</v>
      </c>
      <c r="D38" s="239">
        <f>+MO!C9</f>
        <v>4320793.1000000006</v>
      </c>
      <c r="F38" s="24">
        <f>1/5</f>
        <v>0.2</v>
      </c>
      <c r="G38" s="25">
        <f t="shared" si="0"/>
        <v>864158.62000000011</v>
      </c>
      <c r="H38" s="333">
        <f>+D38/H20*1.5</f>
        <v>40507.435312500005</v>
      </c>
      <c r="I38" s="336">
        <f>+D38/H20*2</f>
        <v>54009.913750000007</v>
      </c>
      <c r="J38" s="342"/>
      <c r="K38" s="348"/>
      <c r="L38" s="348"/>
      <c r="M38" s="348"/>
      <c r="N38" s="348"/>
      <c r="O38" s="348"/>
      <c r="P38" s="348"/>
      <c r="Q38" s="348"/>
      <c r="R38" s="348">
        <f>+G38/$G$18</f>
        <v>0.69544423323338944</v>
      </c>
      <c r="S38" s="348" t="s">
        <v>276</v>
      </c>
      <c r="T38" s="348"/>
      <c r="U38" s="348"/>
      <c r="V38" s="348"/>
      <c r="W38" s="348"/>
      <c r="X38" s="348"/>
      <c r="Y38" s="348"/>
      <c r="AA38" s="282"/>
      <c r="AB38" s="257"/>
      <c r="AC38" s="257"/>
    </row>
    <row r="39" spans="1:31">
      <c r="A39" s="19">
        <v>2</v>
      </c>
      <c r="B39" s="20" t="s">
        <v>30</v>
      </c>
      <c r="C39" s="36"/>
      <c r="D39" s="240"/>
      <c r="F39" s="26"/>
      <c r="G39" s="36">
        <f>+SUM(G40:G45)</f>
        <v>10641384.600000001</v>
      </c>
      <c r="H39" s="356"/>
      <c r="I39" s="357"/>
      <c r="J39" s="358"/>
      <c r="K39" s="359"/>
      <c r="L39" s="343"/>
      <c r="M39" s="343"/>
      <c r="N39" s="343"/>
      <c r="O39" s="343"/>
      <c r="P39" s="343"/>
      <c r="Q39" s="343"/>
      <c r="R39" s="343"/>
      <c r="S39" s="343"/>
      <c r="T39" s="343"/>
      <c r="U39" s="343"/>
      <c r="V39" s="343"/>
      <c r="W39" s="343"/>
      <c r="X39" s="343"/>
      <c r="Y39" s="343"/>
      <c r="AA39" s="258"/>
      <c r="AB39" s="420"/>
      <c r="AC39" s="258"/>
    </row>
    <row r="40" spans="1:31">
      <c r="A40" s="29" t="s">
        <v>21</v>
      </c>
      <c r="B40" s="1" t="s">
        <v>311</v>
      </c>
      <c r="C40" s="28" t="s">
        <v>8</v>
      </c>
      <c r="D40" s="241">
        <f>1400*1.22*C1</f>
        <v>1480836</v>
      </c>
      <c r="E40" s="31"/>
      <c r="F40" s="32">
        <v>2</v>
      </c>
      <c r="G40" s="25">
        <f>+$D40*F40</f>
        <v>2961672</v>
      </c>
      <c r="H40" s="360"/>
      <c r="I40" s="3"/>
      <c r="J40" s="340"/>
      <c r="K40" s="347"/>
      <c r="L40" s="347">
        <f>+G40/$G$9</f>
        <v>0.11306987003885964</v>
      </c>
      <c r="M40" s="347" t="s">
        <v>277</v>
      </c>
      <c r="N40" s="347"/>
      <c r="O40" s="347"/>
      <c r="P40" s="347"/>
      <c r="Q40" s="347"/>
      <c r="R40" s="347"/>
      <c r="S40" s="347"/>
      <c r="T40" s="347"/>
      <c r="U40" s="347"/>
      <c r="V40" s="347"/>
      <c r="W40" s="347"/>
      <c r="X40" s="347"/>
      <c r="Y40" s="347"/>
      <c r="AA40" s="258"/>
      <c r="AB40" s="258"/>
      <c r="AC40" s="258"/>
    </row>
    <row r="41" spans="1:31">
      <c r="A41" s="29" t="s">
        <v>22</v>
      </c>
      <c r="B41" s="1" t="s">
        <v>312</v>
      </c>
      <c r="C41" s="28" t="s">
        <v>8</v>
      </c>
      <c r="D41" s="241">
        <f>+D40</f>
        <v>1480836</v>
      </c>
      <c r="E41" s="31"/>
      <c r="F41" s="32">
        <f>+F38</f>
        <v>0.2</v>
      </c>
      <c r="G41" s="25">
        <f>+$D41*F41</f>
        <v>296167.2</v>
      </c>
      <c r="H41" s="360"/>
      <c r="I41" s="3"/>
      <c r="J41" s="340"/>
      <c r="K41" s="347"/>
      <c r="L41" s="347"/>
      <c r="M41" s="347"/>
      <c r="N41" s="347"/>
      <c r="O41" s="347"/>
      <c r="P41" s="347"/>
      <c r="Q41" s="347"/>
      <c r="R41" s="347">
        <f>+G41/$G$18</f>
        <v>0.23834486695611493</v>
      </c>
      <c r="S41" s="347" t="s">
        <v>277</v>
      </c>
      <c r="T41" s="344">
        <f>+G41/$G$21</f>
        <v>0.23834486695611493</v>
      </c>
      <c r="U41" s="347" t="s">
        <v>277</v>
      </c>
      <c r="V41" s="347"/>
      <c r="W41" s="347"/>
      <c r="X41" s="347"/>
      <c r="Y41" s="347"/>
    </row>
    <row r="42" spans="1:31">
      <c r="A42" s="29"/>
      <c r="B42" s="1" t="s">
        <v>372</v>
      </c>
      <c r="C42" s="28" t="s">
        <v>8</v>
      </c>
      <c r="D42" s="241">
        <f>+D41</f>
        <v>1480836</v>
      </c>
      <c r="E42" s="31"/>
      <c r="F42" s="32">
        <v>1</v>
      </c>
      <c r="G42" s="25">
        <f>+$D42*F42</f>
        <v>1480836</v>
      </c>
      <c r="H42" s="360"/>
      <c r="I42" s="3"/>
      <c r="J42" s="340"/>
      <c r="K42" s="347"/>
      <c r="L42" s="347"/>
      <c r="M42" s="347"/>
      <c r="N42" s="347"/>
      <c r="O42" s="347"/>
      <c r="P42" s="347">
        <f>+G42/$G$15</f>
        <v>0.25268587455969993</v>
      </c>
      <c r="Q42" s="347" t="s">
        <v>277</v>
      </c>
      <c r="R42" s="347"/>
      <c r="S42" s="347"/>
      <c r="T42" s="347"/>
      <c r="U42" s="347"/>
      <c r="V42" s="347"/>
      <c r="W42" s="347"/>
      <c r="X42" s="347"/>
      <c r="Y42" s="347"/>
    </row>
    <row r="43" spans="1:31">
      <c r="A43" s="29" t="s">
        <v>25</v>
      </c>
      <c r="B43" s="1" t="s">
        <v>313</v>
      </c>
      <c r="C43" s="28" t="s">
        <v>8</v>
      </c>
      <c r="D43" s="241">
        <f>+D41</f>
        <v>1480836</v>
      </c>
      <c r="E43" s="31"/>
      <c r="F43" s="32">
        <f>+F34</f>
        <v>0.4</v>
      </c>
      <c r="G43" s="25">
        <f>+$D43*F43</f>
        <v>592334.4</v>
      </c>
      <c r="H43" s="360"/>
      <c r="I43" s="3"/>
      <c r="J43" s="340"/>
      <c r="K43" s="347"/>
      <c r="L43" s="347"/>
      <c r="M43" s="347"/>
      <c r="N43" s="347">
        <f>+G43/$G$12</f>
        <v>0.16886121889964362</v>
      </c>
      <c r="O43" s="347" t="s">
        <v>277</v>
      </c>
      <c r="P43" s="347"/>
      <c r="Q43" s="347"/>
      <c r="R43" s="347"/>
      <c r="S43" s="347"/>
      <c r="T43" s="347"/>
      <c r="U43" s="347"/>
      <c r="V43" s="347"/>
      <c r="W43" s="347"/>
      <c r="X43" s="347"/>
      <c r="Y43" s="347"/>
    </row>
    <row r="44" spans="1:31">
      <c r="A44" s="29" t="s">
        <v>26</v>
      </c>
      <c r="B44" s="1" t="s">
        <v>309</v>
      </c>
      <c r="C44" s="28" t="s">
        <v>8</v>
      </c>
      <c r="D44" s="241">
        <f>(180+70+50+50)*1000*C1/60</f>
        <v>5057500</v>
      </c>
      <c r="E44" s="31"/>
      <c r="F44" s="32">
        <v>1</v>
      </c>
      <c r="G44" s="25">
        <f>D44*F44</f>
        <v>5057500</v>
      </c>
      <c r="H44" s="360"/>
      <c r="I44" s="3"/>
      <c r="J44" s="339">
        <f>+G44/$G$6</f>
        <v>0.26210957071964458</v>
      </c>
      <c r="K44" s="347" t="s">
        <v>277</v>
      </c>
      <c r="L44" s="347"/>
      <c r="M44" s="347"/>
      <c r="N44" s="347"/>
      <c r="O44" s="347"/>
      <c r="P44" s="347"/>
      <c r="Q44" s="347"/>
      <c r="R44" s="347"/>
      <c r="S44" s="347"/>
      <c r="T44" s="347"/>
      <c r="U44" s="347"/>
      <c r="V44" s="347"/>
      <c r="W44" s="347"/>
      <c r="X44" s="347"/>
      <c r="Y44" s="347"/>
    </row>
    <row r="45" spans="1:31">
      <c r="A45" s="29" t="s">
        <v>262</v>
      </c>
      <c r="B45" s="1" t="s">
        <v>314</v>
      </c>
      <c r="C45" s="28" t="s">
        <v>352</v>
      </c>
      <c r="D45" s="241">
        <f>+D44/20</f>
        <v>252875</v>
      </c>
      <c r="E45" s="31"/>
      <c r="F45" s="32">
        <v>1</v>
      </c>
      <c r="G45" s="25">
        <f>D45*F45</f>
        <v>252875</v>
      </c>
      <c r="H45" s="360"/>
      <c r="I45" s="3"/>
      <c r="J45" s="340"/>
      <c r="K45" s="347"/>
      <c r="L45" s="347"/>
      <c r="M45" s="347"/>
      <c r="N45" s="347"/>
      <c r="O45" s="347"/>
      <c r="P45" s="347"/>
      <c r="Q45" s="347"/>
      <c r="R45" s="347"/>
      <c r="S45" s="347"/>
      <c r="T45" s="347"/>
      <c r="U45" s="347"/>
      <c r="V45" s="344">
        <f>+G45/$G$24</f>
        <v>0.31767406885993643</v>
      </c>
      <c r="W45" s="347" t="s">
        <v>277</v>
      </c>
      <c r="X45" s="347"/>
      <c r="Y45" s="347"/>
    </row>
    <row r="46" spans="1:31">
      <c r="A46" s="29" t="s">
        <v>339</v>
      </c>
      <c r="B46" s="1" t="s">
        <v>42</v>
      </c>
      <c r="C46" s="28" t="s">
        <v>8</v>
      </c>
      <c r="D46" s="241">
        <f>40000*C1/60</f>
        <v>578000</v>
      </c>
      <c r="E46" s="31"/>
      <c r="F46" s="32"/>
      <c r="G46" s="25"/>
      <c r="H46" s="361"/>
      <c r="I46" s="353"/>
      <c r="J46" s="354"/>
      <c r="K46" s="355"/>
      <c r="L46" s="355"/>
      <c r="M46" s="355"/>
      <c r="N46" s="355"/>
      <c r="O46" s="355"/>
      <c r="P46" s="355"/>
      <c r="Q46" s="355"/>
      <c r="R46" s="355"/>
      <c r="S46" s="355"/>
      <c r="T46" s="355"/>
      <c r="U46" s="355"/>
      <c r="V46" s="355"/>
      <c r="W46" s="355"/>
      <c r="X46" s="355"/>
      <c r="Y46" s="355"/>
    </row>
    <row r="47" spans="1:31">
      <c r="A47" s="19">
        <v>3</v>
      </c>
      <c r="B47" s="20" t="s">
        <v>241</v>
      </c>
      <c r="C47" s="36"/>
      <c r="D47" s="240"/>
      <c r="F47" s="26"/>
      <c r="G47" s="36">
        <f>+SUM(G52:G53)</f>
        <v>1173002</v>
      </c>
      <c r="H47" s="356"/>
      <c r="I47" s="357"/>
      <c r="J47" s="358"/>
      <c r="K47" s="359"/>
      <c r="L47" s="359"/>
      <c r="M47" s="359"/>
      <c r="N47" s="359"/>
      <c r="O47" s="359"/>
      <c r="P47" s="359"/>
      <c r="Q47" s="359"/>
      <c r="R47" s="359"/>
      <c r="S47" s="359"/>
      <c r="T47" s="359"/>
      <c r="U47" s="359"/>
      <c r="V47" s="359"/>
      <c r="W47" s="359"/>
      <c r="X47" s="359"/>
      <c r="Y47" s="359"/>
    </row>
    <row r="48" spans="1:31">
      <c r="A48" s="29" t="s">
        <v>17</v>
      </c>
      <c r="B48" s="1" t="s">
        <v>311</v>
      </c>
      <c r="C48" s="28" t="s">
        <v>268</v>
      </c>
      <c r="D48" s="241">
        <f>+'3.CLN'!D6</f>
        <v>672228</v>
      </c>
      <c r="E48" s="31"/>
      <c r="F48" s="32">
        <f>+F40</f>
        <v>2</v>
      </c>
      <c r="G48" s="25">
        <f t="shared" ref="G48:G69" si="3">+$D48*F48</f>
        <v>1344456</v>
      </c>
      <c r="H48" s="360"/>
      <c r="I48" s="3"/>
      <c r="J48" s="340"/>
      <c r="K48" s="347"/>
      <c r="L48" s="347">
        <f>+G48/$G$9</f>
        <v>5.1328258224734233E-2</v>
      </c>
      <c r="M48" s="347" t="s">
        <v>278</v>
      </c>
      <c r="N48" s="347"/>
      <c r="O48" s="347"/>
      <c r="P48" s="347">
        <f>+G48/$G$15</f>
        <v>0.22941435794850742</v>
      </c>
      <c r="Q48" s="347" t="s">
        <v>278</v>
      </c>
      <c r="R48" s="347"/>
      <c r="S48" s="347"/>
      <c r="T48" s="347"/>
      <c r="U48" s="347"/>
      <c r="V48" s="347"/>
      <c r="W48" s="347"/>
      <c r="X48" s="347"/>
      <c r="Y48" s="347"/>
    </row>
    <row r="49" spans="1:25">
      <c r="A49" s="29" t="s">
        <v>18</v>
      </c>
      <c r="B49" s="35" t="s">
        <v>312</v>
      </c>
      <c r="C49" s="28" t="s">
        <v>8</v>
      </c>
      <c r="D49" s="241">
        <f>+'3.CLN'!D8</f>
        <v>233769.42857142855</v>
      </c>
      <c r="E49" s="31"/>
      <c r="F49" s="32">
        <f>+F38</f>
        <v>0.2</v>
      </c>
      <c r="G49" s="25">
        <f t="shared" si="3"/>
        <v>46753.885714285716</v>
      </c>
      <c r="H49" s="360"/>
      <c r="I49" s="3"/>
      <c r="J49" s="340"/>
      <c r="K49" s="347"/>
      <c r="L49" s="347"/>
      <c r="M49" s="347"/>
      <c r="N49" s="347"/>
      <c r="O49" s="347"/>
      <c r="P49" s="347"/>
      <c r="Q49" s="347"/>
      <c r="R49" s="347">
        <f>+G49/$G$18</f>
        <v>3.7625870353816461E-2</v>
      </c>
      <c r="S49" s="347" t="s">
        <v>278</v>
      </c>
      <c r="T49" s="344">
        <f>+G49/$G$21</f>
        <v>3.7625870353816461E-2</v>
      </c>
      <c r="U49" s="347" t="s">
        <v>278</v>
      </c>
      <c r="V49" s="347"/>
      <c r="W49" s="347"/>
      <c r="X49" s="347"/>
      <c r="Y49" s="347"/>
    </row>
    <row r="50" spans="1:25">
      <c r="A50" s="29"/>
      <c r="B50" s="1" t="s">
        <v>372</v>
      </c>
      <c r="C50" s="28" t="s">
        <v>8</v>
      </c>
      <c r="D50" s="241">
        <f>+D49</f>
        <v>233769.42857142855</v>
      </c>
      <c r="E50" s="31"/>
      <c r="F50" s="32">
        <v>1</v>
      </c>
      <c r="G50" s="25">
        <f t="shared" si="3"/>
        <v>233769.42857142855</v>
      </c>
      <c r="H50" s="360"/>
      <c r="I50" s="3"/>
      <c r="J50" s="340"/>
      <c r="K50" s="347"/>
      <c r="L50" s="347"/>
      <c r="M50" s="347"/>
      <c r="N50" s="347"/>
      <c r="O50" s="347"/>
      <c r="P50" s="347"/>
      <c r="Q50" s="347"/>
      <c r="R50" s="347"/>
      <c r="S50" s="347"/>
      <c r="T50" s="347"/>
      <c r="U50" s="347"/>
      <c r="V50" s="347"/>
      <c r="W50" s="347"/>
      <c r="X50" s="347"/>
      <c r="Y50" s="347"/>
    </row>
    <row r="51" spans="1:25">
      <c r="A51" s="29" t="s">
        <v>263</v>
      </c>
      <c r="B51" s="272" t="s">
        <v>313</v>
      </c>
      <c r="C51" s="28" t="s">
        <v>8</v>
      </c>
      <c r="D51" s="241">
        <f>+'3.CLN'!D7</f>
        <v>467538.8571428571</v>
      </c>
      <c r="E51" s="31"/>
      <c r="F51" s="32">
        <f>+F34</f>
        <v>0.4</v>
      </c>
      <c r="G51" s="25">
        <f t="shared" si="3"/>
        <v>187015.54285714286</v>
      </c>
      <c r="H51" s="360"/>
      <c r="I51" s="3"/>
      <c r="J51" s="340"/>
      <c r="K51" s="347"/>
      <c r="L51" s="347"/>
      <c r="M51" s="347"/>
      <c r="N51" s="347">
        <f>+G51/$G$12</f>
        <v>5.331392625522962E-2</v>
      </c>
      <c r="O51" s="347" t="s">
        <v>278</v>
      </c>
      <c r="P51" s="347"/>
      <c r="Q51" s="347"/>
      <c r="R51" s="347"/>
      <c r="S51" s="347"/>
      <c r="T51" s="347"/>
      <c r="U51" s="347"/>
      <c r="V51" s="347"/>
      <c r="W51" s="347"/>
      <c r="X51" s="347"/>
      <c r="Y51" s="347"/>
    </row>
    <row r="52" spans="1:25">
      <c r="A52" s="29" t="s">
        <v>264</v>
      </c>
      <c r="B52" s="1" t="s">
        <v>309</v>
      </c>
      <c r="C52" s="28" t="s">
        <v>8</v>
      </c>
      <c r="D52" s="241">
        <f>+'3.CLN'!D9</f>
        <v>1080992</v>
      </c>
      <c r="E52" s="31"/>
      <c r="F52" s="32">
        <v>1</v>
      </c>
      <c r="G52" s="25">
        <f t="shared" si="3"/>
        <v>1080992</v>
      </c>
      <c r="H52" s="360"/>
      <c r="I52" s="3"/>
      <c r="J52" s="339">
        <f>+G52/$G$6</f>
        <v>5.6023400706153248E-2</v>
      </c>
      <c r="K52" s="347" t="s">
        <v>278</v>
      </c>
      <c r="L52" s="347"/>
      <c r="M52" s="347"/>
      <c r="N52" s="347"/>
      <c r="O52" s="347"/>
      <c r="P52" s="347"/>
      <c r="Q52" s="347"/>
      <c r="R52" s="347"/>
      <c r="S52" s="347"/>
      <c r="T52" s="347"/>
      <c r="U52" s="347"/>
      <c r="V52" s="347"/>
      <c r="W52" s="347"/>
      <c r="X52" s="347"/>
      <c r="Y52" s="347"/>
    </row>
    <row r="53" spans="1:25" ht="12" customHeight="1">
      <c r="A53" s="29" t="s">
        <v>265</v>
      </c>
      <c r="B53" s="1" t="s">
        <v>314</v>
      </c>
      <c r="C53" s="28" t="s">
        <v>352</v>
      </c>
      <c r="D53" s="241">
        <f>+'3.CLN'!D12/20</f>
        <v>92010</v>
      </c>
      <c r="E53" s="31"/>
      <c r="F53" s="32">
        <v>1</v>
      </c>
      <c r="G53" s="25">
        <f t="shared" si="3"/>
        <v>92010</v>
      </c>
      <c r="H53" s="360"/>
      <c r="I53" s="3"/>
      <c r="J53" s="340"/>
      <c r="K53" s="347"/>
      <c r="L53" s="347"/>
      <c r="M53" s="347"/>
      <c r="N53" s="347"/>
      <c r="O53" s="347"/>
      <c r="P53" s="347"/>
      <c r="Q53" s="347"/>
      <c r="R53" s="347"/>
      <c r="S53" s="347"/>
      <c r="T53" s="347"/>
      <c r="U53" s="347"/>
      <c r="V53" s="344">
        <f>+G53/$G$24</f>
        <v>0.11558750796165201</v>
      </c>
      <c r="W53" s="347" t="s">
        <v>278</v>
      </c>
      <c r="X53" s="347"/>
      <c r="Y53" s="347"/>
    </row>
    <row r="54" spans="1:25" ht="12" customHeight="1">
      <c r="A54" s="29" t="s">
        <v>340</v>
      </c>
      <c r="B54" s="1" t="s">
        <v>42</v>
      </c>
      <c r="C54" s="28" t="s">
        <v>8</v>
      </c>
      <c r="D54" s="241">
        <f>+'3.CLN'!D11</f>
        <v>246800</v>
      </c>
      <c r="E54" s="31"/>
      <c r="F54" s="32"/>
      <c r="G54" s="25"/>
      <c r="H54" s="361"/>
      <c r="I54" s="353"/>
      <c r="J54" s="354"/>
      <c r="K54" s="355"/>
      <c r="L54" s="355"/>
      <c r="M54" s="355"/>
      <c r="N54" s="355"/>
      <c r="O54" s="355"/>
      <c r="P54" s="355"/>
      <c r="Q54" s="355"/>
      <c r="R54" s="355"/>
      <c r="S54" s="355"/>
      <c r="T54" s="355"/>
      <c r="U54" s="355"/>
      <c r="V54" s="355"/>
      <c r="W54" s="355"/>
      <c r="X54" s="355"/>
      <c r="Y54" s="355"/>
    </row>
    <row r="55" spans="1:25">
      <c r="A55" s="19">
        <v>4</v>
      </c>
      <c r="B55" s="20" t="s">
        <v>13</v>
      </c>
      <c r="C55" s="36"/>
      <c r="D55" s="240"/>
      <c r="F55" s="26"/>
      <c r="G55" s="36">
        <f>+SUM(G56:G59)</f>
        <v>404750.90595905168</v>
      </c>
      <c r="H55" s="356"/>
      <c r="I55" s="357"/>
      <c r="J55" s="358"/>
      <c r="K55" s="359"/>
      <c r="L55" s="359"/>
      <c r="M55" s="359"/>
      <c r="N55" s="359"/>
      <c r="O55" s="359"/>
      <c r="P55" s="359"/>
      <c r="Q55" s="359"/>
      <c r="R55" s="359"/>
      <c r="S55" s="359"/>
      <c r="T55" s="359"/>
      <c r="U55" s="359"/>
      <c r="V55" s="359"/>
      <c r="W55" s="359"/>
      <c r="X55" s="359"/>
      <c r="Y55" s="359"/>
    </row>
    <row r="56" spans="1:25">
      <c r="A56" s="29" t="s">
        <v>19</v>
      </c>
      <c r="B56" s="33" t="s">
        <v>14</v>
      </c>
      <c r="C56" s="28" t="s">
        <v>8</v>
      </c>
      <c r="D56" s="242">
        <f>+'4.IM'!D5*1.3</f>
        <v>152878.32176724137</v>
      </c>
      <c r="E56" s="34"/>
      <c r="F56" s="32">
        <v>1</v>
      </c>
      <c r="G56" s="25">
        <f t="shared" si="3"/>
        <v>152878.32176724137</v>
      </c>
      <c r="H56" s="360"/>
      <c r="I56" s="3"/>
      <c r="J56" s="339">
        <f>+G56/$G$6</f>
        <v>7.9230590787447031E-3</v>
      </c>
      <c r="K56" s="347" t="s">
        <v>279</v>
      </c>
      <c r="L56" s="347"/>
      <c r="M56" s="347"/>
      <c r="N56" s="347"/>
      <c r="O56" s="347"/>
      <c r="P56" s="347"/>
      <c r="Q56" s="347"/>
      <c r="R56" s="347"/>
      <c r="S56" s="347"/>
      <c r="T56" s="347"/>
      <c r="U56" s="347"/>
      <c r="V56" s="347"/>
      <c r="W56" s="347"/>
      <c r="X56" s="347"/>
      <c r="Y56" s="347"/>
    </row>
    <row r="57" spans="1:25">
      <c r="A57" s="29" t="s">
        <v>28</v>
      </c>
      <c r="B57" s="33" t="s">
        <v>353</v>
      </c>
      <c r="C57" s="28" t="s">
        <v>352</v>
      </c>
      <c r="D57" s="242">
        <f>+'4.IM'!D6*1.3/20</f>
        <v>7643.9160883620689</v>
      </c>
      <c r="E57" s="34"/>
      <c r="F57" s="32">
        <v>1</v>
      </c>
      <c r="G57" s="25">
        <f>+$D57*F57</f>
        <v>7643.9160883620689</v>
      </c>
      <c r="H57" s="360"/>
      <c r="I57" s="3"/>
      <c r="J57" s="340"/>
      <c r="K57" s="347"/>
      <c r="L57" s="347"/>
      <c r="M57" s="347"/>
      <c r="N57" s="347"/>
      <c r="O57" s="347"/>
      <c r="P57" s="347"/>
      <c r="Q57" s="347"/>
      <c r="R57" s="347"/>
      <c r="S57" s="347"/>
      <c r="T57" s="347"/>
      <c r="U57" s="347"/>
      <c r="V57" s="344">
        <f>+G57/$G$24</f>
        <v>9.6026650551217316E-3</v>
      </c>
      <c r="W57" s="347" t="s">
        <v>279</v>
      </c>
      <c r="X57" s="347"/>
      <c r="Y57" s="347"/>
    </row>
    <row r="58" spans="1:25">
      <c r="A58" s="29" t="s">
        <v>360</v>
      </c>
      <c r="B58" s="33" t="s">
        <v>374</v>
      </c>
      <c r="C58" s="28" t="s">
        <v>352</v>
      </c>
      <c r="D58" s="242">
        <f>+'2.IER'!D20/20</f>
        <v>9031.25</v>
      </c>
      <c r="E58" s="31"/>
      <c r="F58" s="32">
        <v>1</v>
      </c>
      <c r="G58" s="25">
        <f>+$D58*F58</f>
        <v>9031.25</v>
      </c>
      <c r="H58" s="360"/>
      <c r="I58" s="3"/>
      <c r="J58" s="340"/>
      <c r="K58" s="347"/>
      <c r="L58" s="347"/>
      <c r="M58" s="347"/>
      <c r="N58" s="347"/>
      <c r="O58" s="347"/>
      <c r="P58" s="347"/>
      <c r="Q58" s="347"/>
      <c r="R58" s="347"/>
      <c r="S58" s="347"/>
      <c r="T58" s="347"/>
      <c r="U58" s="347"/>
      <c r="V58" s="344">
        <f>+G58/$G$24</f>
        <v>1.1345502459283445E-2</v>
      </c>
      <c r="W58" s="347" t="s">
        <v>279</v>
      </c>
      <c r="X58" s="347"/>
      <c r="Y58" s="347"/>
    </row>
    <row r="59" spans="1:25">
      <c r="A59" s="29" t="s">
        <v>361</v>
      </c>
      <c r="B59" s="33" t="s">
        <v>348</v>
      </c>
      <c r="C59" s="28" t="s">
        <v>8</v>
      </c>
      <c r="D59" s="241">
        <f>+'4.IM'!D4</f>
        <v>117598.70905172413</v>
      </c>
      <c r="E59" s="31"/>
      <c r="F59" s="32">
        <f>+F48</f>
        <v>2</v>
      </c>
      <c r="G59" s="25">
        <f t="shared" si="3"/>
        <v>235197.41810344826</v>
      </c>
      <c r="H59" s="360"/>
      <c r="I59" s="3"/>
      <c r="J59" s="340"/>
      <c r="K59" s="347"/>
      <c r="L59" s="347">
        <f>+G59/$G$9</f>
        <v>8.9793000367468876E-3</v>
      </c>
      <c r="M59" s="347" t="s">
        <v>279</v>
      </c>
      <c r="N59" s="347"/>
      <c r="O59" s="347"/>
      <c r="P59" s="347"/>
      <c r="Q59" s="347"/>
      <c r="R59" s="347"/>
      <c r="S59" s="347"/>
      <c r="T59" s="347"/>
      <c r="U59" s="347"/>
      <c r="V59" s="347"/>
      <c r="W59" s="347"/>
      <c r="X59" s="347"/>
      <c r="Y59" s="347"/>
    </row>
    <row r="60" spans="1:25">
      <c r="A60" s="29" t="s">
        <v>375</v>
      </c>
      <c r="B60" s="33" t="s">
        <v>355</v>
      </c>
      <c r="C60" s="28" t="s">
        <v>8</v>
      </c>
      <c r="D60" s="241">
        <f>+D59</f>
        <v>117598.70905172413</v>
      </c>
      <c r="E60" s="31"/>
      <c r="F60" s="32">
        <f>+F38</f>
        <v>0.2</v>
      </c>
      <c r="G60" s="25">
        <f t="shared" si="3"/>
        <v>23519.741810344829</v>
      </c>
      <c r="H60" s="361"/>
      <c r="I60" s="353"/>
      <c r="J60" s="354"/>
      <c r="K60" s="355"/>
      <c r="L60" s="355"/>
      <c r="M60" s="355"/>
      <c r="N60" s="355"/>
      <c r="O60" s="355"/>
      <c r="P60" s="355"/>
      <c r="Q60" s="355"/>
      <c r="R60" s="355">
        <f>+G60/$G$18</f>
        <v>1.8927854713921093E-2</v>
      </c>
      <c r="S60" s="347" t="s">
        <v>279</v>
      </c>
      <c r="T60" s="348">
        <f>+G60/$G$21</f>
        <v>1.8927854713921093E-2</v>
      </c>
      <c r="U60" s="347" t="s">
        <v>279</v>
      </c>
      <c r="V60" s="355"/>
      <c r="W60" s="355"/>
      <c r="X60" s="355"/>
      <c r="Y60" s="355"/>
    </row>
    <row r="61" spans="1:25">
      <c r="A61" s="19">
        <v>5</v>
      </c>
      <c r="B61" s="20" t="s">
        <v>29</v>
      </c>
      <c r="C61" s="36"/>
      <c r="D61" s="240"/>
      <c r="F61" s="26"/>
      <c r="G61" s="36">
        <f>+SUM(G62:G66)</f>
        <v>167532</v>
      </c>
      <c r="H61" s="364"/>
      <c r="I61" s="362"/>
      <c r="J61" s="350"/>
      <c r="K61" s="343"/>
      <c r="L61" s="359"/>
      <c r="M61" s="359"/>
      <c r="N61" s="359"/>
      <c r="O61" s="359"/>
      <c r="P61" s="359"/>
      <c r="Q61" s="359"/>
      <c r="R61" s="359"/>
      <c r="S61" s="359"/>
      <c r="T61" s="359"/>
      <c r="U61" s="359"/>
      <c r="V61" s="359"/>
      <c r="W61" s="359"/>
      <c r="X61" s="359"/>
      <c r="Y61" s="359"/>
    </row>
    <row r="62" spans="1:25">
      <c r="A62" s="29" t="s">
        <v>20</v>
      </c>
      <c r="B62" s="37" t="s">
        <v>349</v>
      </c>
      <c r="C62" s="30" t="s">
        <v>8</v>
      </c>
      <c r="D62" s="241">
        <v>12000</v>
      </c>
      <c r="E62" s="32"/>
      <c r="F62" s="28">
        <v>2</v>
      </c>
      <c r="G62" s="25">
        <f t="shared" si="3"/>
        <v>24000</v>
      </c>
      <c r="H62" s="365"/>
      <c r="J62" s="337"/>
      <c r="K62" s="344"/>
      <c r="L62" s="344"/>
      <c r="M62" s="344"/>
      <c r="N62" s="344"/>
      <c r="O62" s="344"/>
      <c r="P62" s="344"/>
      <c r="Q62" s="344"/>
      <c r="R62" s="344"/>
      <c r="S62" s="344"/>
      <c r="T62" s="344"/>
      <c r="U62" s="344"/>
      <c r="V62" s="344"/>
      <c r="W62" s="344"/>
      <c r="X62" s="344"/>
      <c r="Y62" s="344"/>
    </row>
    <row r="63" spans="1:25">
      <c r="A63" s="29" t="s">
        <v>341</v>
      </c>
      <c r="B63" s="37" t="s">
        <v>350</v>
      </c>
      <c r="C63" s="30" t="s">
        <v>8</v>
      </c>
      <c r="D63" s="241">
        <f>+D62</f>
        <v>12000</v>
      </c>
      <c r="E63" s="32"/>
      <c r="F63" s="28">
        <v>4</v>
      </c>
      <c r="G63" s="25">
        <f t="shared" si="3"/>
        <v>48000</v>
      </c>
      <c r="H63" s="365"/>
      <c r="J63" s="337"/>
      <c r="K63" s="344"/>
      <c r="L63" s="344">
        <f>+G63/$G$9</f>
        <v>1.8325303280934766E-3</v>
      </c>
      <c r="M63" s="344" t="s">
        <v>279</v>
      </c>
      <c r="N63" s="344"/>
      <c r="O63" s="344"/>
      <c r="P63" s="344"/>
      <c r="Q63" s="344"/>
      <c r="R63" s="344"/>
      <c r="S63" s="344"/>
      <c r="T63" s="344"/>
      <c r="U63" s="344"/>
      <c r="V63" s="344"/>
      <c r="W63" s="344"/>
      <c r="X63" s="344"/>
      <c r="Y63" s="344"/>
    </row>
    <row r="64" spans="1:25">
      <c r="A64" s="29" t="s">
        <v>315</v>
      </c>
      <c r="B64" s="37" t="s">
        <v>351</v>
      </c>
      <c r="C64" s="30" t="s">
        <v>8</v>
      </c>
      <c r="D64" s="241">
        <f>+D63</f>
        <v>12000</v>
      </c>
      <c r="E64" s="32"/>
      <c r="F64" s="28">
        <v>1</v>
      </c>
      <c r="G64" s="25">
        <f t="shared" si="3"/>
        <v>12000</v>
      </c>
      <c r="H64" s="365"/>
      <c r="J64" s="337"/>
      <c r="K64" s="344"/>
      <c r="L64" s="344"/>
      <c r="M64" s="344"/>
      <c r="N64" s="344">
        <f>+G64/$G$12</f>
        <v>3.4209301819980798E-3</v>
      </c>
      <c r="O64" s="344" t="s">
        <v>279</v>
      </c>
      <c r="P64" s="344">
        <f>+G64/$G$15</f>
        <v>2.0476477440556544E-3</v>
      </c>
      <c r="Q64" s="344" t="s">
        <v>279</v>
      </c>
      <c r="R64" s="344">
        <f>+G64/$G$18</f>
        <v>9.6571747427580731E-3</v>
      </c>
      <c r="S64" s="344" t="s">
        <v>279</v>
      </c>
      <c r="T64" s="344">
        <f>+G64/$G$21</f>
        <v>9.6571747427580731E-3</v>
      </c>
      <c r="U64" s="344" t="s">
        <v>279</v>
      </c>
      <c r="V64" s="344"/>
      <c r="W64" s="344"/>
      <c r="X64" s="344"/>
      <c r="Y64" s="344"/>
    </row>
    <row r="65" spans="1:25">
      <c r="A65" s="29" t="s">
        <v>342</v>
      </c>
      <c r="B65" s="37" t="s">
        <v>354</v>
      </c>
      <c r="C65" s="30" t="s">
        <v>352</v>
      </c>
      <c r="D65" s="241">
        <v>150</v>
      </c>
      <c r="E65" s="32"/>
      <c r="F65" s="28">
        <v>2</v>
      </c>
      <c r="G65" s="25">
        <f>+$D65*F65</f>
        <v>300</v>
      </c>
      <c r="H65" s="365"/>
      <c r="J65" s="337"/>
      <c r="K65" s="344"/>
      <c r="L65" s="344"/>
      <c r="M65" s="344"/>
      <c r="N65" s="344"/>
      <c r="O65" s="344"/>
      <c r="P65" s="344"/>
      <c r="Q65" s="344"/>
      <c r="R65" s="344"/>
      <c r="S65" s="344"/>
      <c r="T65" s="344"/>
      <c r="U65" s="344"/>
      <c r="V65" s="344">
        <f>+G65/$G$24</f>
        <v>3.7687482217688953E-4</v>
      </c>
      <c r="W65" s="344" t="s">
        <v>279</v>
      </c>
      <c r="X65" s="344"/>
      <c r="Y65" s="344"/>
    </row>
    <row r="66" spans="1:25">
      <c r="A66" s="29" t="s">
        <v>343</v>
      </c>
      <c r="B66" s="37" t="s">
        <v>344</v>
      </c>
      <c r="C66" s="30" t="s">
        <v>8</v>
      </c>
      <c r="D66" s="241">
        <f>48*C1</f>
        <v>41616</v>
      </c>
      <c r="E66" s="32"/>
      <c r="F66" s="28">
        <v>2</v>
      </c>
      <c r="G66" s="25">
        <f t="shared" si="3"/>
        <v>83232</v>
      </c>
      <c r="H66" s="365"/>
      <c r="J66" s="337"/>
      <c r="K66" s="344"/>
      <c r="L66" s="344"/>
      <c r="M66" s="344"/>
      <c r="N66" s="344"/>
      <c r="O66" s="344"/>
      <c r="P66" s="344"/>
      <c r="Q66" s="344"/>
      <c r="R66" s="344"/>
      <c r="S66" s="344"/>
      <c r="T66" s="344"/>
      <c r="U66" s="344"/>
      <c r="V66" s="344"/>
      <c r="W66" s="344"/>
      <c r="X66" s="344"/>
      <c r="Y66" s="344"/>
    </row>
    <row r="67" spans="1:25">
      <c r="A67" s="29" t="s">
        <v>357</v>
      </c>
      <c r="B67" s="37" t="s">
        <v>345</v>
      </c>
      <c r="C67" s="30" t="s">
        <v>8</v>
      </c>
      <c r="D67" s="241">
        <f>+D66</f>
        <v>41616</v>
      </c>
      <c r="E67" s="32"/>
      <c r="F67" s="28">
        <v>1</v>
      </c>
      <c r="G67" s="25">
        <f t="shared" si="3"/>
        <v>41616</v>
      </c>
      <c r="H67" s="365"/>
      <c r="J67" s="337"/>
      <c r="K67" s="344"/>
      <c r="L67" s="344"/>
      <c r="M67" s="344"/>
      <c r="N67" s="344">
        <f>+G67/$G$12</f>
        <v>1.1863785871169341E-2</v>
      </c>
      <c r="O67" s="344" t="s">
        <v>279</v>
      </c>
      <c r="P67" s="344"/>
      <c r="Q67" s="344"/>
      <c r="R67" s="344"/>
      <c r="S67" s="344"/>
      <c r="T67" s="344"/>
      <c r="U67" s="344"/>
      <c r="V67" s="344"/>
      <c r="W67" s="344"/>
      <c r="X67" s="344"/>
      <c r="Y67" s="344"/>
    </row>
    <row r="68" spans="1:25">
      <c r="A68" s="29" t="s">
        <v>358</v>
      </c>
      <c r="B68" s="37" t="s">
        <v>346</v>
      </c>
      <c r="C68" s="30" t="s">
        <v>8</v>
      </c>
      <c r="D68" s="241">
        <f>+D67</f>
        <v>41616</v>
      </c>
      <c r="E68" s="32"/>
      <c r="F68" s="28">
        <v>1</v>
      </c>
      <c r="G68" s="25">
        <f t="shared" si="3"/>
        <v>41616</v>
      </c>
      <c r="H68" s="365"/>
      <c r="J68" s="341">
        <f>+G68/$G$6</f>
        <v>2.1567873247787897E-3</v>
      </c>
      <c r="K68" s="344" t="s">
        <v>279</v>
      </c>
      <c r="L68" s="344"/>
      <c r="M68" s="344"/>
      <c r="N68" s="344"/>
      <c r="O68" s="344"/>
      <c r="P68" s="344"/>
      <c r="Q68" s="344"/>
      <c r="R68" s="344"/>
      <c r="S68" s="344"/>
      <c r="T68" s="344"/>
      <c r="U68" s="344"/>
      <c r="V68" s="344"/>
      <c r="W68" s="344"/>
      <c r="X68" s="344"/>
      <c r="Y68" s="344"/>
    </row>
    <row r="69" spans="1:25">
      <c r="A69" s="29" t="s">
        <v>359</v>
      </c>
      <c r="B69" s="37" t="s">
        <v>347</v>
      </c>
      <c r="C69" s="30" t="s">
        <v>352</v>
      </c>
      <c r="D69" s="241">
        <f>+D68/20</f>
        <v>2080.8000000000002</v>
      </c>
      <c r="E69" s="32"/>
      <c r="F69" s="28">
        <v>1</v>
      </c>
      <c r="G69" s="25">
        <f t="shared" si="3"/>
        <v>2080.8000000000002</v>
      </c>
      <c r="H69" s="366"/>
      <c r="I69" s="363"/>
      <c r="J69" s="342"/>
      <c r="K69" s="348"/>
      <c r="L69" s="348"/>
      <c r="M69" s="348"/>
      <c r="N69" s="348"/>
      <c r="O69" s="348"/>
      <c r="P69" s="348"/>
      <c r="Q69" s="348"/>
      <c r="R69" s="348"/>
      <c r="S69" s="348"/>
      <c r="T69" s="348"/>
      <c r="U69" s="348"/>
      <c r="V69" s="348">
        <f>+G69/$G$24</f>
        <v>2.6140037666189057E-3</v>
      </c>
      <c r="W69" s="348" t="s">
        <v>279</v>
      </c>
      <c r="X69" s="348"/>
      <c r="Y69" s="348"/>
    </row>
  </sheetData>
  <mergeCells count="12">
    <mergeCell ref="V1:W1"/>
    <mergeCell ref="X1:Y1"/>
    <mergeCell ref="A6:A8"/>
    <mergeCell ref="A9:A11"/>
    <mergeCell ref="H29:I29"/>
    <mergeCell ref="J1:K1"/>
    <mergeCell ref="T1:U1"/>
    <mergeCell ref="L1:M1"/>
    <mergeCell ref="N1:O1"/>
    <mergeCell ref="P1:Q1"/>
    <mergeCell ref="R1:S1"/>
    <mergeCell ref="F4:G4"/>
  </mergeCells>
  <pageMargins left="0.7" right="0.7" top="0.75" bottom="0.75" header="0.3" footer="0.3"/>
  <pageSetup orientation="portrait" r:id="rId1"/>
  <ignoredErrors>
    <ignoredError sqref="G47 G55 G61" formula="1"/>
  </ignoredError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B2:G9"/>
  <sheetViews>
    <sheetView showGridLines="0" workbookViewId="0">
      <selection activeCell="C10" sqref="C10"/>
    </sheetView>
  </sheetViews>
  <sheetFormatPr baseColWidth="10" defaultRowHeight="15"/>
  <cols>
    <col min="1" max="1" width="2.42578125" customWidth="1"/>
    <col min="2" max="2" width="24" style="263" customWidth="1"/>
    <col min="3" max="3" width="19.42578125" style="263" customWidth="1"/>
    <col min="4" max="5" width="11.42578125" style="263"/>
    <col min="6" max="6" width="19.42578125" customWidth="1"/>
  </cols>
  <sheetData>
    <row r="2" spans="2:7">
      <c r="B2" s="415" t="s">
        <v>381</v>
      </c>
      <c r="C2" s="415" t="s">
        <v>1161</v>
      </c>
      <c r="D2" s="415" t="s">
        <v>382</v>
      </c>
      <c r="E2" s="415" t="s">
        <v>383</v>
      </c>
    </row>
    <row r="3" spans="2:7">
      <c r="B3" s="309" t="s">
        <v>269</v>
      </c>
      <c r="C3" s="310">
        <f>5143946*1.3</f>
        <v>6687129.7999999998</v>
      </c>
      <c r="D3" s="310">
        <f>+C3/180*1.5</f>
        <v>55726.081666666665</v>
      </c>
      <c r="E3" s="310">
        <f>+C3/180*2</f>
        <v>74301.44222222222</v>
      </c>
    </row>
    <row r="4" spans="2:7">
      <c r="B4" s="309" t="s">
        <v>270</v>
      </c>
      <c r="C4" s="310">
        <f>3905780*1.3</f>
        <v>5077514</v>
      </c>
      <c r="D4" s="310">
        <f t="shared" ref="D4:D9" si="0">+C4/180*1.5</f>
        <v>42312.616666666669</v>
      </c>
      <c r="E4" s="310">
        <f t="shared" ref="E4:E9" si="1">+C4/180*2</f>
        <v>56416.822222222225</v>
      </c>
    </row>
    <row r="5" spans="2:7">
      <c r="B5" s="309" t="s">
        <v>273</v>
      </c>
      <c r="C5" s="310">
        <f>3323687*1.3</f>
        <v>4320793.1000000006</v>
      </c>
      <c r="D5" s="310">
        <f t="shared" si="0"/>
        <v>36006.609166666676</v>
      </c>
      <c r="E5" s="310">
        <f t="shared" si="1"/>
        <v>48008.81222222223</v>
      </c>
    </row>
    <row r="6" spans="2:7">
      <c r="B6" s="309" t="s">
        <v>271</v>
      </c>
      <c r="C6" s="310">
        <f>3323687*1.3</f>
        <v>4320793.1000000006</v>
      </c>
      <c r="D6" s="310">
        <f t="shared" si="0"/>
        <v>36006.609166666676</v>
      </c>
      <c r="E6" s="310">
        <f t="shared" si="1"/>
        <v>48008.81222222223</v>
      </c>
    </row>
    <row r="7" spans="2:7">
      <c r="B7" s="309" t="s">
        <v>380</v>
      </c>
      <c r="C7" s="310">
        <f>3323687*1.3</f>
        <v>4320793.1000000006</v>
      </c>
      <c r="D7" s="310">
        <f>+C7/180*1.5</f>
        <v>36006.609166666676</v>
      </c>
      <c r="E7" s="310">
        <f>+C7/180*2</f>
        <v>48008.81222222223</v>
      </c>
      <c r="G7">
        <f>+E7*2</f>
        <v>96017.62444444446</v>
      </c>
    </row>
    <row r="8" spans="2:7">
      <c r="B8" s="309" t="s">
        <v>272</v>
      </c>
      <c r="C8" s="310">
        <f>3323687*1.3</f>
        <v>4320793.1000000006</v>
      </c>
      <c r="D8" s="310">
        <f t="shared" si="0"/>
        <v>36006.609166666676</v>
      </c>
      <c r="E8" s="310">
        <f t="shared" si="1"/>
        <v>48008.81222222223</v>
      </c>
    </row>
    <row r="9" spans="2:7">
      <c r="B9" s="309" t="s">
        <v>302</v>
      </c>
      <c r="C9" s="310">
        <f>3323687*1.3</f>
        <v>4320793.1000000006</v>
      </c>
      <c r="D9" s="310">
        <f t="shared" si="0"/>
        <v>36006.609166666676</v>
      </c>
      <c r="E9" s="310">
        <f t="shared" si="1"/>
        <v>48008.81222222223</v>
      </c>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tabColor theme="0" tint="-0.14999847407452621"/>
  </sheetPr>
  <dimension ref="B1:N28"/>
  <sheetViews>
    <sheetView showGridLines="0" topLeftCell="A13" zoomScale="106" zoomScaleNormal="106" workbookViewId="0">
      <selection activeCell="F18" sqref="F18"/>
    </sheetView>
  </sheetViews>
  <sheetFormatPr baseColWidth="10" defaultColWidth="11.42578125" defaultRowHeight="12.75"/>
  <cols>
    <col min="1" max="1" width="2" style="44" customWidth="1"/>
    <col min="2" max="2" width="43.28515625" style="44" customWidth="1"/>
    <col min="3" max="3" width="9.5703125" style="44" bestFit="1" customWidth="1"/>
    <col min="4" max="4" width="11.140625" style="44" bestFit="1" customWidth="1"/>
    <col min="5" max="5" width="2" style="43" customWidth="1"/>
    <col min="6" max="6" width="10.7109375" style="96" customWidth="1"/>
    <col min="7" max="7" width="12.140625" style="96" bestFit="1" customWidth="1"/>
    <col min="8" max="8" width="2.140625" style="96" customWidth="1"/>
    <col min="9" max="10" width="10.7109375" style="96" customWidth="1"/>
    <col min="11" max="11" width="11.5703125" style="96" customWidth="1"/>
    <col min="12" max="13" width="10.7109375" style="96" customWidth="1"/>
    <col min="14" max="14" width="11.140625" style="96" customWidth="1"/>
    <col min="15" max="15" width="3.28515625" style="44" customWidth="1"/>
    <col min="16" max="16384" width="11.42578125" style="44"/>
  </cols>
  <sheetData>
    <row r="1" spans="2:14" ht="20.100000000000001" customHeight="1">
      <c r="B1" s="40" t="s">
        <v>33</v>
      </c>
      <c r="C1" s="41" t="s">
        <v>34</v>
      </c>
      <c r="D1" s="42">
        <f>+'1. S'!C1</f>
        <v>867</v>
      </c>
    </row>
    <row r="2" spans="2:14" ht="20.100000000000001" customHeight="1"/>
    <row r="3" spans="2:14" ht="39.950000000000003" customHeight="1">
      <c r="B3" s="45" t="s">
        <v>56</v>
      </c>
      <c r="C3" s="46" t="s">
        <v>36</v>
      </c>
      <c r="D3" s="46" t="s">
        <v>37</v>
      </c>
      <c r="E3" s="47"/>
      <c r="F3" s="47"/>
      <c r="G3" s="47"/>
      <c r="H3" s="47"/>
      <c r="I3" s="44"/>
      <c r="J3" s="44"/>
    </row>
    <row r="4" spans="2:14" ht="20.100000000000001" customHeight="1">
      <c r="B4" s="48"/>
      <c r="C4" s="49"/>
      <c r="D4" s="243"/>
      <c r="E4" s="51"/>
      <c r="F4" s="53"/>
      <c r="G4" s="245"/>
      <c r="H4" s="51"/>
      <c r="I4" s="44"/>
      <c r="J4" s="44"/>
    </row>
    <row r="5" spans="2:14" ht="20.100000000000001" customHeight="1">
      <c r="B5" s="48"/>
      <c r="C5" s="49"/>
      <c r="D5" s="243"/>
      <c r="E5" s="51"/>
      <c r="F5" s="53"/>
      <c r="G5" s="245"/>
      <c r="H5" s="51"/>
      <c r="I5" s="44"/>
      <c r="J5" s="44"/>
    </row>
    <row r="6" spans="2:14" ht="20.100000000000001" customHeight="1">
      <c r="B6" s="48" t="s">
        <v>40</v>
      </c>
      <c r="C6" s="49">
        <f>+D6/$D$1</f>
        <v>1666.6666666666667</v>
      </c>
      <c r="D6" s="243">
        <f>+D17</f>
        <v>1445000</v>
      </c>
      <c r="E6" s="51"/>
      <c r="F6" s="53"/>
      <c r="G6" s="245"/>
      <c r="H6" s="51"/>
      <c r="I6" s="44"/>
      <c r="J6" s="44"/>
    </row>
    <row r="7" spans="2:14" ht="20.100000000000001" customHeight="1">
      <c r="B7" s="48" t="s">
        <v>41</v>
      </c>
      <c r="C7" s="49">
        <f>+D7/$D$1</f>
        <v>2280.0833333333335</v>
      </c>
      <c r="D7" s="243">
        <f>+D6+D18</f>
        <v>1976832.25</v>
      </c>
      <c r="E7" s="51"/>
      <c r="F7" s="53"/>
      <c r="G7" s="245"/>
      <c r="H7" s="51"/>
      <c r="I7" s="44"/>
      <c r="J7" s="44"/>
    </row>
    <row r="8" spans="2:14" ht="20.100000000000001" customHeight="1">
      <c r="B8" s="48" t="s">
        <v>42</v>
      </c>
      <c r="C8" s="49">
        <f>+D8/$D$1</f>
        <v>275</v>
      </c>
      <c r="D8" s="243">
        <f>+D19</f>
        <v>238425</v>
      </c>
      <c r="E8" s="51"/>
      <c r="F8" s="53"/>
      <c r="G8" s="245"/>
      <c r="H8" s="51"/>
      <c r="I8" s="44"/>
      <c r="J8" s="44"/>
    </row>
    <row r="9" spans="2:14" ht="20.100000000000001" customHeight="1">
      <c r="B9" s="52"/>
      <c r="C9" s="53"/>
      <c r="D9" s="54"/>
      <c r="E9" s="51"/>
      <c r="F9" s="53"/>
      <c r="G9" s="97"/>
    </row>
    <row r="10" spans="2:14" s="59" customFormat="1" ht="20.100000000000001" customHeight="1">
      <c r="B10" s="55"/>
      <c r="C10" s="56"/>
      <c r="D10" s="57"/>
      <c r="E10" s="58"/>
      <c r="F10" s="56"/>
      <c r="G10" s="98"/>
      <c r="H10" s="99"/>
      <c r="I10" s="99"/>
      <c r="J10" s="99"/>
      <c r="K10" s="99"/>
      <c r="L10" s="99"/>
      <c r="M10" s="99"/>
      <c r="N10" s="99"/>
    </row>
    <row r="11" spans="2:14" ht="20.100000000000001" customHeight="1"/>
    <row r="12" spans="2:14" ht="20.100000000000001" customHeight="1">
      <c r="G12" s="100"/>
      <c r="H12" s="101"/>
      <c r="I12" s="906" t="s">
        <v>57</v>
      </c>
      <c r="J12" s="907"/>
      <c r="K12" s="907"/>
      <c r="L12" s="907"/>
      <c r="M12" s="907"/>
      <c r="N12" s="908"/>
    </row>
    <row r="13" spans="2:14" ht="20.100000000000001" customHeight="1">
      <c r="G13" s="102"/>
      <c r="H13" s="103"/>
      <c r="I13" s="909" t="s">
        <v>58</v>
      </c>
      <c r="J13" s="910"/>
      <c r="K13" s="911"/>
      <c r="L13" s="912"/>
      <c r="M13" s="912"/>
      <c r="N13" s="914" t="s">
        <v>59</v>
      </c>
    </row>
    <row r="14" spans="2:14" s="62" customFormat="1" ht="39.950000000000003" customHeight="1">
      <c r="B14" s="45" t="s">
        <v>48</v>
      </c>
      <c r="C14" s="46" t="s">
        <v>36</v>
      </c>
      <c r="D14" s="46" t="s">
        <v>37</v>
      </c>
      <c r="E14" s="47"/>
      <c r="F14" s="46" t="s">
        <v>60</v>
      </c>
      <c r="G14" s="46" t="s">
        <v>61</v>
      </c>
      <c r="H14" s="104"/>
      <c r="I14" s="105" t="s">
        <v>62</v>
      </c>
      <c r="J14" s="60" t="s">
        <v>63</v>
      </c>
      <c r="K14" s="61" t="s">
        <v>64</v>
      </c>
      <c r="L14" s="913"/>
      <c r="M14" s="913"/>
      <c r="N14" s="915"/>
    </row>
    <row r="15" spans="2:14" ht="20.100000000000001" customHeight="1">
      <c r="B15" s="48" t="s">
        <v>259</v>
      </c>
      <c r="C15" s="49">
        <f t="shared" ref="C15:C20" si="0">+D15/$D$1</f>
        <v>482.83666666666659</v>
      </c>
      <c r="D15" s="243">
        <f t="shared" ref="D15:D20" si="1">+N15</f>
        <v>418619.38999999996</v>
      </c>
      <c r="E15" s="51"/>
      <c r="F15" s="49">
        <v>41386</v>
      </c>
      <c r="G15" s="244">
        <f>+F15*D1</f>
        <v>35881662</v>
      </c>
      <c r="I15" s="106">
        <v>0.3</v>
      </c>
      <c r="J15" s="107">
        <v>60</v>
      </c>
      <c r="K15" s="108">
        <f t="shared" ref="K15:K20" si="2">((G15)*(1-I15))/J15</f>
        <v>418619.38999999996</v>
      </c>
      <c r="L15" s="63"/>
      <c r="M15" s="63"/>
      <c r="N15" s="64">
        <f t="shared" ref="N15:N20" si="3">K15+L15+M15</f>
        <v>418619.38999999996</v>
      </c>
    </row>
    <row r="16" spans="2:14" ht="20.100000000000001" customHeight="1">
      <c r="B16" s="48" t="s">
        <v>260</v>
      </c>
      <c r="C16" s="49">
        <f t="shared" si="0"/>
        <v>482.83666666666659</v>
      </c>
      <c r="D16" s="243">
        <f t="shared" si="1"/>
        <v>418619.38999999996</v>
      </c>
      <c r="E16" s="51"/>
      <c r="F16" s="49">
        <v>41386</v>
      </c>
      <c r="G16" s="244">
        <f>+F16*D1</f>
        <v>35881662</v>
      </c>
      <c r="I16" s="106">
        <v>0.3</v>
      </c>
      <c r="J16" s="107">
        <v>60</v>
      </c>
      <c r="K16" s="108">
        <f t="shared" si="2"/>
        <v>418619.38999999996</v>
      </c>
      <c r="L16" s="63"/>
      <c r="M16" s="63"/>
      <c r="N16" s="64">
        <f t="shared" si="3"/>
        <v>418619.38999999996</v>
      </c>
    </row>
    <row r="17" spans="2:14" ht="20.100000000000001" customHeight="1">
      <c r="B17" s="48" t="s">
        <v>316</v>
      </c>
      <c r="C17" s="49">
        <f t="shared" si="0"/>
        <v>1666.6666666666667</v>
      </c>
      <c r="D17" s="243">
        <f t="shared" si="1"/>
        <v>1445000</v>
      </c>
      <c r="E17" s="51"/>
      <c r="F17" s="49">
        <v>100000</v>
      </c>
      <c r="G17" s="244">
        <f>+F17*D1</f>
        <v>86700000</v>
      </c>
      <c r="H17" s="109"/>
      <c r="I17" s="106">
        <v>0</v>
      </c>
      <c r="J17" s="107">
        <v>60</v>
      </c>
      <c r="K17" s="108">
        <f t="shared" si="2"/>
        <v>1445000</v>
      </c>
      <c r="L17" s="63"/>
      <c r="M17" s="63"/>
      <c r="N17" s="64">
        <f t="shared" si="3"/>
        <v>1445000</v>
      </c>
    </row>
    <row r="18" spans="2:14" ht="19.5" customHeight="1">
      <c r="B18" s="65" t="s">
        <v>261</v>
      </c>
      <c r="C18" s="49">
        <f t="shared" si="0"/>
        <v>613.41666666666663</v>
      </c>
      <c r="D18" s="243">
        <f t="shared" si="1"/>
        <v>531832.25</v>
      </c>
      <c r="E18" s="51"/>
      <c r="F18" s="49">
        <v>36805</v>
      </c>
      <c r="G18" s="244">
        <f>+F18*$D$1</f>
        <v>31909935</v>
      </c>
      <c r="H18" s="109"/>
      <c r="I18" s="106">
        <v>0</v>
      </c>
      <c r="J18" s="107">
        <v>60</v>
      </c>
      <c r="K18" s="108">
        <f t="shared" si="2"/>
        <v>531832.25</v>
      </c>
      <c r="L18" s="63"/>
      <c r="M18" s="63"/>
      <c r="N18" s="64">
        <f t="shared" si="3"/>
        <v>531832.25</v>
      </c>
    </row>
    <row r="19" spans="2:14" ht="19.5" customHeight="1">
      <c r="B19" s="65" t="s">
        <v>42</v>
      </c>
      <c r="C19" s="49">
        <f t="shared" si="0"/>
        <v>275</v>
      </c>
      <c r="D19" s="243">
        <f t="shared" si="1"/>
        <v>238425</v>
      </c>
      <c r="E19" s="51"/>
      <c r="F19" s="49">
        <v>33000</v>
      </c>
      <c r="G19" s="244">
        <f>+F19*$D$1</f>
        <v>28611000</v>
      </c>
      <c r="H19" s="109"/>
      <c r="I19" s="106">
        <v>0</v>
      </c>
      <c r="J19" s="107">
        <f>10*12</f>
        <v>120</v>
      </c>
      <c r="K19" s="108">
        <f t="shared" si="2"/>
        <v>238425</v>
      </c>
      <c r="L19" s="63"/>
      <c r="M19" s="63"/>
      <c r="N19" s="64">
        <f t="shared" si="3"/>
        <v>238425</v>
      </c>
    </row>
    <row r="20" spans="2:14">
      <c r="B20" s="65" t="s">
        <v>317</v>
      </c>
      <c r="C20" s="49">
        <f t="shared" si="0"/>
        <v>208.33333333333334</v>
      </c>
      <c r="D20" s="243">
        <f t="shared" si="1"/>
        <v>180625</v>
      </c>
      <c r="E20" s="51"/>
      <c r="F20" s="49">
        <v>25000</v>
      </c>
      <c r="G20" s="244">
        <f>+F20*D1</f>
        <v>21675000</v>
      </c>
      <c r="H20" s="109"/>
      <c r="I20" s="106">
        <v>0</v>
      </c>
      <c r="J20" s="107">
        <f>10*12</f>
        <v>120</v>
      </c>
      <c r="K20" s="108">
        <f t="shared" si="2"/>
        <v>180625</v>
      </c>
      <c r="L20" s="63"/>
      <c r="M20" s="63"/>
      <c r="N20" s="64">
        <f t="shared" si="3"/>
        <v>180625</v>
      </c>
    </row>
    <row r="26" spans="2:14">
      <c r="M26" s="96">
        <v>190</v>
      </c>
    </row>
    <row r="27" spans="2:14">
      <c r="M27" s="96">
        <v>202</v>
      </c>
    </row>
    <row r="28" spans="2:14">
      <c r="M28" s="96">
        <f>+M27/M26-1</f>
        <v>6.315789473684208E-2</v>
      </c>
    </row>
  </sheetData>
  <mergeCells count="5">
    <mergeCell ref="I12:N12"/>
    <mergeCell ref="I13:K13"/>
    <mergeCell ref="L13:L14"/>
    <mergeCell ref="M13:M14"/>
    <mergeCell ref="N13:N14"/>
  </mergeCell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tabColor theme="0" tint="-0.14999847407452621"/>
  </sheetPr>
  <dimension ref="A1:T23"/>
  <sheetViews>
    <sheetView showGridLines="0" topLeftCell="H8" workbookViewId="0">
      <selection activeCell="P23" sqref="P23"/>
    </sheetView>
  </sheetViews>
  <sheetFormatPr baseColWidth="10" defaultColWidth="11.42578125" defaultRowHeight="18.75"/>
  <cols>
    <col min="1" max="1" width="2" style="66" customWidth="1"/>
    <col min="2" max="2" width="57.5703125" style="66" bestFit="1" customWidth="1"/>
    <col min="3" max="3" width="13.7109375" style="66" bestFit="1" customWidth="1"/>
    <col min="4" max="4" width="21" style="66" customWidth="1"/>
    <col min="5" max="5" width="2" style="67" customWidth="1"/>
    <col min="6" max="6" width="23.5703125" style="66" bestFit="1" customWidth="1"/>
    <col min="7" max="7" width="9.85546875" style="66" bestFit="1" customWidth="1"/>
    <col min="8" max="8" width="18" style="66" bestFit="1" customWidth="1"/>
    <col min="9" max="9" width="15.85546875" style="66" bestFit="1" customWidth="1"/>
    <col min="10" max="10" width="20" style="66" customWidth="1"/>
    <col min="11" max="11" width="9.85546875" style="66" bestFit="1" customWidth="1"/>
    <col min="12" max="12" width="18" style="66" bestFit="1" customWidth="1"/>
    <col min="13" max="13" width="15.85546875" style="66" bestFit="1" customWidth="1"/>
    <col min="14" max="19" width="18.7109375" style="66" customWidth="1"/>
    <col min="20" max="20" width="28.5703125" style="66" bestFit="1" customWidth="1"/>
    <col min="21" max="16384" width="11.42578125" style="66"/>
  </cols>
  <sheetData>
    <row r="1" spans="1:20">
      <c r="B1" s="95" t="s">
        <v>32</v>
      </c>
    </row>
    <row r="3" spans="1:20" ht="20.100000000000001" customHeight="1">
      <c r="B3" s="68" t="s">
        <v>33</v>
      </c>
      <c r="C3" s="69" t="s">
        <v>34</v>
      </c>
      <c r="D3" s="70">
        <f>+'2.IER'!D1</f>
        <v>867</v>
      </c>
    </row>
    <row r="4" spans="1:20" ht="20.100000000000001" customHeight="1"/>
    <row r="5" spans="1:20" ht="39.950000000000003" customHeight="1">
      <c r="B5" s="71" t="s">
        <v>35</v>
      </c>
      <c r="C5" s="72" t="s">
        <v>36</v>
      </c>
      <c r="D5" s="72" t="s">
        <v>37</v>
      </c>
      <c r="E5" s="73"/>
    </row>
    <row r="6" spans="1:20" ht="20.100000000000001" customHeight="1">
      <c r="B6" s="48" t="s">
        <v>334</v>
      </c>
      <c r="C6" s="75">
        <f t="shared" ref="C6:C12" si="0">D6/$D$3</f>
        <v>775.34948096885819</v>
      </c>
      <c r="D6" s="248">
        <f>+D17</f>
        <v>672228</v>
      </c>
      <c r="E6" s="77"/>
      <c r="F6" s="66" t="s">
        <v>318</v>
      </c>
    </row>
    <row r="7" spans="1:20" ht="20.100000000000001" customHeight="1">
      <c r="B7" s="48" t="s">
        <v>335</v>
      </c>
      <c r="C7" s="75">
        <f t="shared" si="0"/>
        <v>539.26050420168065</v>
      </c>
      <c r="D7" s="248">
        <f t="shared" ref="D7:D12" si="1">+D18</f>
        <v>467538.8571428571</v>
      </c>
      <c r="E7" s="77"/>
      <c r="F7" s="66" t="s">
        <v>318</v>
      </c>
    </row>
    <row r="8" spans="1:20" ht="19.5" customHeight="1">
      <c r="B8" s="48" t="s">
        <v>338</v>
      </c>
      <c r="C8" s="75">
        <f t="shared" si="0"/>
        <v>269.63025210084032</v>
      </c>
      <c r="D8" s="248">
        <f t="shared" si="1"/>
        <v>233769.42857142855</v>
      </c>
      <c r="E8" s="77"/>
      <c r="F8" s="66" t="s">
        <v>318</v>
      </c>
    </row>
    <row r="9" spans="1:20" ht="20.100000000000001" customHeight="1">
      <c r="B9" s="48" t="s">
        <v>316</v>
      </c>
      <c r="C9" s="75">
        <f t="shared" si="0"/>
        <v>1246.8189158016148</v>
      </c>
      <c r="D9" s="248">
        <f t="shared" si="1"/>
        <v>1080992</v>
      </c>
      <c r="E9" s="77"/>
    </row>
    <row r="10" spans="1:20" ht="20.100000000000001" customHeight="1">
      <c r="B10" s="65" t="s">
        <v>261</v>
      </c>
      <c r="C10" s="75">
        <f t="shared" si="0"/>
        <v>55.278070307406857</v>
      </c>
      <c r="D10" s="248">
        <f t="shared" si="1"/>
        <v>47926.086956521744</v>
      </c>
      <c r="E10" s="77"/>
    </row>
    <row r="11" spans="1:20" ht="20.100000000000001" customHeight="1">
      <c r="B11" s="48" t="s">
        <v>42</v>
      </c>
      <c r="C11" s="75">
        <f t="shared" si="0"/>
        <v>284.65974625144173</v>
      </c>
      <c r="D11" s="248">
        <f t="shared" si="1"/>
        <v>246800</v>
      </c>
      <c r="E11" s="77"/>
    </row>
    <row r="12" spans="1:20" s="277" customFormat="1" ht="20.100000000000001" customHeight="1">
      <c r="A12" s="81"/>
      <c r="B12" s="48" t="s">
        <v>333</v>
      </c>
      <c r="C12" s="75">
        <f t="shared" si="0"/>
        <v>2122.4913494809689</v>
      </c>
      <c r="D12" s="248">
        <f t="shared" si="1"/>
        <v>1840200</v>
      </c>
      <c r="E12" s="77"/>
    </row>
    <row r="13" spans="1:20" ht="20.100000000000001" customHeight="1"/>
    <row r="14" spans="1:20" ht="20.100000000000001" customHeight="1">
      <c r="F14" s="916" t="s">
        <v>43</v>
      </c>
      <c r="G14" s="917"/>
      <c r="H14" s="917"/>
      <c r="I14" s="917"/>
      <c r="J14" s="917"/>
      <c r="K14" s="917"/>
      <c r="L14" s="917"/>
      <c r="M14" s="917"/>
      <c r="N14" s="917"/>
      <c r="O14" s="917"/>
      <c r="P14" s="917"/>
      <c r="Q14" s="917"/>
      <c r="R14" s="917"/>
      <c r="S14" s="917"/>
      <c r="T14" s="917"/>
    </row>
    <row r="15" spans="1:20" ht="20.100000000000001" customHeight="1">
      <c r="F15" s="918" t="s">
        <v>44</v>
      </c>
      <c r="G15" s="920" t="s">
        <v>45</v>
      </c>
      <c r="H15" s="921"/>
      <c r="I15" s="921"/>
      <c r="J15" s="922"/>
      <c r="K15" s="923" t="s">
        <v>46</v>
      </c>
      <c r="L15" s="924"/>
      <c r="M15" s="924"/>
      <c r="N15" s="925"/>
      <c r="O15" s="923" t="s">
        <v>512</v>
      </c>
      <c r="P15" s="924"/>
      <c r="Q15" s="924"/>
      <c r="R15" s="925"/>
      <c r="S15" s="416"/>
      <c r="T15" s="926" t="s">
        <v>47</v>
      </c>
    </row>
    <row r="16" spans="1:20" s="86" customFormat="1" ht="39.950000000000003" customHeight="1">
      <c r="B16" s="45" t="s">
        <v>48</v>
      </c>
      <c r="C16" s="46" t="s">
        <v>36</v>
      </c>
      <c r="D16" s="46" t="s">
        <v>37</v>
      </c>
      <c r="E16" s="73"/>
      <c r="F16" s="919"/>
      <c r="G16" s="87" t="s">
        <v>49</v>
      </c>
      <c r="H16" s="88" t="s">
        <v>50</v>
      </c>
      <c r="I16" s="89" t="s">
        <v>266</v>
      </c>
      <c r="J16" s="90" t="s">
        <v>52</v>
      </c>
      <c r="K16" s="87" t="s">
        <v>49</v>
      </c>
      <c r="L16" s="88" t="s">
        <v>50</v>
      </c>
      <c r="M16" s="89" t="s">
        <v>267</v>
      </c>
      <c r="N16" s="90" t="s">
        <v>52</v>
      </c>
      <c r="O16" s="407" t="s">
        <v>49</v>
      </c>
      <c r="P16" s="88" t="s">
        <v>514</v>
      </c>
      <c r="Q16" s="88" t="s">
        <v>0</v>
      </c>
      <c r="R16" s="89" t="s">
        <v>515</v>
      </c>
      <c r="S16" s="417" t="s">
        <v>159</v>
      </c>
      <c r="T16" s="927"/>
    </row>
    <row r="17" spans="2:20" ht="20.100000000000001" customHeight="1">
      <c r="B17" s="48" t="s">
        <v>334</v>
      </c>
      <c r="C17" s="49">
        <f t="shared" ref="C17:C23" si="2">D17/$D$3</f>
        <v>775.34948096885819</v>
      </c>
      <c r="D17" s="243">
        <f t="shared" ref="D17:D23" si="3">T17</f>
        <v>672228</v>
      </c>
      <c r="E17" s="77"/>
      <c r="F17" s="276">
        <f>+Cantidad!C4</f>
        <v>4260</v>
      </c>
      <c r="G17" s="91" t="s">
        <v>3</v>
      </c>
      <c r="H17" s="92">
        <v>1100</v>
      </c>
      <c r="I17" s="91">
        <v>10</v>
      </c>
      <c r="J17" s="246">
        <f>+H17*(F17/I17)</f>
        <v>468600</v>
      </c>
      <c r="K17" s="91" t="s">
        <v>54</v>
      </c>
      <c r="L17" s="92">
        <v>10000</v>
      </c>
      <c r="M17" s="91">
        <f>10/10000</f>
        <v>1E-3</v>
      </c>
      <c r="N17" s="246">
        <f>+M17*L17*F17</f>
        <v>42600</v>
      </c>
      <c r="O17" s="246" t="s">
        <v>513</v>
      </c>
      <c r="P17" s="246">
        <v>450000</v>
      </c>
      <c r="Q17" s="408">
        <v>4</v>
      </c>
      <c r="R17" s="246">
        <f>Q17*P17/50000</f>
        <v>36</v>
      </c>
      <c r="S17" s="418">
        <v>0.05</v>
      </c>
      <c r="T17" s="247">
        <f>J17+N17+R17*F17*(1+S17)</f>
        <v>672228</v>
      </c>
    </row>
    <row r="18" spans="2:20" ht="20.100000000000001" customHeight="1">
      <c r="B18" s="48" t="s">
        <v>335</v>
      </c>
      <c r="C18" s="49">
        <f t="shared" si="2"/>
        <v>539.26050420168065</v>
      </c>
      <c r="D18" s="243">
        <f t="shared" si="3"/>
        <v>467538.8571428571</v>
      </c>
      <c r="E18" s="77"/>
      <c r="F18" s="276">
        <f>+Cantidad!C5</f>
        <v>2962.8571428571427</v>
      </c>
      <c r="G18" s="91" t="s">
        <v>3</v>
      </c>
      <c r="H18" s="92">
        <f t="shared" ref="H18:H23" si="4">+H17</f>
        <v>1100</v>
      </c>
      <c r="I18" s="91">
        <v>10</v>
      </c>
      <c r="J18" s="246">
        <f t="shared" ref="J18:J23" si="5">+H18*(F18/I18)</f>
        <v>325914.28571428568</v>
      </c>
      <c r="K18" s="91" t="s">
        <v>54</v>
      </c>
      <c r="L18" s="92">
        <f>+L17</f>
        <v>10000</v>
      </c>
      <c r="M18" s="91">
        <f>+M17</f>
        <v>1E-3</v>
      </c>
      <c r="N18" s="246">
        <f t="shared" ref="N18:N23" si="6">+M18*L18*F18</f>
        <v>29628.571428571428</v>
      </c>
      <c r="O18" s="246" t="s">
        <v>513</v>
      </c>
      <c r="P18" s="246">
        <f>+P17</f>
        <v>450000</v>
      </c>
      <c r="Q18" s="408">
        <v>4</v>
      </c>
      <c r="R18" s="246">
        <f t="shared" ref="R18:R23" si="7">Q18*P18/50000</f>
        <v>36</v>
      </c>
      <c r="S18" s="418">
        <v>0.05</v>
      </c>
      <c r="T18" s="247">
        <f t="shared" ref="T18:T23" si="8">J18+N18+R18*F18*(1+S18)</f>
        <v>467538.8571428571</v>
      </c>
    </row>
    <row r="19" spans="2:20" ht="20.100000000000001" customHeight="1">
      <c r="B19" s="48" t="s">
        <v>336</v>
      </c>
      <c r="C19" s="49">
        <f t="shared" si="2"/>
        <v>269.63025210084032</v>
      </c>
      <c r="D19" s="243">
        <f t="shared" si="3"/>
        <v>233769.42857142855</v>
      </c>
      <c r="E19" s="77"/>
      <c r="F19" s="276">
        <f>+Cantidad!C6</f>
        <v>1481.4285714285713</v>
      </c>
      <c r="G19" s="91" t="s">
        <v>3</v>
      </c>
      <c r="H19" s="92">
        <f t="shared" si="4"/>
        <v>1100</v>
      </c>
      <c r="I19" s="91">
        <v>10</v>
      </c>
      <c r="J19" s="246">
        <f t="shared" si="5"/>
        <v>162957.14285714284</v>
      </c>
      <c r="K19" s="91" t="s">
        <v>54</v>
      </c>
      <c r="L19" s="92">
        <f>+L18</f>
        <v>10000</v>
      </c>
      <c r="M19" s="91">
        <f>+M18</f>
        <v>1E-3</v>
      </c>
      <c r="N19" s="246">
        <f t="shared" si="6"/>
        <v>14814.285714285714</v>
      </c>
      <c r="O19" s="246" t="s">
        <v>513</v>
      </c>
      <c r="P19" s="246">
        <f>+P18</f>
        <v>450000</v>
      </c>
      <c r="Q19" s="408">
        <v>4</v>
      </c>
      <c r="R19" s="246">
        <f t="shared" si="7"/>
        <v>36</v>
      </c>
      <c r="S19" s="418">
        <v>0.05</v>
      </c>
      <c r="T19" s="247">
        <f t="shared" si="8"/>
        <v>233769.42857142855</v>
      </c>
    </row>
    <row r="20" spans="2:20" ht="20.100000000000001" customHeight="1">
      <c r="B20" s="48" t="s">
        <v>316</v>
      </c>
      <c r="C20" s="49">
        <f t="shared" si="2"/>
        <v>1246.8189158016148</v>
      </c>
      <c r="D20" s="243">
        <f t="shared" si="3"/>
        <v>1080992</v>
      </c>
      <c r="E20" s="77"/>
      <c r="F20" s="91">
        <f>6*22*10+10*200</f>
        <v>3320</v>
      </c>
      <c r="G20" s="91" t="s">
        <v>3</v>
      </c>
      <c r="H20" s="92">
        <f t="shared" si="4"/>
        <v>1100</v>
      </c>
      <c r="I20" s="91">
        <v>5</v>
      </c>
      <c r="J20" s="246">
        <f t="shared" si="5"/>
        <v>730400</v>
      </c>
      <c r="K20" s="91" t="s">
        <v>54</v>
      </c>
      <c r="L20" s="92">
        <f>+L19</f>
        <v>10000</v>
      </c>
      <c r="M20" s="91">
        <f>30/10000</f>
        <v>3.0000000000000001E-3</v>
      </c>
      <c r="N20" s="246">
        <f t="shared" si="6"/>
        <v>99600</v>
      </c>
      <c r="O20" s="246" t="s">
        <v>513</v>
      </c>
      <c r="P20" s="246">
        <v>600000</v>
      </c>
      <c r="Q20" s="408">
        <v>6</v>
      </c>
      <c r="R20" s="246">
        <f t="shared" si="7"/>
        <v>72</v>
      </c>
      <c r="S20" s="418">
        <v>0.05</v>
      </c>
      <c r="T20" s="247">
        <f t="shared" si="8"/>
        <v>1080992</v>
      </c>
    </row>
    <row r="21" spans="2:20" ht="20.100000000000001" customHeight="1">
      <c r="B21" s="65" t="s">
        <v>261</v>
      </c>
      <c r="C21" s="49">
        <f t="shared" si="2"/>
        <v>55.278070307406857</v>
      </c>
      <c r="D21" s="243">
        <f t="shared" si="3"/>
        <v>47926.086956521744</v>
      </c>
      <c r="F21" s="91">
        <v>100</v>
      </c>
      <c r="G21" s="91" t="s">
        <v>3</v>
      </c>
      <c r="H21" s="92">
        <f t="shared" si="4"/>
        <v>1100</v>
      </c>
      <c r="I21" s="91">
        <v>2.2999999999999998</v>
      </c>
      <c r="J21" s="246">
        <f t="shared" si="5"/>
        <v>47826.086956521744</v>
      </c>
      <c r="K21" s="91" t="s">
        <v>54</v>
      </c>
      <c r="L21" s="92">
        <f>+L20</f>
        <v>10000</v>
      </c>
      <c r="M21" s="91">
        <f>1/10000</f>
        <v>1E-4</v>
      </c>
      <c r="N21" s="246">
        <f t="shared" si="6"/>
        <v>100</v>
      </c>
      <c r="O21" s="246" t="s">
        <v>513</v>
      </c>
      <c r="P21" s="246"/>
      <c r="Q21" s="408"/>
      <c r="R21" s="246"/>
      <c r="S21" s="418"/>
      <c r="T21" s="247">
        <f t="shared" si="8"/>
        <v>47926.086956521744</v>
      </c>
    </row>
    <row r="22" spans="2:20">
      <c r="B22" s="48" t="s">
        <v>42</v>
      </c>
      <c r="C22" s="49">
        <f t="shared" si="2"/>
        <v>284.65974625144173</v>
      </c>
      <c r="D22" s="243">
        <f t="shared" si="3"/>
        <v>246800</v>
      </c>
      <c r="F22" s="91">
        <v>1000</v>
      </c>
      <c r="G22" s="91" t="s">
        <v>3</v>
      </c>
      <c r="H22" s="92">
        <f t="shared" si="4"/>
        <v>1100</v>
      </c>
      <c r="I22" s="91">
        <v>5</v>
      </c>
      <c r="J22" s="246">
        <f t="shared" si="5"/>
        <v>220000</v>
      </c>
      <c r="K22" s="91" t="s">
        <v>54</v>
      </c>
      <c r="L22" s="92">
        <f>+L21</f>
        <v>10000</v>
      </c>
      <c r="M22" s="91">
        <f>1/1000</f>
        <v>1E-3</v>
      </c>
      <c r="N22" s="246">
        <f t="shared" si="6"/>
        <v>10000</v>
      </c>
      <c r="O22" s="246" t="s">
        <v>513</v>
      </c>
      <c r="P22" s="246">
        <v>200000</v>
      </c>
      <c r="Q22" s="408">
        <v>4</v>
      </c>
      <c r="R22" s="246">
        <f t="shared" si="7"/>
        <v>16</v>
      </c>
      <c r="S22" s="418">
        <v>0.05</v>
      </c>
      <c r="T22" s="247">
        <f t="shared" si="8"/>
        <v>246800</v>
      </c>
    </row>
    <row r="23" spans="2:20">
      <c r="B23" s="48" t="s">
        <v>333</v>
      </c>
      <c r="C23" s="49">
        <f t="shared" si="2"/>
        <v>2122.4913494809689</v>
      </c>
      <c r="D23" s="243">
        <f t="shared" si="3"/>
        <v>1840200</v>
      </c>
      <c r="F23" s="91">
        <f>+Cantidad!D2*20</f>
        <v>6000</v>
      </c>
      <c r="G23" s="91" t="s">
        <v>3</v>
      </c>
      <c r="H23" s="92">
        <f t="shared" si="4"/>
        <v>1100</v>
      </c>
      <c r="I23" s="91">
        <f>+I20</f>
        <v>5</v>
      </c>
      <c r="J23" s="246">
        <f t="shared" si="5"/>
        <v>1320000</v>
      </c>
      <c r="K23" s="91" t="s">
        <v>54</v>
      </c>
      <c r="L23" s="92">
        <f>+L22</f>
        <v>10000</v>
      </c>
      <c r="M23" s="91">
        <f>+M20</f>
        <v>3.0000000000000001E-3</v>
      </c>
      <c r="N23" s="246">
        <f t="shared" si="6"/>
        <v>180000</v>
      </c>
      <c r="O23" s="246" t="s">
        <v>513</v>
      </c>
      <c r="P23" s="246">
        <f>+P19</f>
        <v>450000</v>
      </c>
      <c r="Q23" s="408">
        <v>6</v>
      </c>
      <c r="R23" s="246">
        <f t="shared" si="7"/>
        <v>54</v>
      </c>
      <c r="S23" s="418">
        <v>0.05</v>
      </c>
      <c r="T23" s="247">
        <f t="shared" si="8"/>
        <v>1840200</v>
      </c>
    </row>
  </sheetData>
  <mergeCells count="6">
    <mergeCell ref="F14:T14"/>
    <mergeCell ref="F15:F16"/>
    <mergeCell ref="G15:J15"/>
    <mergeCell ref="K15:N15"/>
    <mergeCell ref="T15:T16"/>
    <mergeCell ref="O15:R15"/>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tabColor theme="0" tint="-0.14999847407452621"/>
  </sheetPr>
  <dimension ref="B1:I7"/>
  <sheetViews>
    <sheetView showGridLines="0" workbookViewId="0">
      <selection activeCell="B4" sqref="B4"/>
    </sheetView>
  </sheetViews>
  <sheetFormatPr baseColWidth="10" defaultRowHeight="15"/>
  <cols>
    <col min="1" max="1" width="11.42578125" style="263"/>
    <col min="2" max="2" width="21.7109375" style="263" customWidth="1"/>
    <col min="3" max="5" width="11.42578125" style="263"/>
    <col min="6" max="6" width="17" style="263" bestFit="1" customWidth="1"/>
    <col min="7" max="7" width="11.42578125" style="263"/>
    <col min="8" max="8" width="20.140625" style="263" bestFit="1" customWidth="1"/>
    <col min="9" max="16384" width="11.42578125" style="263"/>
  </cols>
  <sheetData>
    <row r="1" spans="2:9">
      <c r="B1" s="273" t="s">
        <v>4</v>
      </c>
      <c r="C1" s="273" t="s">
        <v>319</v>
      </c>
      <c r="D1" s="273" t="s">
        <v>332</v>
      </c>
    </row>
    <row r="2" spans="2:9">
      <c r="B2" s="273" t="s">
        <v>310</v>
      </c>
      <c r="C2" s="273"/>
      <c r="D2" s="273">
        <f>5*40+100</f>
        <v>300</v>
      </c>
      <c r="F2" s="273" t="s">
        <v>327</v>
      </c>
      <c r="G2" s="273">
        <v>113</v>
      </c>
      <c r="H2" s="273" t="s">
        <v>328</v>
      </c>
      <c r="I2" s="273">
        <v>53000</v>
      </c>
    </row>
    <row r="3" spans="2:9">
      <c r="B3" s="273" t="s">
        <v>325</v>
      </c>
      <c r="C3" s="273">
        <f>+G4*170+G3*10*20</f>
        <v>3921</v>
      </c>
      <c r="D3" s="273"/>
      <c r="F3" s="273" t="s">
        <v>324</v>
      </c>
      <c r="G3" s="273">
        <f>+I4</f>
        <v>10</v>
      </c>
      <c r="H3" s="273" t="s">
        <v>329</v>
      </c>
      <c r="I3" s="273">
        <f>+I2/G2</f>
        <v>469.02654867256638</v>
      </c>
    </row>
    <row r="4" spans="2:9">
      <c r="B4" s="273" t="s">
        <v>320</v>
      </c>
      <c r="C4" s="273">
        <f>+D4*20</f>
        <v>4260</v>
      </c>
      <c r="D4" s="273">
        <f>+G7*10+100</f>
        <v>213</v>
      </c>
      <c r="E4" s="263">
        <f>+D4/60</f>
        <v>3.55</v>
      </c>
      <c r="F4" s="273" t="s">
        <v>326</v>
      </c>
      <c r="G4" s="273">
        <f>+G2/G3</f>
        <v>11.3</v>
      </c>
      <c r="H4" s="273" t="s">
        <v>330</v>
      </c>
      <c r="I4" s="273">
        <v>10</v>
      </c>
    </row>
    <row r="5" spans="2:9">
      <c r="B5" s="273" t="s">
        <v>321</v>
      </c>
      <c r="C5" s="274">
        <f>(30.5/7)*(170*2)*2</f>
        <v>2962.8571428571427</v>
      </c>
      <c r="D5" s="273"/>
      <c r="F5" s="273"/>
      <c r="G5" s="273"/>
      <c r="H5" s="273" t="s">
        <v>331</v>
      </c>
      <c r="I5" s="273">
        <f>+I4*I3</f>
        <v>4690.2654867256642</v>
      </c>
    </row>
    <row r="6" spans="2:9">
      <c r="B6" s="273" t="s">
        <v>322</v>
      </c>
      <c r="C6" s="274">
        <f>1*(30.5/7)*170*2</f>
        <v>1481.4285714285713</v>
      </c>
      <c r="D6" s="273"/>
      <c r="F6" s="273" t="s">
        <v>337</v>
      </c>
      <c r="G6" s="273">
        <f>+G2*4</f>
        <v>452</v>
      </c>
    </row>
    <row r="7" spans="2:9">
      <c r="B7" s="273" t="s">
        <v>323</v>
      </c>
      <c r="C7" s="274">
        <f>1*(30.5/7)*170*2</f>
        <v>1481.4285714285713</v>
      </c>
      <c r="D7" s="273"/>
      <c r="F7" s="273" t="s">
        <v>330</v>
      </c>
      <c r="G7" s="273">
        <f>+G6/20/2</f>
        <v>11.3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tabColor theme="0" tint="-0.14999847407452621"/>
  </sheetPr>
  <dimension ref="B1:Q103"/>
  <sheetViews>
    <sheetView showGridLines="0" workbookViewId="0">
      <selection activeCell="F9" sqref="F9"/>
    </sheetView>
  </sheetViews>
  <sheetFormatPr baseColWidth="10" defaultColWidth="11.42578125" defaultRowHeight="12.75"/>
  <cols>
    <col min="1" max="1" width="2" style="44" customWidth="1"/>
    <col min="2" max="2" width="62.28515625" style="44" customWidth="1"/>
    <col min="3" max="3" width="9.5703125" style="44" bestFit="1" customWidth="1"/>
    <col min="4" max="4" width="12.42578125" style="44" bestFit="1" customWidth="1"/>
    <col min="5" max="5" width="2" style="43" customWidth="1"/>
    <col min="6" max="6" width="10.7109375" style="43" customWidth="1"/>
    <col min="7" max="7" width="12.42578125" style="96" bestFit="1" customWidth="1"/>
    <col min="8" max="8" width="2.42578125" style="96" customWidth="1"/>
    <col min="9" max="10" width="10.7109375" style="96" customWidth="1"/>
    <col min="11" max="11" width="11.5703125" style="96" customWidth="1"/>
    <col min="12" max="12" width="1.7109375" style="43" customWidth="1"/>
    <col min="13" max="16384" width="11.42578125" style="44"/>
  </cols>
  <sheetData>
    <row r="1" spans="2:17" ht="20.100000000000001" customHeight="1">
      <c r="B1" s="40" t="s">
        <v>33</v>
      </c>
      <c r="C1" s="41" t="s">
        <v>34</v>
      </c>
      <c r="D1" s="42">
        <f>+'2.IER'!D1</f>
        <v>867</v>
      </c>
      <c r="M1" s="110"/>
      <c r="N1" s="110"/>
      <c r="O1" s="110"/>
      <c r="P1" s="110"/>
      <c r="Q1" s="43"/>
    </row>
    <row r="2" spans="2:17" ht="20.100000000000001" customHeight="1">
      <c r="G2" s="44"/>
      <c r="H2" s="44"/>
      <c r="I2" s="44"/>
      <c r="J2" s="44"/>
      <c r="K2" s="44"/>
      <c r="L2" s="44"/>
    </row>
    <row r="3" spans="2:17" ht="39.950000000000003" customHeight="1">
      <c r="B3" s="45" t="s">
        <v>66</v>
      </c>
      <c r="C3" s="46" t="s">
        <v>36</v>
      </c>
      <c r="D3" s="46" t="s">
        <v>37</v>
      </c>
      <c r="E3" s="47"/>
      <c r="F3" s="46" t="s">
        <v>60</v>
      </c>
      <c r="G3" s="46" t="s">
        <v>61</v>
      </c>
      <c r="H3" s="47"/>
      <c r="I3" s="44"/>
      <c r="J3" s="44"/>
      <c r="L3" s="96"/>
      <c r="M3" s="96"/>
      <c r="N3" s="96"/>
    </row>
    <row r="4" spans="2:17" ht="19.5" customHeight="1">
      <c r="B4" s="48" t="s">
        <v>67</v>
      </c>
      <c r="C4" s="49">
        <v>135.63864942528735</v>
      </c>
      <c r="D4" s="50">
        <f>+C4*$D$1</f>
        <v>117598.70905172413</v>
      </c>
      <c r="E4" s="51"/>
      <c r="F4" s="49">
        <f t="shared" ref="F4:F12" si="0">G4/$D$1</f>
        <v>15003.244749216299</v>
      </c>
      <c r="G4" s="50">
        <f>SUM($G$22:$G$41)</f>
        <v>13007813.197570531</v>
      </c>
      <c r="H4" s="51"/>
      <c r="I4" s="44"/>
      <c r="J4" s="44"/>
      <c r="L4" s="96"/>
      <c r="M4" s="96"/>
      <c r="N4" s="96"/>
    </row>
    <row r="5" spans="2:17" ht="19.5" customHeight="1">
      <c r="B5" s="48" t="s">
        <v>68</v>
      </c>
      <c r="C5" s="49">
        <v>135.63864942528735</v>
      </c>
      <c r="D5" s="50">
        <f t="shared" ref="D5:D12" si="1">+C5*$D$1</f>
        <v>117598.70905172413</v>
      </c>
      <c r="E5" s="51"/>
      <c r="F5" s="49">
        <f t="shared" si="0"/>
        <v>12828.950078369904</v>
      </c>
      <c r="G5" s="50">
        <f>SUM($G$22:$G$40)</f>
        <v>11122699.717946706</v>
      </c>
      <c r="H5" s="51"/>
      <c r="I5" s="44"/>
      <c r="J5" s="44"/>
      <c r="L5" s="96"/>
      <c r="M5" s="96"/>
      <c r="N5" s="96"/>
    </row>
    <row r="6" spans="2:17" ht="19.5" customHeight="1">
      <c r="B6" s="48" t="s">
        <v>69</v>
      </c>
      <c r="C6" s="49">
        <v>135.63864942528735</v>
      </c>
      <c r="D6" s="50">
        <f t="shared" si="1"/>
        <v>117598.70905172413</v>
      </c>
      <c r="E6" s="51"/>
      <c r="F6" s="49">
        <f t="shared" si="0"/>
        <v>5288.0884796238252</v>
      </c>
      <c r="G6" s="50">
        <f>G22+G23+G24+G25+G26+G28+G30+G32+G35+G36+G38</f>
        <v>4584772.7118338561</v>
      </c>
      <c r="H6" s="51"/>
      <c r="I6" s="44"/>
      <c r="J6" s="44"/>
      <c r="L6" s="96"/>
      <c r="M6" s="96"/>
      <c r="N6" s="96"/>
    </row>
    <row r="7" spans="2:17" ht="19.5" customHeight="1">
      <c r="B7" s="48" t="str">
        <f>B46</f>
        <v>Trailer Laboratorio 12 mts</v>
      </c>
      <c r="C7" s="49">
        <v>299.31034482758622</v>
      </c>
      <c r="D7" s="50">
        <f>+C7*$D$1</f>
        <v>259502.06896551725</v>
      </c>
      <c r="E7" s="51"/>
      <c r="F7" s="49">
        <f t="shared" si="0"/>
        <v>14366.896551724139</v>
      </c>
      <c r="G7" s="50">
        <f>VLOOKUP(B7,$B$46:$K$60,6,FALSE)</f>
        <v>12456099.310344828</v>
      </c>
      <c r="H7" s="51"/>
      <c r="I7" s="44"/>
      <c r="J7" s="44"/>
      <c r="L7" s="96"/>
      <c r="M7" s="96"/>
      <c r="N7" s="96"/>
    </row>
    <row r="8" spans="2:17" ht="19.5" customHeight="1">
      <c r="B8" s="48" t="s">
        <v>70</v>
      </c>
      <c r="C8" s="49">
        <v>442.22222222222217</v>
      </c>
      <c r="D8" s="50">
        <f t="shared" si="1"/>
        <v>383406.66666666663</v>
      </c>
      <c r="E8" s="51"/>
      <c r="F8" s="49">
        <f t="shared" si="0"/>
        <v>34913.965517241377</v>
      </c>
      <c r="G8" s="50">
        <f>SUM(G66:G90)</f>
        <v>30270408.103448272</v>
      </c>
      <c r="H8" s="51"/>
      <c r="I8" s="44"/>
      <c r="J8" s="44"/>
      <c r="L8" s="96"/>
      <c r="M8" s="96"/>
      <c r="N8" s="96"/>
    </row>
    <row r="9" spans="2:17" ht="19.5" customHeight="1">
      <c r="B9" s="48" t="s">
        <v>71</v>
      </c>
      <c r="C9" s="49">
        <v>166.71666666666667</v>
      </c>
      <c r="D9" s="50">
        <f t="shared" si="1"/>
        <v>144543.35</v>
      </c>
      <c r="E9" s="51"/>
      <c r="F9" s="49">
        <f t="shared" si="0"/>
        <v>10003</v>
      </c>
      <c r="G9" s="50">
        <f>G94</f>
        <v>8672601</v>
      </c>
      <c r="H9" s="51"/>
      <c r="I9" s="44"/>
      <c r="J9" s="44"/>
      <c r="L9" s="96"/>
      <c r="M9" s="96"/>
      <c r="N9" s="96"/>
    </row>
    <row r="10" spans="2:17" ht="19.5" customHeight="1">
      <c r="B10" s="48" t="s">
        <v>72</v>
      </c>
      <c r="C10" s="49">
        <v>155.53333333333333</v>
      </c>
      <c r="D10" s="50">
        <f t="shared" si="1"/>
        <v>134847.4</v>
      </c>
      <c r="E10" s="51"/>
      <c r="F10" s="49">
        <f t="shared" si="0"/>
        <v>9332</v>
      </c>
      <c r="G10" s="50">
        <f>G98</f>
        <v>8090844</v>
      </c>
      <c r="H10" s="51"/>
      <c r="I10" s="44"/>
      <c r="J10" s="44"/>
      <c r="L10" s="96"/>
      <c r="M10" s="96"/>
      <c r="N10" s="96"/>
    </row>
    <row r="11" spans="2:17" ht="19.5" customHeight="1">
      <c r="B11" s="48" t="s">
        <v>73</v>
      </c>
      <c r="C11" s="49">
        <v>408.66666666666669</v>
      </c>
      <c r="D11" s="50">
        <f t="shared" si="1"/>
        <v>354314</v>
      </c>
      <c r="E11" s="51"/>
      <c r="F11" s="49">
        <f t="shared" si="0"/>
        <v>24520</v>
      </c>
      <c r="G11" s="50">
        <f>G99</f>
        <v>21258840</v>
      </c>
      <c r="H11" s="51"/>
      <c r="I11" s="44"/>
      <c r="J11" s="44"/>
      <c r="L11" s="96"/>
      <c r="M11" s="96"/>
      <c r="N11" s="96"/>
    </row>
    <row r="12" spans="2:17" ht="19.5" customHeight="1">
      <c r="B12" s="111" t="s">
        <v>74</v>
      </c>
      <c r="C12" s="49">
        <v>216.66666666666666</v>
      </c>
      <c r="D12" s="50">
        <f t="shared" si="1"/>
        <v>187850</v>
      </c>
      <c r="E12" s="51"/>
      <c r="F12" s="49">
        <f t="shared" si="0"/>
        <v>13000</v>
      </c>
      <c r="G12" s="50">
        <f>G97</f>
        <v>11271000</v>
      </c>
      <c r="H12" s="51"/>
      <c r="I12" s="44"/>
      <c r="J12" s="44"/>
      <c r="L12" s="96"/>
      <c r="M12" s="96"/>
      <c r="N12" s="96"/>
    </row>
    <row r="13" spans="2:17" ht="19.5" customHeight="1">
      <c r="B13" s="48"/>
      <c r="C13" s="49"/>
      <c r="D13" s="50"/>
      <c r="E13" s="51"/>
      <c r="F13" s="49"/>
      <c r="G13" s="50"/>
      <c r="H13" s="51"/>
      <c r="I13" s="44"/>
      <c r="J13" s="44"/>
      <c r="L13" s="96"/>
      <c r="M13" s="96"/>
      <c r="N13" s="96"/>
    </row>
    <row r="14" spans="2:17" ht="19.5" customHeight="1">
      <c r="B14" s="48"/>
      <c r="C14" s="49"/>
      <c r="D14" s="50"/>
      <c r="E14" s="51"/>
      <c r="F14" s="49"/>
      <c r="G14" s="50"/>
      <c r="H14" s="51"/>
      <c r="I14" s="44"/>
      <c r="J14" s="44"/>
      <c r="L14" s="96"/>
      <c r="M14" s="96"/>
      <c r="N14" s="96"/>
    </row>
    <row r="15" spans="2:17" ht="19.5" customHeight="1">
      <c r="B15" s="48"/>
      <c r="C15" s="49"/>
      <c r="D15" s="50"/>
      <c r="E15" s="51"/>
      <c r="F15" s="49"/>
      <c r="G15" s="50"/>
      <c r="H15" s="51"/>
      <c r="I15" s="44"/>
      <c r="J15" s="44"/>
      <c r="L15" s="96"/>
      <c r="M15" s="96"/>
      <c r="N15" s="96"/>
    </row>
    <row r="16" spans="2:17" ht="20.100000000000001" customHeight="1">
      <c r="B16" s="52"/>
      <c r="C16" s="53"/>
      <c r="D16" s="54"/>
      <c r="E16" s="51"/>
      <c r="F16" s="53"/>
      <c r="G16" s="97"/>
      <c r="L16" s="96"/>
      <c r="M16" s="96"/>
      <c r="N16" s="96"/>
    </row>
    <row r="17" spans="2:14" s="59" customFormat="1" ht="20.100000000000001" customHeight="1">
      <c r="B17" s="55"/>
      <c r="C17" s="56"/>
      <c r="D17" s="57"/>
      <c r="E17" s="58"/>
      <c r="F17" s="56"/>
      <c r="G17" s="98"/>
      <c r="H17" s="99"/>
      <c r="I17" s="99"/>
      <c r="J17" s="99"/>
      <c r="K17" s="99"/>
      <c r="L17" s="99"/>
      <c r="M17" s="99"/>
      <c r="N17" s="99"/>
    </row>
    <row r="18" spans="2:14" ht="20.100000000000001" customHeight="1">
      <c r="G18" s="44"/>
      <c r="H18" s="44"/>
      <c r="I18" s="44"/>
      <c r="J18" s="44"/>
      <c r="K18" s="44"/>
      <c r="L18" s="44"/>
    </row>
    <row r="19" spans="2:14" ht="20.100000000000001" customHeight="1">
      <c r="G19" s="101"/>
      <c r="H19" s="101"/>
      <c r="I19" s="907" t="s">
        <v>57</v>
      </c>
      <c r="J19" s="907"/>
      <c r="K19" s="908"/>
    </row>
    <row r="20" spans="2:14" ht="20.100000000000001" customHeight="1">
      <c r="G20" s="101"/>
      <c r="H20" s="101"/>
      <c r="I20" s="907" t="s">
        <v>65</v>
      </c>
      <c r="J20" s="908"/>
      <c r="K20" s="914" t="s">
        <v>75</v>
      </c>
    </row>
    <row r="21" spans="2:14" s="62" customFormat="1" ht="39.950000000000003" customHeight="1">
      <c r="B21" s="45" t="s">
        <v>13</v>
      </c>
      <c r="C21" s="46" t="s">
        <v>36</v>
      </c>
      <c r="D21" s="46" t="s">
        <v>37</v>
      </c>
      <c r="E21" s="47"/>
      <c r="F21" s="46" t="s">
        <v>60</v>
      </c>
      <c r="G21" s="46" t="s">
        <v>61</v>
      </c>
      <c r="H21" s="110"/>
      <c r="I21" s="60" t="s">
        <v>76</v>
      </c>
      <c r="J21" s="60" t="s">
        <v>63</v>
      </c>
      <c r="K21" s="915"/>
      <c r="L21" s="47"/>
    </row>
    <row r="22" spans="2:14" ht="20.100000000000001" customHeight="1">
      <c r="B22" s="112" t="s">
        <v>77</v>
      </c>
      <c r="C22" s="49">
        <v>2.9250478927203063</v>
      </c>
      <c r="D22" s="50">
        <f>+C22*$D$1*$D$1/110</f>
        <v>19988.421140282131</v>
      </c>
      <c r="E22" s="113"/>
      <c r="F22" s="114">
        <f>G22/$D$1</f>
        <v>276.65634796238243</v>
      </c>
      <c r="G22" s="114">
        <f>+D22*J22</f>
        <v>239861.05368338557</v>
      </c>
      <c r="H22" s="54"/>
      <c r="I22" s="115">
        <v>0</v>
      </c>
      <c r="J22" s="116">
        <v>12</v>
      </c>
      <c r="K22" s="117">
        <f t="shared" ref="K22:K40" si="2">(G22*(1-I22))/J22</f>
        <v>19988.421140282131</v>
      </c>
    </row>
    <row r="23" spans="2:14" ht="20.100000000000001" customHeight="1">
      <c r="B23" s="112" t="s">
        <v>78</v>
      </c>
      <c r="C23" s="49">
        <v>1.8386015325670499</v>
      </c>
      <c r="D23" s="50">
        <f t="shared" ref="D23:D41" si="3">+C23*$D$1*$D$1/110</f>
        <v>12564.150431034483</v>
      </c>
      <c r="E23" s="113"/>
      <c r="F23" s="114">
        <f t="shared" ref="F23:F40" si="4">G23/$D$1</f>
        <v>173.89827586206897</v>
      </c>
      <c r="G23" s="114">
        <f t="shared" ref="G23:G41" si="5">+D23*J23</f>
        <v>150769.80517241379</v>
      </c>
      <c r="H23" s="54"/>
      <c r="I23" s="115">
        <v>0</v>
      </c>
      <c r="J23" s="116">
        <v>12</v>
      </c>
      <c r="K23" s="117">
        <f t="shared" si="2"/>
        <v>12564.150431034483</v>
      </c>
    </row>
    <row r="24" spans="2:14" ht="20.100000000000001" customHeight="1">
      <c r="B24" s="112" t="s">
        <v>79</v>
      </c>
      <c r="C24" s="49">
        <v>1.5043103448275863</v>
      </c>
      <c r="D24" s="50">
        <f t="shared" si="3"/>
        <v>10279.759443573668</v>
      </c>
      <c r="E24" s="113"/>
      <c r="F24" s="114">
        <f t="shared" si="4"/>
        <v>142.28040752351097</v>
      </c>
      <c r="G24" s="114">
        <f t="shared" si="5"/>
        <v>123357.11332288402</v>
      </c>
      <c r="H24" s="54"/>
      <c r="I24" s="115">
        <v>0</v>
      </c>
      <c r="J24" s="116">
        <v>12</v>
      </c>
      <c r="K24" s="117">
        <f t="shared" si="2"/>
        <v>10279.759443573668</v>
      </c>
    </row>
    <row r="25" spans="2:14" ht="20.100000000000001" customHeight="1">
      <c r="B25" s="112" t="s">
        <v>80</v>
      </c>
      <c r="C25" s="49">
        <v>11.282327586206897</v>
      </c>
      <c r="D25" s="50">
        <f t="shared" si="3"/>
        <v>77098.195826802505</v>
      </c>
      <c r="E25" s="113"/>
      <c r="F25" s="114">
        <f t="shared" si="4"/>
        <v>1067.1030564263322</v>
      </c>
      <c r="G25" s="114">
        <f t="shared" si="5"/>
        <v>925178.34992163</v>
      </c>
      <c r="H25" s="54"/>
      <c r="I25" s="115">
        <v>0</v>
      </c>
      <c r="J25" s="116">
        <v>12</v>
      </c>
      <c r="K25" s="117">
        <f t="shared" si="2"/>
        <v>77098.195826802505</v>
      </c>
    </row>
    <row r="26" spans="2:14" ht="20.100000000000001" customHeight="1">
      <c r="B26" s="112" t="s">
        <v>81</v>
      </c>
      <c r="C26" s="49">
        <v>4.1786398467432955</v>
      </c>
      <c r="D26" s="50">
        <f t="shared" si="3"/>
        <v>28554.887343260194</v>
      </c>
      <c r="E26" s="113"/>
      <c r="F26" s="114">
        <f t="shared" si="4"/>
        <v>395.22335423197501</v>
      </c>
      <c r="G26" s="114">
        <f t="shared" si="5"/>
        <v>342658.64811912231</v>
      </c>
      <c r="H26" s="54"/>
      <c r="I26" s="115">
        <v>0</v>
      </c>
      <c r="J26" s="116">
        <v>12</v>
      </c>
      <c r="K26" s="117">
        <f t="shared" si="2"/>
        <v>28554.887343260194</v>
      </c>
    </row>
    <row r="27" spans="2:14" ht="20.100000000000001" customHeight="1">
      <c r="B27" s="48" t="s">
        <v>82</v>
      </c>
      <c r="C27" s="49">
        <v>18.469588122605366</v>
      </c>
      <c r="D27" s="50">
        <f t="shared" si="3"/>
        <v>126212.60205721005</v>
      </c>
      <c r="E27" s="113"/>
      <c r="F27" s="114">
        <f t="shared" si="4"/>
        <v>1746.8872257053295</v>
      </c>
      <c r="G27" s="114">
        <f t="shared" si="5"/>
        <v>1514551.2246865206</v>
      </c>
      <c r="H27" s="54"/>
      <c r="I27" s="115">
        <v>0</v>
      </c>
      <c r="J27" s="116">
        <v>12</v>
      </c>
      <c r="K27" s="117">
        <f t="shared" si="2"/>
        <v>126212.60205721005</v>
      </c>
    </row>
    <row r="28" spans="2:14" ht="20.100000000000001" customHeight="1">
      <c r="B28" s="112" t="s">
        <v>83</v>
      </c>
      <c r="C28" s="49">
        <v>11.867337164750957</v>
      </c>
      <c r="D28" s="50">
        <f t="shared" si="3"/>
        <v>81095.880054858921</v>
      </c>
      <c r="E28" s="113"/>
      <c r="F28" s="114">
        <f t="shared" si="4"/>
        <v>1122.4343260188086</v>
      </c>
      <c r="G28" s="114">
        <f t="shared" si="5"/>
        <v>973150.56065830705</v>
      </c>
      <c r="H28" s="54"/>
      <c r="I28" s="115">
        <v>0</v>
      </c>
      <c r="J28" s="116">
        <v>12</v>
      </c>
      <c r="K28" s="117">
        <f t="shared" si="2"/>
        <v>81095.880054858921</v>
      </c>
    </row>
    <row r="29" spans="2:14" ht="20.100000000000001" customHeight="1">
      <c r="B29" s="48" t="s">
        <v>84</v>
      </c>
      <c r="C29" s="49">
        <v>2.2564655172413794</v>
      </c>
      <c r="D29" s="50">
        <f t="shared" si="3"/>
        <v>15419.639165360504</v>
      </c>
      <c r="E29" s="113"/>
      <c r="F29" s="114">
        <f t="shared" si="4"/>
        <v>213.42061128526649</v>
      </c>
      <c r="G29" s="114">
        <f t="shared" si="5"/>
        <v>185035.66998432606</v>
      </c>
      <c r="H29" s="54"/>
      <c r="I29" s="115">
        <v>0</v>
      </c>
      <c r="J29" s="116">
        <v>12</v>
      </c>
      <c r="K29" s="117">
        <f t="shared" si="2"/>
        <v>15419.639165360504</v>
      </c>
    </row>
    <row r="30" spans="2:14" ht="20.100000000000001" customHeight="1">
      <c r="B30" s="112" t="s">
        <v>85</v>
      </c>
      <c r="C30" s="49">
        <v>1.5043103448275863</v>
      </c>
      <c r="D30" s="50">
        <f t="shared" si="3"/>
        <v>10279.759443573668</v>
      </c>
      <c r="E30" s="113"/>
      <c r="F30" s="114">
        <f t="shared" si="4"/>
        <v>142.28040752351097</v>
      </c>
      <c r="G30" s="114">
        <f t="shared" si="5"/>
        <v>123357.11332288402</v>
      </c>
      <c r="H30" s="54"/>
      <c r="I30" s="115">
        <v>0</v>
      </c>
      <c r="J30" s="116">
        <v>12</v>
      </c>
      <c r="K30" s="117">
        <f t="shared" si="2"/>
        <v>10279.759443573668</v>
      </c>
    </row>
    <row r="31" spans="2:14" ht="20.100000000000001" customHeight="1">
      <c r="B31" s="48" t="s">
        <v>86</v>
      </c>
      <c r="C31" s="49">
        <v>1.5878831417624522</v>
      </c>
      <c r="D31" s="50">
        <f t="shared" si="3"/>
        <v>10850.857190438872</v>
      </c>
      <c r="E31" s="113"/>
      <c r="F31" s="114">
        <f t="shared" si="4"/>
        <v>150.18487460815047</v>
      </c>
      <c r="G31" s="114">
        <f t="shared" si="5"/>
        <v>130210.28628526645</v>
      </c>
      <c r="H31" s="54"/>
      <c r="I31" s="115">
        <v>0</v>
      </c>
      <c r="J31" s="116">
        <v>12</v>
      </c>
      <c r="K31" s="117">
        <f t="shared" si="2"/>
        <v>10850.857190438872</v>
      </c>
    </row>
    <row r="32" spans="2:14" ht="20.100000000000001" customHeight="1">
      <c r="B32" s="112" t="s">
        <v>87</v>
      </c>
      <c r="C32" s="49">
        <v>10.028735632183908</v>
      </c>
      <c r="D32" s="50">
        <f t="shared" si="3"/>
        <v>68531.729623824445</v>
      </c>
      <c r="E32" s="113"/>
      <c r="F32" s="114">
        <f t="shared" si="4"/>
        <v>948.53605015673975</v>
      </c>
      <c r="G32" s="114">
        <f t="shared" si="5"/>
        <v>822380.75548589334</v>
      </c>
      <c r="H32" s="54"/>
      <c r="I32" s="115">
        <v>0</v>
      </c>
      <c r="J32" s="116">
        <v>12</v>
      </c>
      <c r="K32" s="117">
        <f t="shared" si="2"/>
        <v>68531.729623824445</v>
      </c>
    </row>
    <row r="33" spans="2:11" ht="20.100000000000001" customHeight="1">
      <c r="B33" s="48" t="s">
        <v>88</v>
      </c>
      <c r="C33" s="49">
        <v>10.028735632183908</v>
      </c>
      <c r="D33" s="50">
        <f t="shared" si="3"/>
        <v>68531.729623824445</v>
      </c>
      <c r="E33" s="118"/>
      <c r="F33" s="114">
        <f t="shared" si="4"/>
        <v>948.53605015673975</v>
      </c>
      <c r="G33" s="114">
        <f t="shared" si="5"/>
        <v>822380.75548589334</v>
      </c>
      <c r="H33" s="54"/>
      <c r="I33" s="115">
        <v>0</v>
      </c>
      <c r="J33" s="116">
        <v>12</v>
      </c>
      <c r="K33" s="117">
        <f t="shared" si="2"/>
        <v>68531.729623824445</v>
      </c>
    </row>
    <row r="34" spans="2:11" ht="20.100000000000001" customHeight="1">
      <c r="B34" s="48" t="s">
        <v>89</v>
      </c>
      <c r="C34" s="49">
        <v>10.19588122605364</v>
      </c>
      <c r="D34" s="50">
        <f t="shared" si="3"/>
        <v>69673.925117554856</v>
      </c>
      <c r="E34" s="118"/>
      <c r="F34" s="114">
        <f t="shared" si="4"/>
        <v>964.34498432601879</v>
      </c>
      <c r="G34" s="114">
        <f t="shared" si="5"/>
        <v>836087.10141065833</v>
      </c>
      <c r="H34" s="54"/>
      <c r="I34" s="115">
        <v>0</v>
      </c>
      <c r="J34" s="116">
        <v>12</v>
      </c>
      <c r="K34" s="117">
        <f t="shared" si="2"/>
        <v>69673.925117554856</v>
      </c>
    </row>
    <row r="35" spans="2:11" ht="20.100000000000001" customHeight="1">
      <c r="B35" s="112" t="s">
        <v>90</v>
      </c>
      <c r="C35" s="49">
        <v>6.0172413793103452</v>
      </c>
      <c r="D35" s="50">
        <f t="shared" si="3"/>
        <v>41119.037774294673</v>
      </c>
      <c r="E35" s="118"/>
      <c r="F35" s="114">
        <f t="shared" si="4"/>
        <v>569.12163009404389</v>
      </c>
      <c r="G35" s="114">
        <f t="shared" si="5"/>
        <v>493428.45329153608</v>
      </c>
      <c r="H35" s="54"/>
      <c r="I35" s="115">
        <v>0</v>
      </c>
      <c r="J35" s="116">
        <v>12</v>
      </c>
      <c r="K35" s="117">
        <f t="shared" si="2"/>
        <v>41119.037774294673</v>
      </c>
    </row>
    <row r="36" spans="2:11" ht="20.100000000000001" customHeight="1">
      <c r="B36" s="112" t="s">
        <v>91</v>
      </c>
      <c r="C36" s="49">
        <v>0.16714559386973182</v>
      </c>
      <c r="D36" s="50">
        <f t="shared" si="3"/>
        <v>1142.1954937304079</v>
      </c>
      <c r="E36" s="118"/>
      <c r="F36" s="114">
        <f t="shared" si="4"/>
        <v>15.808934169279</v>
      </c>
      <c r="G36" s="114">
        <f t="shared" si="5"/>
        <v>13706.345924764893</v>
      </c>
      <c r="H36" s="54"/>
      <c r="I36" s="115">
        <v>0</v>
      </c>
      <c r="J36" s="116">
        <v>12</v>
      </c>
      <c r="K36" s="117">
        <f t="shared" si="2"/>
        <v>1142.1954937304079</v>
      </c>
    </row>
    <row r="37" spans="2:11" ht="20.100000000000001" customHeight="1">
      <c r="B37" s="48" t="s">
        <v>92</v>
      </c>
      <c r="C37" s="49">
        <v>1.4207375478927204</v>
      </c>
      <c r="D37" s="50">
        <f t="shared" si="3"/>
        <v>9708.6616967084647</v>
      </c>
      <c r="E37" s="118"/>
      <c r="F37" s="114">
        <f t="shared" si="4"/>
        <v>134.37594043887148</v>
      </c>
      <c r="G37" s="114">
        <f t="shared" si="5"/>
        <v>116503.94036050158</v>
      </c>
      <c r="H37" s="54"/>
      <c r="I37" s="115">
        <v>0</v>
      </c>
      <c r="J37" s="116">
        <v>12</v>
      </c>
      <c r="K37" s="117">
        <f t="shared" si="2"/>
        <v>9708.6616967084647</v>
      </c>
    </row>
    <row r="38" spans="2:11" ht="20.100000000000001" customHeight="1">
      <c r="B38" s="112" t="s">
        <v>93</v>
      </c>
      <c r="C38" s="49">
        <v>4.5965038314176239</v>
      </c>
      <c r="D38" s="50">
        <f t="shared" si="3"/>
        <v>31410.376077586207</v>
      </c>
      <c r="E38" s="118"/>
      <c r="F38" s="114">
        <f t="shared" si="4"/>
        <v>434.74568965517244</v>
      </c>
      <c r="G38" s="114">
        <f t="shared" si="5"/>
        <v>376924.51293103449</v>
      </c>
      <c r="H38" s="54"/>
      <c r="I38" s="115">
        <v>0</v>
      </c>
      <c r="J38" s="116">
        <v>12</v>
      </c>
      <c r="K38" s="117">
        <f t="shared" si="2"/>
        <v>31410.376077586207</v>
      </c>
    </row>
    <row r="39" spans="2:11" ht="20.100000000000001" customHeight="1">
      <c r="B39" s="48" t="s">
        <v>94</v>
      </c>
      <c r="C39" s="49">
        <v>14.040229885057471</v>
      </c>
      <c r="D39" s="50">
        <f t="shared" si="3"/>
        <v>95944.421473354232</v>
      </c>
      <c r="E39" s="118"/>
      <c r="F39" s="114">
        <f t="shared" si="4"/>
        <v>1327.9504702194358</v>
      </c>
      <c r="G39" s="114">
        <f t="shared" si="5"/>
        <v>1151333.0576802508</v>
      </c>
      <c r="H39" s="54"/>
      <c r="I39" s="115">
        <v>0</v>
      </c>
      <c r="J39" s="116">
        <v>12</v>
      </c>
      <c r="K39" s="117">
        <f t="shared" si="2"/>
        <v>95944.421473354232</v>
      </c>
    </row>
    <row r="40" spans="2:11" ht="20.100000000000001" customHeight="1">
      <c r="B40" s="48" t="s">
        <v>95</v>
      </c>
      <c r="C40" s="49">
        <v>21.728927203065133</v>
      </c>
      <c r="D40" s="50">
        <f t="shared" si="3"/>
        <v>148485.41418495297</v>
      </c>
      <c r="E40" s="118"/>
      <c r="F40" s="114">
        <f t="shared" si="4"/>
        <v>2055.1614420062697</v>
      </c>
      <c r="G40" s="114">
        <f t="shared" si="5"/>
        <v>1781824.9702194356</v>
      </c>
      <c r="H40" s="54"/>
      <c r="I40" s="115">
        <v>0</v>
      </c>
      <c r="J40" s="116">
        <v>12</v>
      </c>
      <c r="K40" s="117">
        <f t="shared" si="2"/>
        <v>148485.41418495297</v>
      </c>
    </row>
    <row r="41" spans="2:11" ht="19.5" customHeight="1">
      <c r="B41" s="65" t="s">
        <v>96</v>
      </c>
      <c r="C41" s="49">
        <v>22.988505747126435</v>
      </c>
      <c r="D41" s="50">
        <f t="shared" si="3"/>
        <v>157092.78996865204</v>
      </c>
      <c r="E41" s="118"/>
      <c r="F41" s="114">
        <f>G41/$D$1</f>
        <v>2174.2946708463951</v>
      </c>
      <c r="G41" s="114">
        <f t="shared" si="5"/>
        <v>1885113.4796238244</v>
      </c>
      <c r="H41" s="54"/>
      <c r="I41" s="115">
        <v>0</v>
      </c>
      <c r="J41" s="116">
        <v>12</v>
      </c>
      <c r="K41" s="117">
        <f>(G41*(1-I41))/J41</f>
        <v>157092.78996865204</v>
      </c>
    </row>
    <row r="43" spans="2:11" ht="19.5" customHeight="1">
      <c r="G43" s="101"/>
      <c r="H43" s="101"/>
      <c r="I43" s="907" t="s">
        <v>57</v>
      </c>
      <c r="J43" s="907"/>
      <c r="K43" s="908"/>
    </row>
    <row r="44" spans="2:11" ht="19.5" customHeight="1">
      <c r="G44" s="101"/>
      <c r="H44" s="101"/>
      <c r="I44" s="907" t="s">
        <v>65</v>
      </c>
      <c r="J44" s="908"/>
      <c r="K44" s="914" t="s">
        <v>75</v>
      </c>
    </row>
    <row r="45" spans="2:11" ht="39.75" customHeight="1">
      <c r="B45" s="45" t="s">
        <v>97</v>
      </c>
      <c r="C45" s="46" t="s">
        <v>36</v>
      </c>
      <c r="D45" s="46" t="s">
        <v>37</v>
      </c>
      <c r="E45" s="47"/>
      <c r="F45" s="46" t="s">
        <v>60</v>
      </c>
      <c r="G45" s="46" t="s">
        <v>61</v>
      </c>
      <c r="H45" s="110"/>
      <c r="I45" s="60" t="s">
        <v>76</v>
      </c>
      <c r="J45" s="60" t="s">
        <v>63</v>
      </c>
      <c r="K45" s="915"/>
    </row>
    <row r="46" spans="2:11" ht="19.5" customHeight="1">
      <c r="B46" s="48" t="s">
        <v>98</v>
      </c>
      <c r="C46" s="49">
        <v>299.31034482758622</v>
      </c>
      <c r="D46" s="50">
        <f>+C46*$D$1</f>
        <v>259502.06896551725</v>
      </c>
      <c r="E46" s="118"/>
      <c r="F46" s="114">
        <f t="shared" ref="F46:F54" si="6">G46/$D$1</f>
        <v>14366.896551724139</v>
      </c>
      <c r="G46" s="249">
        <f>+D46*48</f>
        <v>12456099.310344828</v>
      </c>
      <c r="H46" s="54"/>
      <c r="I46" s="115">
        <v>0.2</v>
      </c>
      <c r="J46" s="116">
        <v>60</v>
      </c>
      <c r="K46" s="117">
        <f t="shared" ref="K46:K54" si="7">(G46*(1-I46))/J46</f>
        <v>166081.32413793105</v>
      </c>
    </row>
    <row r="47" spans="2:11" ht="19.5" customHeight="1">
      <c r="B47" s="48" t="s">
        <v>99</v>
      </c>
      <c r="C47" s="49">
        <v>1.0862068965517242</v>
      </c>
      <c r="D47" s="50">
        <f t="shared" ref="D47:D60" si="8">+C47*$D$1</f>
        <v>941.74137931034488</v>
      </c>
      <c r="E47" s="118"/>
      <c r="F47" s="114">
        <f>G47/$D$1</f>
        <v>13.034482758620689</v>
      </c>
      <c r="G47" s="249">
        <f>+D47*12</f>
        <v>11300.896551724138</v>
      </c>
      <c r="H47" s="54"/>
      <c r="I47" s="115">
        <v>0</v>
      </c>
      <c r="J47" s="116">
        <v>12</v>
      </c>
      <c r="K47" s="117">
        <f t="shared" si="7"/>
        <v>941.74137931034477</v>
      </c>
    </row>
    <row r="48" spans="2:11" ht="19.5" customHeight="1">
      <c r="B48" s="65" t="s">
        <v>100</v>
      </c>
      <c r="C48" s="49">
        <v>1.6896551724137931</v>
      </c>
      <c r="D48" s="50">
        <f t="shared" si="8"/>
        <v>1464.9310344827586</v>
      </c>
      <c r="E48" s="118"/>
      <c r="F48" s="114">
        <f t="shared" si="6"/>
        <v>20.275862068965516</v>
      </c>
      <c r="G48" s="249">
        <f t="shared" ref="G48:G60" si="9">+D48*12</f>
        <v>17579.172413793101</v>
      </c>
      <c r="H48" s="54"/>
      <c r="I48" s="115">
        <v>0</v>
      </c>
      <c r="J48" s="116">
        <v>12</v>
      </c>
      <c r="K48" s="117">
        <f t="shared" si="7"/>
        <v>1464.9310344827584</v>
      </c>
    </row>
    <row r="49" spans="2:11" ht="19.5" customHeight="1">
      <c r="B49" s="65" t="s">
        <v>101</v>
      </c>
      <c r="C49" s="49">
        <v>2.1120689655172415</v>
      </c>
      <c r="D49" s="50">
        <f t="shared" si="8"/>
        <v>1831.1637931034484</v>
      </c>
      <c r="E49" s="118"/>
      <c r="F49" s="114">
        <f t="shared" si="6"/>
        <v>25.344827586206897</v>
      </c>
      <c r="G49" s="249">
        <f t="shared" si="9"/>
        <v>21973.96551724138</v>
      </c>
      <c r="H49" s="54"/>
      <c r="I49" s="115">
        <v>0</v>
      </c>
      <c r="J49" s="116">
        <v>12</v>
      </c>
      <c r="K49" s="117">
        <f t="shared" si="7"/>
        <v>1831.1637931034484</v>
      </c>
    </row>
    <row r="50" spans="2:11" ht="19.5" customHeight="1">
      <c r="B50" s="65" t="s">
        <v>102</v>
      </c>
      <c r="C50" s="49">
        <v>2.6551724137931036</v>
      </c>
      <c r="D50" s="50">
        <f t="shared" si="8"/>
        <v>2302.0344827586209</v>
      </c>
      <c r="E50" s="118"/>
      <c r="F50" s="114">
        <f t="shared" si="6"/>
        <v>31.862068965517242</v>
      </c>
      <c r="G50" s="249">
        <f t="shared" si="9"/>
        <v>27624.413793103449</v>
      </c>
      <c r="H50" s="54"/>
      <c r="I50" s="115">
        <v>0</v>
      </c>
      <c r="J50" s="116">
        <v>12</v>
      </c>
      <c r="K50" s="117">
        <f t="shared" si="7"/>
        <v>2302.0344827586209</v>
      </c>
    </row>
    <row r="51" spans="2:11" ht="19.5" customHeight="1">
      <c r="B51" s="65" t="s">
        <v>103</v>
      </c>
      <c r="C51" s="49">
        <v>96.551724137931032</v>
      </c>
      <c r="D51" s="50">
        <f t="shared" si="8"/>
        <v>83710.344827586203</v>
      </c>
      <c r="E51" s="118"/>
      <c r="F51" s="114">
        <f t="shared" si="6"/>
        <v>1158.6206896551723</v>
      </c>
      <c r="G51" s="249">
        <f t="shared" si="9"/>
        <v>1004524.1379310344</v>
      </c>
      <c r="H51" s="54"/>
      <c r="I51" s="115">
        <v>0</v>
      </c>
      <c r="J51" s="116">
        <v>12</v>
      </c>
      <c r="K51" s="117">
        <f t="shared" si="7"/>
        <v>83710.344827586203</v>
      </c>
    </row>
    <row r="52" spans="2:11" ht="20.100000000000001" customHeight="1">
      <c r="B52" s="48" t="s">
        <v>104</v>
      </c>
      <c r="C52" s="49">
        <v>3.6206896551724137</v>
      </c>
      <c r="D52" s="50">
        <f t="shared" si="8"/>
        <v>3139.1379310344828</v>
      </c>
      <c r="E52" s="118"/>
      <c r="F52" s="114">
        <f t="shared" si="6"/>
        <v>43.448275862068968</v>
      </c>
      <c r="G52" s="249">
        <f t="shared" si="9"/>
        <v>37669.655172413797</v>
      </c>
      <c r="H52" s="54"/>
      <c r="I52" s="115">
        <v>0</v>
      </c>
      <c r="J52" s="116">
        <v>12</v>
      </c>
      <c r="K52" s="117">
        <f t="shared" si="7"/>
        <v>3139.1379310344832</v>
      </c>
    </row>
    <row r="53" spans="2:11" ht="20.100000000000001" customHeight="1">
      <c r="B53" s="48" t="s">
        <v>105</v>
      </c>
      <c r="C53" s="49">
        <v>15.025862068965518</v>
      </c>
      <c r="D53" s="50">
        <f t="shared" si="8"/>
        <v>13027.422413793103</v>
      </c>
      <c r="E53" s="118"/>
      <c r="F53" s="114">
        <f t="shared" si="6"/>
        <v>180.31034482758622</v>
      </c>
      <c r="G53" s="249">
        <f t="shared" si="9"/>
        <v>156329.06896551725</v>
      </c>
      <c r="H53" s="54"/>
      <c r="I53" s="115">
        <v>0</v>
      </c>
      <c r="J53" s="116">
        <v>12</v>
      </c>
      <c r="K53" s="117">
        <f t="shared" si="7"/>
        <v>13027.422413793103</v>
      </c>
    </row>
    <row r="54" spans="2:11" ht="20.100000000000001" customHeight="1">
      <c r="B54" s="48" t="s">
        <v>106</v>
      </c>
      <c r="C54" s="49">
        <v>5.3103448275862073</v>
      </c>
      <c r="D54" s="50">
        <f t="shared" si="8"/>
        <v>4604.0689655172418</v>
      </c>
      <c r="E54" s="118"/>
      <c r="F54" s="114">
        <f t="shared" si="6"/>
        <v>63.724137931034484</v>
      </c>
      <c r="G54" s="249">
        <f t="shared" si="9"/>
        <v>55248.827586206899</v>
      </c>
      <c r="H54" s="54"/>
      <c r="I54" s="115">
        <v>0</v>
      </c>
      <c r="J54" s="116">
        <v>12</v>
      </c>
      <c r="K54" s="117">
        <f t="shared" si="7"/>
        <v>4604.0689655172418</v>
      </c>
    </row>
    <row r="55" spans="2:11" ht="20.100000000000001" customHeight="1">
      <c r="B55" s="48"/>
      <c r="C55" s="49">
        <v>0</v>
      </c>
      <c r="D55" s="50">
        <f t="shared" si="8"/>
        <v>0</v>
      </c>
      <c r="E55" s="118"/>
      <c r="F55" s="114"/>
      <c r="G55" s="249">
        <f t="shared" si="9"/>
        <v>0</v>
      </c>
      <c r="H55" s="54"/>
      <c r="I55" s="115"/>
      <c r="J55" s="116"/>
      <c r="K55" s="117"/>
    </row>
    <row r="56" spans="2:11" ht="20.100000000000001" customHeight="1">
      <c r="B56" s="48" t="s">
        <v>107</v>
      </c>
      <c r="C56" s="49">
        <v>2.1120689655172415</v>
      </c>
      <c r="D56" s="50">
        <f t="shared" si="8"/>
        <v>1831.1637931034484</v>
      </c>
      <c r="E56" s="118"/>
      <c r="F56" s="114">
        <f>G56/$D$1</f>
        <v>25.344827586206897</v>
      </c>
      <c r="G56" s="249">
        <f t="shared" si="9"/>
        <v>21973.96551724138</v>
      </c>
      <c r="H56" s="54"/>
      <c r="I56" s="115">
        <v>0</v>
      </c>
      <c r="J56" s="116">
        <v>12</v>
      </c>
      <c r="K56" s="117">
        <f>(G56*(1-I56))/J56</f>
        <v>1831.1637931034484</v>
      </c>
    </row>
    <row r="57" spans="2:11" ht="20.100000000000001" customHeight="1">
      <c r="B57" s="48" t="s">
        <v>108</v>
      </c>
      <c r="C57" s="49">
        <v>2.4741379310344827</v>
      </c>
      <c r="D57" s="50">
        <f t="shared" si="8"/>
        <v>2145.0775862068963</v>
      </c>
      <c r="E57" s="118"/>
      <c r="F57" s="114">
        <f>G57/$D$1</f>
        <v>29.689655172413786</v>
      </c>
      <c r="G57" s="249">
        <f t="shared" si="9"/>
        <v>25740.931034482754</v>
      </c>
      <c r="H57" s="54"/>
      <c r="I57" s="115">
        <v>0</v>
      </c>
      <c r="J57" s="116">
        <v>12</v>
      </c>
      <c r="K57" s="117">
        <f>(G57*(1-I57))/J57</f>
        <v>2145.0775862068963</v>
      </c>
    </row>
    <row r="58" spans="2:11" ht="20.100000000000001" customHeight="1">
      <c r="B58" s="48" t="s">
        <v>109</v>
      </c>
      <c r="C58" s="49">
        <v>53.103448275862071</v>
      </c>
      <c r="D58" s="50">
        <f t="shared" si="8"/>
        <v>46040.689655172413</v>
      </c>
      <c r="E58" s="118"/>
      <c r="F58" s="114">
        <f>G58/$D$1</f>
        <v>637.24137931034488</v>
      </c>
      <c r="G58" s="249">
        <f t="shared" si="9"/>
        <v>552488.27586206899</v>
      </c>
      <c r="H58" s="54"/>
      <c r="I58" s="115">
        <v>0</v>
      </c>
      <c r="J58" s="116">
        <v>12</v>
      </c>
      <c r="K58" s="117">
        <f>(G58*(1-I58))/J58</f>
        <v>46040.689655172413</v>
      </c>
    </row>
    <row r="59" spans="2:11" ht="20.100000000000001" customHeight="1">
      <c r="B59" s="48" t="s">
        <v>110</v>
      </c>
      <c r="C59" s="49">
        <v>31.982758620689655</v>
      </c>
      <c r="D59" s="50">
        <f t="shared" si="8"/>
        <v>27729.051724137931</v>
      </c>
      <c r="E59" s="118"/>
      <c r="F59" s="114">
        <f>G59/$D$1</f>
        <v>383.79310344827587</v>
      </c>
      <c r="G59" s="249">
        <f t="shared" si="9"/>
        <v>332748.62068965519</v>
      </c>
      <c r="H59" s="54"/>
      <c r="I59" s="115">
        <v>0</v>
      </c>
      <c r="J59" s="116">
        <v>12</v>
      </c>
      <c r="K59" s="117">
        <f>(G59*(1-I59))/J59</f>
        <v>27729.051724137931</v>
      </c>
    </row>
    <row r="60" spans="2:11" ht="20.100000000000001" customHeight="1">
      <c r="B60" s="48" t="s">
        <v>111</v>
      </c>
      <c r="C60" s="49">
        <v>24.137931034482758</v>
      </c>
      <c r="D60" s="50">
        <f t="shared" si="8"/>
        <v>20927.586206896551</v>
      </c>
      <c r="E60" s="118"/>
      <c r="F60" s="114">
        <f>G60/$D$1</f>
        <v>289.65517241379308</v>
      </c>
      <c r="G60" s="249">
        <f t="shared" si="9"/>
        <v>251131.03448275861</v>
      </c>
      <c r="H60" s="54"/>
      <c r="I60" s="115">
        <v>0</v>
      </c>
      <c r="J60" s="116">
        <v>12</v>
      </c>
      <c r="K60" s="117">
        <f>(G60*(1-I60))/J60</f>
        <v>20927.586206896551</v>
      </c>
    </row>
    <row r="63" spans="2:11" ht="20.100000000000001" customHeight="1">
      <c r="B63" s="119" t="s">
        <v>112</v>
      </c>
      <c r="G63" s="101"/>
      <c r="H63" s="101"/>
      <c r="I63" s="907" t="s">
        <v>57</v>
      </c>
      <c r="J63" s="907"/>
      <c r="K63" s="908"/>
    </row>
    <row r="64" spans="2:11" ht="20.100000000000001" customHeight="1">
      <c r="G64" s="101"/>
      <c r="H64" s="101"/>
      <c r="I64" s="907" t="s">
        <v>65</v>
      </c>
      <c r="J64" s="908"/>
      <c r="K64" s="914" t="s">
        <v>75</v>
      </c>
    </row>
    <row r="65" spans="2:11" ht="39.950000000000003" customHeight="1">
      <c r="B65" s="45" t="s">
        <v>113</v>
      </c>
      <c r="C65" s="46" t="s">
        <v>36</v>
      </c>
      <c r="D65" s="46" t="s">
        <v>37</v>
      </c>
      <c r="E65" s="47"/>
      <c r="F65" s="46" t="s">
        <v>60</v>
      </c>
      <c r="G65" s="46" t="s">
        <v>61</v>
      </c>
      <c r="H65" s="110"/>
      <c r="I65" s="60" t="s">
        <v>76</v>
      </c>
      <c r="J65" s="60" t="s">
        <v>63</v>
      </c>
      <c r="K65" s="915"/>
    </row>
    <row r="66" spans="2:11" ht="15.75" customHeight="1">
      <c r="B66" s="48" t="s">
        <v>114</v>
      </c>
      <c r="C66" s="49">
        <v>354.40613026819921</v>
      </c>
      <c r="D66" s="243">
        <f>+C66*$D$1</f>
        <v>307270.11494252871</v>
      </c>
      <c r="E66" s="118"/>
      <c r="F66" s="114">
        <f>+G66/$D$1</f>
        <v>12758.620689655172</v>
      </c>
      <c r="G66" s="120">
        <f>+D66*J66</f>
        <v>11061724.137931034</v>
      </c>
      <c r="H66" s="54"/>
      <c r="I66" s="115">
        <v>0</v>
      </c>
      <c r="J66" s="116">
        <v>36</v>
      </c>
      <c r="K66" s="117">
        <f t="shared" ref="K66:K90" si="10">(G66*(1-I66))/J66</f>
        <v>307270.11494252871</v>
      </c>
    </row>
    <row r="67" spans="2:11" ht="15.75" customHeight="1">
      <c r="B67" s="48" t="s">
        <v>115</v>
      </c>
      <c r="C67" s="49">
        <v>26.899425287356323</v>
      </c>
      <c r="D67" s="243">
        <f t="shared" ref="D67:D90" si="11">+C67*$D$1</f>
        <v>23321.801724137931</v>
      </c>
      <c r="E67" s="118"/>
      <c r="F67" s="114">
        <f t="shared" ref="F67:F90" si="12">+G67/$D$1</f>
        <v>322.79310344827587</v>
      </c>
      <c r="G67" s="120">
        <f t="shared" ref="G67:G90" si="13">+D67*J67</f>
        <v>279861.62068965519</v>
      </c>
      <c r="H67" s="54"/>
      <c r="I67" s="115">
        <v>0</v>
      </c>
      <c r="J67" s="116">
        <v>12</v>
      </c>
      <c r="K67" s="117">
        <f t="shared" si="10"/>
        <v>23321.801724137931</v>
      </c>
    </row>
    <row r="68" spans="2:11" ht="15.75" customHeight="1">
      <c r="B68" s="48" t="s">
        <v>116</v>
      </c>
      <c r="C68" s="49">
        <v>33.881226053639843</v>
      </c>
      <c r="D68" s="243">
        <f t="shared" si="11"/>
        <v>29375.022988505745</v>
      </c>
      <c r="E68" s="118"/>
      <c r="F68" s="114">
        <f t="shared" si="12"/>
        <v>1219.7241379310344</v>
      </c>
      <c r="G68" s="120">
        <f t="shared" si="13"/>
        <v>1057500.8275862068</v>
      </c>
      <c r="H68" s="54"/>
      <c r="I68" s="115">
        <v>0</v>
      </c>
      <c r="J68" s="116">
        <v>36</v>
      </c>
      <c r="K68" s="117">
        <f t="shared" si="10"/>
        <v>29375.022988505745</v>
      </c>
    </row>
    <row r="69" spans="2:11" ht="15.75" customHeight="1">
      <c r="B69" s="48" t="s">
        <v>117</v>
      </c>
      <c r="C69" s="49">
        <v>23.036398467432949</v>
      </c>
      <c r="D69" s="243">
        <f t="shared" si="11"/>
        <v>19972.557471264368</v>
      </c>
      <c r="F69" s="114">
        <f t="shared" si="12"/>
        <v>829.31034482758616</v>
      </c>
      <c r="G69" s="120">
        <f t="shared" si="13"/>
        <v>719012.06896551722</v>
      </c>
      <c r="I69" s="115">
        <v>0</v>
      </c>
      <c r="J69" s="116">
        <v>36</v>
      </c>
      <c r="K69" s="117">
        <f t="shared" si="10"/>
        <v>19972.557471264368</v>
      </c>
    </row>
    <row r="70" spans="2:11" ht="15.75" customHeight="1">
      <c r="B70" s="111" t="s">
        <v>118</v>
      </c>
      <c r="C70" s="49">
        <v>0</v>
      </c>
      <c r="D70" s="243">
        <f t="shared" si="11"/>
        <v>0</v>
      </c>
      <c r="E70" s="122"/>
      <c r="F70" s="114">
        <f t="shared" si="12"/>
        <v>0</v>
      </c>
      <c r="G70" s="120">
        <f t="shared" si="13"/>
        <v>0</v>
      </c>
      <c r="H70" s="124"/>
      <c r="I70" s="125">
        <v>0</v>
      </c>
      <c r="J70" s="126">
        <v>36</v>
      </c>
      <c r="K70" s="127">
        <f t="shared" si="10"/>
        <v>0</v>
      </c>
    </row>
    <row r="71" spans="2:11" ht="15.75" customHeight="1">
      <c r="B71" s="48" t="s">
        <v>119</v>
      </c>
      <c r="C71" s="49">
        <v>9.568965517241379</v>
      </c>
      <c r="D71" s="243">
        <f t="shared" si="11"/>
        <v>8296.2931034482754</v>
      </c>
      <c r="F71" s="114">
        <f t="shared" si="12"/>
        <v>344.48275862068965</v>
      </c>
      <c r="G71" s="120">
        <f t="shared" si="13"/>
        <v>298666.55172413791</v>
      </c>
      <c r="I71" s="115">
        <v>0</v>
      </c>
      <c r="J71" s="116">
        <v>36</v>
      </c>
      <c r="K71" s="117">
        <f t="shared" si="10"/>
        <v>8296.2931034482754</v>
      </c>
    </row>
    <row r="72" spans="2:11" ht="15.75" customHeight="1">
      <c r="B72" s="48" t="s">
        <v>120</v>
      </c>
      <c r="C72" s="49">
        <v>4.6072796934865901</v>
      </c>
      <c r="D72" s="243">
        <f t="shared" si="11"/>
        <v>3994.5114942528735</v>
      </c>
      <c r="F72" s="114">
        <f t="shared" si="12"/>
        <v>165.86206896551724</v>
      </c>
      <c r="G72" s="120">
        <f t="shared" si="13"/>
        <v>143802.41379310345</v>
      </c>
      <c r="I72" s="115">
        <v>0</v>
      </c>
      <c r="J72" s="116">
        <v>36</v>
      </c>
      <c r="K72" s="117">
        <f t="shared" si="10"/>
        <v>3994.5114942528735</v>
      </c>
    </row>
    <row r="73" spans="2:11" ht="15.75" customHeight="1">
      <c r="B73" s="48" t="s">
        <v>121</v>
      </c>
      <c r="C73" s="49">
        <v>53.160919540229884</v>
      </c>
      <c r="D73" s="243">
        <f t="shared" si="11"/>
        <v>46090.517241379312</v>
      </c>
      <c r="F73" s="114">
        <f t="shared" si="12"/>
        <v>1913.7931034482758</v>
      </c>
      <c r="G73" s="120">
        <f t="shared" si="13"/>
        <v>1659258.6206896552</v>
      </c>
      <c r="I73" s="115">
        <v>0</v>
      </c>
      <c r="J73" s="116">
        <v>36</v>
      </c>
      <c r="K73" s="117">
        <f t="shared" si="10"/>
        <v>46090.517241379312</v>
      </c>
    </row>
    <row r="74" spans="2:11" ht="15.75" customHeight="1">
      <c r="B74" s="48" t="s">
        <v>122</v>
      </c>
      <c r="C74" s="49">
        <v>1.772030651340996</v>
      </c>
      <c r="D74" s="243">
        <f t="shared" si="11"/>
        <v>1536.3505747126435</v>
      </c>
      <c r="F74" s="114">
        <f t="shared" si="12"/>
        <v>63.793103448275858</v>
      </c>
      <c r="G74" s="120">
        <f t="shared" si="13"/>
        <v>55308.620689655167</v>
      </c>
      <c r="I74" s="115">
        <v>0</v>
      </c>
      <c r="J74" s="116">
        <v>36</v>
      </c>
      <c r="K74" s="117">
        <f t="shared" si="10"/>
        <v>1536.3505747126435</v>
      </c>
    </row>
    <row r="75" spans="2:11" ht="15.75" customHeight="1">
      <c r="B75" s="48" t="s">
        <v>123</v>
      </c>
      <c r="C75" s="49">
        <v>38.984674329501914</v>
      </c>
      <c r="D75" s="243">
        <f t="shared" si="11"/>
        <v>33799.712643678162</v>
      </c>
      <c r="F75" s="114">
        <f t="shared" si="12"/>
        <v>1403.4482758620691</v>
      </c>
      <c r="G75" s="120">
        <f t="shared" si="13"/>
        <v>1216789.6551724139</v>
      </c>
      <c r="I75" s="115">
        <v>0</v>
      </c>
      <c r="J75" s="116">
        <v>36</v>
      </c>
      <c r="K75" s="117">
        <f t="shared" si="10"/>
        <v>33799.712643678162</v>
      </c>
    </row>
    <row r="76" spans="2:11" ht="15.75" customHeight="1">
      <c r="B76" s="48" t="s">
        <v>124</v>
      </c>
      <c r="C76" s="49">
        <v>17.720306513409962</v>
      </c>
      <c r="D76" s="243">
        <f t="shared" si="11"/>
        <v>15363.505747126437</v>
      </c>
      <c r="F76" s="114">
        <f t="shared" si="12"/>
        <v>637.93103448275872</v>
      </c>
      <c r="G76" s="120">
        <f t="shared" si="13"/>
        <v>553086.20689655177</v>
      </c>
      <c r="I76" s="115">
        <v>0</v>
      </c>
      <c r="J76" s="116">
        <v>36</v>
      </c>
      <c r="K76" s="117">
        <f t="shared" si="10"/>
        <v>15363.505747126437</v>
      </c>
    </row>
    <row r="77" spans="2:11" ht="15.75" customHeight="1">
      <c r="B77" s="48" t="s">
        <v>125</v>
      </c>
      <c r="C77" s="49">
        <v>24.808429118773947</v>
      </c>
      <c r="D77" s="243">
        <f t="shared" si="11"/>
        <v>21508.908045977012</v>
      </c>
      <c r="F77" s="114">
        <f t="shared" si="12"/>
        <v>893.10344827586209</v>
      </c>
      <c r="G77" s="120">
        <f t="shared" si="13"/>
        <v>774320.68965517241</v>
      </c>
      <c r="I77" s="115">
        <v>0</v>
      </c>
      <c r="J77" s="116">
        <v>36</v>
      </c>
      <c r="K77" s="117">
        <f t="shared" si="10"/>
        <v>21508.908045977012</v>
      </c>
    </row>
    <row r="78" spans="2:11" ht="15.75" customHeight="1">
      <c r="B78" s="119" t="s">
        <v>112</v>
      </c>
      <c r="C78" s="49">
        <v>106.32183908045977</v>
      </c>
      <c r="D78" s="243">
        <f t="shared" si="11"/>
        <v>92181.034482758623</v>
      </c>
      <c r="F78" s="114">
        <f t="shared" si="12"/>
        <v>3827.5862068965516</v>
      </c>
      <c r="G78" s="120">
        <f t="shared" si="13"/>
        <v>3318517.2413793104</v>
      </c>
      <c r="I78" s="115">
        <v>0</v>
      </c>
      <c r="J78" s="116">
        <v>36</v>
      </c>
      <c r="K78" s="117">
        <f t="shared" si="10"/>
        <v>92181.034482758623</v>
      </c>
    </row>
    <row r="79" spans="2:11" ht="15.75" customHeight="1">
      <c r="B79" s="48" t="s">
        <v>126</v>
      </c>
      <c r="C79" s="49">
        <v>9.7816091954022983</v>
      </c>
      <c r="D79" s="243">
        <f t="shared" si="11"/>
        <v>8480.6551724137935</v>
      </c>
      <c r="F79" s="114">
        <f t="shared" si="12"/>
        <v>117.37931034482759</v>
      </c>
      <c r="G79" s="120">
        <f t="shared" si="13"/>
        <v>101767.86206896552</v>
      </c>
      <c r="I79" s="115">
        <v>0</v>
      </c>
      <c r="J79" s="116">
        <v>12</v>
      </c>
      <c r="K79" s="117">
        <f t="shared" si="10"/>
        <v>8480.6551724137935</v>
      </c>
    </row>
    <row r="80" spans="2:11" ht="15.75" customHeight="1">
      <c r="B80" s="48" t="s">
        <v>127</v>
      </c>
      <c r="C80" s="49">
        <v>187.83524904214562</v>
      </c>
      <c r="D80" s="243">
        <f t="shared" si="11"/>
        <v>162853.16091954024</v>
      </c>
      <c r="F80" s="114">
        <f t="shared" si="12"/>
        <v>6762.0689655172418</v>
      </c>
      <c r="G80" s="120">
        <f t="shared" si="13"/>
        <v>5862713.793103449</v>
      </c>
      <c r="I80" s="115">
        <v>0</v>
      </c>
      <c r="J80" s="116">
        <v>36</v>
      </c>
      <c r="K80" s="117">
        <f t="shared" si="10"/>
        <v>162853.16091954024</v>
      </c>
    </row>
    <row r="81" spans="2:13" ht="15.75" customHeight="1">
      <c r="B81" s="48" t="s">
        <v>128</v>
      </c>
      <c r="C81" s="49">
        <v>21.689655172413794</v>
      </c>
      <c r="D81" s="243">
        <f t="shared" si="11"/>
        <v>18804.931034482757</v>
      </c>
      <c r="F81" s="114">
        <f t="shared" si="12"/>
        <v>780.82758620689651</v>
      </c>
      <c r="G81" s="120">
        <f t="shared" si="13"/>
        <v>676977.51724137925</v>
      </c>
      <c r="I81" s="115">
        <v>0</v>
      </c>
      <c r="J81" s="116">
        <v>36</v>
      </c>
      <c r="K81" s="117">
        <f t="shared" si="10"/>
        <v>18804.931034482757</v>
      </c>
    </row>
    <row r="82" spans="2:13" ht="15.75" customHeight="1">
      <c r="B82" s="48" t="s">
        <v>129</v>
      </c>
      <c r="C82" s="49">
        <v>15.168582375478929</v>
      </c>
      <c r="D82" s="243">
        <f t="shared" si="11"/>
        <v>13151.160919540231</v>
      </c>
      <c r="F82" s="114">
        <f t="shared" si="12"/>
        <v>546.06896551724139</v>
      </c>
      <c r="G82" s="120">
        <f t="shared" si="13"/>
        <v>473441.79310344829</v>
      </c>
      <c r="I82" s="115">
        <v>0</v>
      </c>
      <c r="J82" s="116">
        <v>36</v>
      </c>
      <c r="K82" s="117">
        <f t="shared" si="10"/>
        <v>13151.160919540231</v>
      </c>
    </row>
    <row r="83" spans="2:13" ht="15.75" customHeight="1">
      <c r="B83" s="48" t="s">
        <v>130</v>
      </c>
      <c r="C83" s="49">
        <v>21.264367816091955</v>
      </c>
      <c r="D83" s="243">
        <f t="shared" si="11"/>
        <v>18436.206896551725</v>
      </c>
      <c r="F83" s="114">
        <f t="shared" si="12"/>
        <v>765.51724137931035</v>
      </c>
      <c r="G83" s="120">
        <f t="shared" si="13"/>
        <v>663703.44827586203</v>
      </c>
      <c r="I83" s="115">
        <v>0</v>
      </c>
      <c r="J83" s="116">
        <v>36</v>
      </c>
      <c r="K83" s="117">
        <f t="shared" si="10"/>
        <v>18436.206896551725</v>
      </c>
    </row>
    <row r="84" spans="2:13" ht="15.75" customHeight="1">
      <c r="B84" s="48" t="s">
        <v>131</v>
      </c>
      <c r="C84" s="49">
        <v>36.220306513409959</v>
      </c>
      <c r="D84" s="243">
        <f t="shared" si="11"/>
        <v>31403.005747126434</v>
      </c>
      <c r="F84" s="114">
        <f t="shared" si="12"/>
        <v>1303.9310344827586</v>
      </c>
      <c r="G84" s="120">
        <f t="shared" si="13"/>
        <v>1130508.2068965517</v>
      </c>
      <c r="I84" s="115">
        <v>0</v>
      </c>
      <c r="J84" s="116">
        <v>36</v>
      </c>
      <c r="K84" s="117">
        <f t="shared" si="10"/>
        <v>31403.005747126434</v>
      </c>
    </row>
    <row r="85" spans="2:13" ht="15.75" customHeight="1">
      <c r="B85" s="48" t="s">
        <v>132</v>
      </c>
      <c r="C85" s="49">
        <v>5.5287356321839072</v>
      </c>
      <c r="D85" s="243">
        <f t="shared" si="11"/>
        <v>4793.4137931034475</v>
      </c>
      <c r="F85" s="114">
        <f t="shared" si="12"/>
        <v>66.34482758620689</v>
      </c>
      <c r="G85" s="120">
        <f t="shared" si="13"/>
        <v>57520.96551724137</v>
      </c>
      <c r="I85" s="115">
        <v>0</v>
      </c>
      <c r="J85" s="116">
        <v>12</v>
      </c>
      <c r="K85" s="117">
        <f t="shared" si="10"/>
        <v>4793.4137931034475</v>
      </c>
    </row>
    <row r="86" spans="2:13" ht="15.75" customHeight="1">
      <c r="B86" s="111" t="s">
        <v>133</v>
      </c>
      <c r="C86" s="49">
        <v>0</v>
      </c>
      <c r="D86" s="243">
        <f t="shared" si="11"/>
        <v>0</v>
      </c>
      <c r="E86" s="122"/>
      <c r="F86" s="114">
        <f t="shared" si="12"/>
        <v>0</v>
      </c>
      <c r="G86" s="120">
        <f t="shared" si="13"/>
        <v>0</v>
      </c>
      <c r="H86" s="124"/>
      <c r="I86" s="125">
        <v>0</v>
      </c>
      <c r="J86" s="126">
        <v>36</v>
      </c>
      <c r="K86" s="127">
        <f t="shared" si="10"/>
        <v>0</v>
      </c>
    </row>
    <row r="87" spans="2:13" ht="15.75" customHeight="1">
      <c r="B87" s="111" t="s">
        <v>134</v>
      </c>
      <c r="C87" s="49">
        <v>0</v>
      </c>
      <c r="D87" s="243">
        <f t="shared" si="11"/>
        <v>0</v>
      </c>
      <c r="E87" s="122"/>
      <c r="F87" s="114">
        <f t="shared" si="12"/>
        <v>0</v>
      </c>
      <c r="G87" s="120">
        <f t="shared" si="13"/>
        <v>0</v>
      </c>
      <c r="H87" s="124"/>
      <c r="I87" s="125">
        <v>0</v>
      </c>
      <c r="J87" s="126">
        <v>36</v>
      </c>
      <c r="K87" s="127">
        <f t="shared" si="10"/>
        <v>0</v>
      </c>
    </row>
    <row r="88" spans="2:13" ht="15.75" customHeight="1">
      <c r="B88" s="111" t="s">
        <v>135</v>
      </c>
      <c r="C88" s="49">
        <v>0</v>
      </c>
      <c r="D88" s="243">
        <f t="shared" si="11"/>
        <v>0</v>
      </c>
      <c r="E88" s="122"/>
      <c r="F88" s="114">
        <f t="shared" si="12"/>
        <v>0</v>
      </c>
      <c r="G88" s="120">
        <f t="shared" si="13"/>
        <v>0</v>
      </c>
      <c r="H88" s="124"/>
      <c r="I88" s="125">
        <v>0</v>
      </c>
      <c r="J88" s="126">
        <v>36</v>
      </c>
      <c r="K88" s="127">
        <f t="shared" si="10"/>
        <v>0</v>
      </c>
    </row>
    <row r="89" spans="2:13" ht="15.75" customHeight="1">
      <c r="B89" s="111" t="s">
        <v>136</v>
      </c>
      <c r="C89" s="49">
        <v>0</v>
      </c>
      <c r="D89" s="243">
        <f t="shared" si="11"/>
        <v>0</v>
      </c>
      <c r="E89" s="122"/>
      <c r="F89" s="114">
        <f t="shared" si="12"/>
        <v>0</v>
      </c>
      <c r="G89" s="120">
        <f t="shared" si="13"/>
        <v>0</v>
      </c>
      <c r="H89" s="124"/>
      <c r="I89" s="125">
        <v>0</v>
      </c>
      <c r="J89" s="126">
        <v>36</v>
      </c>
      <c r="K89" s="127">
        <f t="shared" si="10"/>
        <v>0</v>
      </c>
    </row>
    <row r="90" spans="2:13" ht="15.75" customHeight="1">
      <c r="B90" s="48" t="s">
        <v>137</v>
      </c>
      <c r="C90" s="49">
        <v>5.3160919540229887</v>
      </c>
      <c r="D90" s="243">
        <f t="shared" si="11"/>
        <v>4609.0517241379312</v>
      </c>
      <c r="F90" s="114">
        <f t="shared" si="12"/>
        <v>191.37931034482759</v>
      </c>
      <c r="G90" s="120">
        <f t="shared" si="13"/>
        <v>165925.86206896551</v>
      </c>
      <c r="I90" s="115">
        <v>0</v>
      </c>
      <c r="J90" s="116">
        <v>36</v>
      </c>
      <c r="K90" s="117">
        <f t="shared" si="10"/>
        <v>4609.0517241379312</v>
      </c>
    </row>
    <row r="94" spans="2:13">
      <c r="B94" s="65" t="s">
        <v>138</v>
      </c>
      <c r="C94" s="49">
        <f>D94/$D$1</f>
        <v>166.71666666666667</v>
      </c>
      <c r="D94" s="50">
        <f t="shared" ref="D94:D99" si="14">K94</f>
        <v>144543.35</v>
      </c>
      <c r="F94" s="120">
        <v>10003</v>
      </c>
      <c r="G94" s="120">
        <f>F94*$D$1</f>
        <v>8672601</v>
      </c>
      <c r="I94" s="120">
        <v>0</v>
      </c>
      <c r="J94" s="120">
        <v>60</v>
      </c>
      <c r="K94" s="120">
        <f>(G94*(1-I94))/J94</f>
        <v>144543.35</v>
      </c>
      <c r="M94" s="129">
        <f>12*1/J94</f>
        <v>0.2</v>
      </c>
    </row>
    <row r="95" spans="2:13">
      <c r="B95" s="65" t="s">
        <v>139</v>
      </c>
      <c r="C95" s="50" t="str">
        <f>J95</f>
        <v>-</v>
      </c>
      <c r="D95" s="50" t="str">
        <f t="shared" si="14"/>
        <v>-</v>
      </c>
      <c r="F95" s="130" t="s">
        <v>31</v>
      </c>
      <c r="G95" s="130" t="s">
        <v>31</v>
      </c>
      <c r="H95" s="131"/>
      <c r="I95" s="130" t="s">
        <v>31</v>
      </c>
      <c r="J95" s="130" t="s">
        <v>31</v>
      </c>
      <c r="K95" s="130" t="s">
        <v>31</v>
      </c>
    </row>
    <row r="96" spans="2:13">
      <c r="B96" s="65" t="s">
        <v>140</v>
      </c>
      <c r="C96" s="50" t="str">
        <f>J96</f>
        <v>-</v>
      </c>
      <c r="D96" s="50" t="str">
        <f t="shared" si="14"/>
        <v>-</v>
      </c>
      <c r="F96" s="128" t="s">
        <v>31</v>
      </c>
      <c r="G96" s="128" t="s">
        <v>31</v>
      </c>
      <c r="H96" s="131"/>
      <c r="I96" s="128" t="s">
        <v>31</v>
      </c>
      <c r="J96" s="128" t="s">
        <v>31</v>
      </c>
      <c r="K96" s="128" t="s">
        <v>31</v>
      </c>
    </row>
    <row r="97" spans="2:14">
      <c r="B97" s="65" t="s">
        <v>74</v>
      </c>
      <c r="C97" s="121">
        <f>D97/$D$1</f>
        <v>216.66666666666666</v>
      </c>
      <c r="D97" s="121">
        <f t="shared" si="14"/>
        <v>187850</v>
      </c>
      <c r="E97" s="122"/>
      <c r="F97" s="121">
        <v>13000</v>
      </c>
      <c r="G97" s="123">
        <f>F97*$D$1</f>
        <v>11271000</v>
      </c>
      <c r="H97" s="132"/>
      <c r="I97" s="125">
        <v>0</v>
      </c>
      <c r="J97" s="126">
        <v>60</v>
      </c>
      <c r="K97" s="127">
        <f>(G97*(1-I97))/J97</f>
        <v>187850</v>
      </c>
    </row>
    <row r="98" spans="2:14">
      <c r="B98" s="65" t="s">
        <v>72</v>
      </c>
      <c r="C98" s="49">
        <f>D98/$D$1</f>
        <v>155.53333333333333</v>
      </c>
      <c r="D98" s="50">
        <f t="shared" si="14"/>
        <v>134847.4</v>
      </c>
      <c r="E98" s="118"/>
      <c r="F98" s="114">
        <v>9332</v>
      </c>
      <c r="G98" s="120">
        <f>F98*$D$1</f>
        <v>8090844</v>
      </c>
      <c r="H98" s="54"/>
      <c r="I98" s="115">
        <v>0</v>
      </c>
      <c r="J98" s="116">
        <v>60</v>
      </c>
      <c r="K98" s="117">
        <f>(G98*(1-I98))/J98</f>
        <v>134847.4</v>
      </c>
      <c r="N98" s="129"/>
    </row>
    <row r="99" spans="2:14" ht="13.5" customHeight="1">
      <c r="B99" s="65" t="s">
        <v>73</v>
      </c>
      <c r="C99" s="49">
        <f>D99/$D$1</f>
        <v>408.66666666666669</v>
      </c>
      <c r="D99" s="50">
        <f t="shared" si="14"/>
        <v>354314</v>
      </c>
      <c r="E99" s="118"/>
      <c r="F99" s="114">
        <v>24520</v>
      </c>
      <c r="G99" s="120">
        <f>F99*$D$1</f>
        <v>21258840</v>
      </c>
      <c r="H99" s="54"/>
      <c r="I99" s="115">
        <v>0</v>
      </c>
      <c r="J99" s="116">
        <v>60</v>
      </c>
      <c r="K99" s="117">
        <f>(G99*(1-I99))/J99</f>
        <v>354314</v>
      </c>
    </row>
    <row r="100" spans="2:14">
      <c r="E100" s="44"/>
      <c r="F100" s="44"/>
      <c r="G100" s="44"/>
      <c r="H100" s="44"/>
      <c r="I100" s="44"/>
      <c r="J100" s="44"/>
      <c r="K100" s="44"/>
    </row>
    <row r="101" spans="2:14">
      <c r="E101" s="44"/>
      <c r="F101" s="44"/>
      <c r="G101" s="44"/>
      <c r="H101" s="44"/>
      <c r="I101" s="44"/>
      <c r="J101" s="44"/>
      <c r="K101" s="44"/>
    </row>
    <row r="102" spans="2:14">
      <c r="E102" s="44"/>
      <c r="F102" s="44"/>
      <c r="G102" s="44"/>
      <c r="H102" s="44"/>
      <c r="I102" s="44"/>
      <c r="J102" s="44"/>
      <c r="K102" s="44"/>
    </row>
    <row r="103" spans="2:14">
      <c r="E103" s="44"/>
      <c r="F103" s="44"/>
      <c r="G103" s="44"/>
      <c r="H103" s="44"/>
      <c r="I103" s="44"/>
      <c r="J103" s="44"/>
      <c r="K103" s="44"/>
    </row>
  </sheetData>
  <mergeCells count="9">
    <mergeCell ref="I63:K63"/>
    <mergeCell ref="I64:J64"/>
    <mergeCell ref="K64:K65"/>
    <mergeCell ref="I19:K19"/>
    <mergeCell ref="I20:J20"/>
    <mergeCell ref="K20:K21"/>
    <mergeCell ref="I43:K43"/>
    <mergeCell ref="I44:J44"/>
    <mergeCell ref="K44:K45"/>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tabColor theme="0" tint="-0.14999847407452621"/>
  </sheetPr>
  <dimension ref="A1:Q48"/>
  <sheetViews>
    <sheetView showGridLines="0" workbookViewId="0">
      <selection activeCell="D2" sqref="D2"/>
    </sheetView>
  </sheetViews>
  <sheetFormatPr baseColWidth="10" defaultColWidth="11.42578125" defaultRowHeight="12.75"/>
  <cols>
    <col min="1" max="1" width="2" style="44" customWidth="1"/>
    <col min="2" max="2" width="62.28515625" style="44" customWidth="1"/>
    <col min="3" max="3" width="9.5703125" style="44" bestFit="1" customWidth="1"/>
    <col min="4" max="4" width="10.85546875" style="44" bestFit="1" customWidth="1"/>
    <col min="5" max="5" width="2" style="43" customWidth="1"/>
    <col min="6" max="6" width="10.7109375" style="43" customWidth="1"/>
    <col min="7" max="7" width="10.7109375" style="96" customWidth="1"/>
    <col min="8" max="8" width="2.42578125" style="96" customWidth="1"/>
    <col min="9" max="10" width="10.7109375" style="96" customWidth="1"/>
    <col min="11" max="11" width="11.5703125" style="96" customWidth="1"/>
    <col min="12" max="12" width="1.7109375" style="43" customWidth="1"/>
    <col min="13" max="16384" width="11.42578125" style="44"/>
  </cols>
  <sheetData>
    <row r="1" spans="1:17" ht="20.100000000000001" customHeight="1">
      <c r="B1" s="40" t="s">
        <v>33</v>
      </c>
      <c r="C1" s="41" t="s">
        <v>34</v>
      </c>
      <c r="D1" s="42">
        <f>+'1. S'!C1</f>
        <v>867</v>
      </c>
      <c r="M1" s="110"/>
      <c r="N1" s="110"/>
      <c r="O1" s="110"/>
      <c r="P1" s="110"/>
      <c r="Q1" s="43"/>
    </row>
    <row r="4" spans="1:17" s="43" customFormat="1" ht="20.100000000000001" customHeight="1">
      <c r="A4" s="44"/>
      <c r="B4" s="119" t="s">
        <v>112</v>
      </c>
      <c r="C4" s="44"/>
      <c r="D4" s="44"/>
      <c r="G4" s="101"/>
      <c r="H4" s="101"/>
      <c r="I4" s="907" t="s">
        <v>57</v>
      </c>
      <c r="J4" s="907"/>
      <c r="K4" s="908"/>
      <c r="M4" s="44"/>
      <c r="N4" s="44"/>
      <c r="O4" s="44"/>
      <c r="P4" s="44"/>
      <c r="Q4" s="44"/>
    </row>
    <row r="5" spans="1:17" s="43" customFormat="1" ht="20.100000000000001" customHeight="1">
      <c r="A5" s="44"/>
      <c r="B5" s="44"/>
      <c r="C5" s="44"/>
      <c r="D5" s="44"/>
      <c r="G5" s="101"/>
      <c r="H5" s="101"/>
      <c r="I5" s="907" t="s">
        <v>65</v>
      </c>
      <c r="J5" s="908"/>
      <c r="K5" s="914" t="s">
        <v>75</v>
      </c>
      <c r="M5" s="44"/>
      <c r="N5" s="44"/>
      <c r="O5" s="44"/>
      <c r="P5" s="44"/>
      <c r="Q5" s="44"/>
    </row>
    <row r="6" spans="1:17" s="43" customFormat="1" ht="39.950000000000003" customHeight="1">
      <c r="A6" s="44"/>
      <c r="B6" s="45" t="s">
        <v>113</v>
      </c>
      <c r="C6" s="46" t="s">
        <v>36</v>
      </c>
      <c r="D6" s="46" t="s">
        <v>37</v>
      </c>
      <c r="E6" s="47"/>
      <c r="F6" s="46" t="s">
        <v>60</v>
      </c>
      <c r="G6" s="46" t="s">
        <v>61</v>
      </c>
      <c r="H6" s="110"/>
      <c r="I6" s="60" t="s">
        <v>76</v>
      </c>
      <c r="J6" s="60" t="s">
        <v>63</v>
      </c>
      <c r="K6" s="915"/>
      <c r="M6" s="46"/>
      <c r="N6" s="44"/>
      <c r="O6" s="44"/>
      <c r="P6" s="44"/>
      <c r="Q6" s="44"/>
    </row>
    <row r="7" spans="1:17" s="43" customFormat="1" ht="15.75" customHeight="1">
      <c r="A7" s="44">
        <v>1</v>
      </c>
      <c r="B7" s="48" t="s">
        <v>114</v>
      </c>
      <c r="C7" s="49">
        <v>277.77777777777777</v>
      </c>
      <c r="D7" s="50">
        <f>+C7*$D$1</f>
        <v>240833.33333333331</v>
      </c>
      <c r="E7" s="118"/>
      <c r="F7" s="114">
        <v>10000</v>
      </c>
      <c r="G7" s="120">
        <f t="shared" ref="G7:G31" si="0">F7*$D$1</f>
        <v>8670000</v>
      </c>
      <c r="H7" s="54"/>
      <c r="I7" s="115">
        <v>0</v>
      </c>
      <c r="J7" s="116">
        <v>36</v>
      </c>
      <c r="K7" s="117">
        <f t="shared" ref="K7:K31" si="1">(G7*(1-I7))/J7</f>
        <v>240833.33333333334</v>
      </c>
      <c r="M7" s="50">
        <f>+SUMIF(A7:A31,1,D7:D31)</f>
        <v>396435.75</v>
      </c>
      <c r="N7" s="44"/>
      <c r="O7" s="44"/>
      <c r="P7" s="44"/>
      <c r="Q7" s="44"/>
    </row>
    <row r="8" spans="1:17" s="43" customFormat="1" ht="15.75" customHeight="1">
      <c r="A8" s="44">
        <v>1</v>
      </c>
      <c r="B8" s="48" t="s">
        <v>115</v>
      </c>
      <c r="C8" s="49">
        <v>21.083333333333332</v>
      </c>
      <c r="D8" s="50">
        <f t="shared" ref="D8:D31" si="2">+C8*$D$1</f>
        <v>18279.25</v>
      </c>
      <c r="E8" s="118"/>
      <c r="F8" s="114">
        <v>253</v>
      </c>
      <c r="G8" s="120">
        <f t="shared" si="0"/>
        <v>219351</v>
      </c>
      <c r="H8" s="54"/>
      <c r="I8" s="115">
        <v>0</v>
      </c>
      <c r="J8" s="116">
        <v>12</v>
      </c>
      <c r="K8" s="117">
        <f t="shared" si="1"/>
        <v>18279.25</v>
      </c>
      <c r="M8" s="44"/>
      <c r="N8" s="44"/>
      <c r="O8" s="44"/>
      <c r="P8" s="44"/>
      <c r="Q8" s="44"/>
    </row>
    <row r="9" spans="1:17" s="43" customFormat="1" ht="15.75" customHeight="1">
      <c r="A9" s="44"/>
      <c r="B9" s="48" t="s">
        <v>116</v>
      </c>
      <c r="C9" s="49">
        <v>26.555555555555557</v>
      </c>
      <c r="D9" s="50">
        <f>+C9*$D$1</f>
        <v>23023.666666666668</v>
      </c>
      <c r="E9" s="118"/>
      <c r="F9" s="114">
        <v>956</v>
      </c>
      <c r="G9" s="120">
        <f t="shared" si="0"/>
        <v>828852</v>
      </c>
      <c r="H9" s="54"/>
      <c r="I9" s="115">
        <v>0</v>
      </c>
      <c r="J9" s="116">
        <v>36</v>
      </c>
      <c r="K9" s="117">
        <f t="shared" si="1"/>
        <v>23023.666666666668</v>
      </c>
      <c r="M9" s="44"/>
      <c r="N9" s="44"/>
      <c r="O9" s="44"/>
      <c r="P9" s="44"/>
      <c r="Q9" s="44"/>
    </row>
    <row r="10" spans="1:17" s="43" customFormat="1" ht="15.75" customHeight="1">
      <c r="A10" s="44"/>
      <c r="B10" s="48" t="s">
        <v>117</v>
      </c>
      <c r="C10" s="49">
        <v>18.055555555555554</v>
      </c>
      <c r="D10" s="50">
        <f t="shared" si="2"/>
        <v>15654.166666666664</v>
      </c>
      <c r="F10" s="114">
        <v>650</v>
      </c>
      <c r="G10" s="120">
        <f t="shared" si="0"/>
        <v>563550</v>
      </c>
      <c r="H10" s="96"/>
      <c r="I10" s="115">
        <v>0</v>
      </c>
      <c r="J10" s="116">
        <v>36</v>
      </c>
      <c r="K10" s="117">
        <f t="shared" si="1"/>
        <v>15654.166666666666</v>
      </c>
      <c r="M10" s="44"/>
      <c r="N10" s="44"/>
      <c r="O10" s="44"/>
      <c r="P10" s="44"/>
      <c r="Q10" s="44"/>
    </row>
    <row r="11" spans="1:17" s="43" customFormat="1" ht="15.75" customHeight="1">
      <c r="A11" s="44"/>
      <c r="B11" s="111" t="s">
        <v>118</v>
      </c>
      <c r="C11" s="121">
        <v>0</v>
      </c>
      <c r="D11" s="50">
        <f t="shared" si="2"/>
        <v>0</v>
      </c>
      <c r="E11" s="122"/>
      <c r="F11" s="121">
        <v>0</v>
      </c>
      <c r="G11" s="123">
        <f t="shared" si="0"/>
        <v>0</v>
      </c>
      <c r="H11" s="124"/>
      <c r="I11" s="125">
        <v>0</v>
      </c>
      <c r="J11" s="126">
        <v>36</v>
      </c>
      <c r="K11" s="127">
        <f t="shared" si="1"/>
        <v>0</v>
      </c>
      <c r="M11" s="44"/>
      <c r="N11" s="44"/>
      <c r="O11" s="44"/>
      <c r="P11" s="44"/>
      <c r="Q11" s="44"/>
    </row>
    <row r="12" spans="1:17" s="43" customFormat="1" ht="15.75" customHeight="1">
      <c r="A12" s="44">
        <v>1</v>
      </c>
      <c r="B12" s="48" t="s">
        <v>119</v>
      </c>
      <c r="C12" s="49">
        <v>7.5</v>
      </c>
      <c r="D12" s="50">
        <f t="shared" si="2"/>
        <v>6502.5</v>
      </c>
      <c r="F12" s="114">
        <v>270</v>
      </c>
      <c r="G12" s="120">
        <f t="shared" si="0"/>
        <v>234090</v>
      </c>
      <c r="H12" s="96"/>
      <c r="I12" s="115">
        <v>0</v>
      </c>
      <c r="J12" s="116">
        <v>36</v>
      </c>
      <c r="K12" s="117">
        <f t="shared" si="1"/>
        <v>6502.5</v>
      </c>
      <c r="M12" s="44"/>
      <c r="N12" s="44"/>
      <c r="O12" s="44"/>
      <c r="P12" s="44"/>
      <c r="Q12" s="44"/>
    </row>
    <row r="13" spans="1:17" s="43" customFormat="1" ht="15.75" customHeight="1">
      <c r="A13" s="44"/>
      <c r="B13" s="48" t="s">
        <v>120</v>
      </c>
      <c r="C13" s="49">
        <v>3.6111111111111112</v>
      </c>
      <c r="D13" s="50">
        <f t="shared" si="2"/>
        <v>3130.8333333333335</v>
      </c>
      <c r="F13" s="114">
        <v>130</v>
      </c>
      <c r="G13" s="120">
        <f t="shared" si="0"/>
        <v>112710</v>
      </c>
      <c r="H13" s="96"/>
      <c r="I13" s="115">
        <v>0</v>
      </c>
      <c r="J13" s="116">
        <v>36</v>
      </c>
      <c r="K13" s="117">
        <f t="shared" si="1"/>
        <v>3130.8333333333335</v>
      </c>
      <c r="M13" s="44"/>
      <c r="N13" s="44"/>
      <c r="O13" s="44"/>
      <c r="P13" s="44"/>
      <c r="Q13" s="44"/>
    </row>
    <row r="14" spans="1:17" s="43" customFormat="1" ht="15.75" customHeight="1">
      <c r="A14" s="44">
        <v>1</v>
      </c>
      <c r="B14" s="48" t="s">
        <v>121</v>
      </c>
      <c r="C14" s="49">
        <v>41.666666666666664</v>
      </c>
      <c r="D14" s="50">
        <f t="shared" si="2"/>
        <v>36125</v>
      </c>
      <c r="F14" s="114">
        <v>1500</v>
      </c>
      <c r="G14" s="120">
        <f t="shared" si="0"/>
        <v>1300500</v>
      </c>
      <c r="H14" s="96"/>
      <c r="I14" s="115">
        <v>0</v>
      </c>
      <c r="J14" s="116">
        <v>36</v>
      </c>
      <c r="K14" s="117">
        <f t="shared" si="1"/>
        <v>36125</v>
      </c>
      <c r="M14" s="44"/>
      <c r="N14" s="44"/>
      <c r="O14" s="44"/>
      <c r="P14" s="44"/>
      <c r="Q14" s="44"/>
    </row>
    <row r="15" spans="1:17" s="43" customFormat="1" ht="15.75" customHeight="1">
      <c r="A15" s="44"/>
      <c r="B15" s="48" t="s">
        <v>122</v>
      </c>
      <c r="C15" s="49">
        <v>1.3888888888888888</v>
      </c>
      <c r="D15" s="50">
        <f t="shared" si="2"/>
        <v>1204.1666666666665</v>
      </c>
      <c r="F15" s="114">
        <v>50</v>
      </c>
      <c r="G15" s="120">
        <f t="shared" si="0"/>
        <v>43350</v>
      </c>
      <c r="H15" s="96"/>
      <c r="I15" s="115">
        <v>0</v>
      </c>
      <c r="J15" s="116">
        <v>36</v>
      </c>
      <c r="K15" s="117">
        <f t="shared" si="1"/>
        <v>1204.1666666666667</v>
      </c>
      <c r="M15" s="44"/>
      <c r="N15" s="44"/>
      <c r="O15" s="44"/>
      <c r="P15" s="44"/>
      <c r="Q15" s="44"/>
    </row>
    <row r="16" spans="1:17" s="43" customFormat="1" ht="15.75" customHeight="1">
      <c r="A16" s="44"/>
      <c r="B16" s="48" t="s">
        <v>123</v>
      </c>
      <c r="C16" s="49">
        <v>30.555555555555557</v>
      </c>
      <c r="D16" s="50">
        <f t="shared" si="2"/>
        <v>26491.666666666668</v>
      </c>
      <c r="F16" s="114">
        <v>1100</v>
      </c>
      <c r="G16" s="120">
        <f t="shared" si="0"/>
        <v>953700</v>
      </c>
      <c r="H16" s="96"/>
      <c r="I16" s="115">
        <v>0</v>
      </c>
      <c r="J16" s="116">
        <v>36</v>
      </c>
      <c r="K16" s="117">
        <f t="shared" si="1"/>
        <v>26491.666666666668</v>
      </c>
      <c r="M16" s="44"/>
      <c r="N16" s="44"/>
      <c r="O16" s="44"/>
      <c r="P16" s="44"/>
      <c r="Q16" s="44"/>
    </row>
    <row r="17" spans="1:17" s="43" customFormat="1" ht="15.75" customHeight="1">
      <c r="A17" s="44">
        <v>1</v>
      </c>
      <c r="B17" s="48" t="s">
        <v>124</v>
      </c>
      <c r="C17" s="49">
        <v>13.888888888888888</v>
      </c>
      <c r="D17" s="50">
        <f t="shared" si="2"/>
        <v>12041.666666666666</v>
      </c>
      <c r="F17" s="114">
        <v>500</v>
      </c>
      <c r="G17" s="120">
        <f t="shared" si="0"/>
        <v>433500</v>
      </c>
      <c r="H17" s="96"/>
      <c r="I17" s="115">
        <v>0</v>
      </c>
      <c r="J17" s="116">
        <v>36</v>
      </c>
      <c r="K17" s="117">
        <f t="shared" si="1"/>
        <v>12041.666666666666</v>
      </c>
      <c r="M17" s="44"/>
      <c r="N17" s="44"/>
      <c r="O17" s="44"/>
      <c r="P17" s="44"/>
      <c r="Q17" s="44"/>
    </row>
    <row r="18" spans="1:17" s="43" customFormat="1" ht="15.75" customHeight="1">
      <c r="A18" s="44"/>
      <c r="B18" s="48" t="s">
        <v>125</v>
      </c>
      <c r="C18" s="49">
        <v>19.444444444444446</v>
      </c>
      <c r="D18" s="50">
        <f t="shared" si="2"/>
        <v>16858.333333333336</v>
      </c>
      <c r="F18" s="114">
        <v>700</v>
      </c>
      <c r="G18" s="120">
        <f t="shared" si="0"/>
        <v>606900</v>
      </c>
      <c r="H18" s="96"/>
      <c r="I18" s="115">
        <v>0</v>
      </c>
      <c r="J18" s="116">
        <v>36</v>
      </c>
      <c r="K18" s="117">
        <f t="shared" si="1"/>
        <v>16858.333333333332</v>
      </c>
      <c r="M18" s="44"/>
      <c r="N18" s="44"/>
      <c r="O18" s="44"/>
      <c r="P18" s="44"/>
      <c r="Q18" s="44"/>
    </row>
    <row r="19" spans="1:17" s="43" customFormat="1" ht="15.75" customHeight="1">
      <c r="A19" s="44">
        <v>1</v>
      </c>
      <c r="B19" s="119" t="s">
        <v>112</v>
      </c>
      <c r="C19" s="49">
        <v>83.333333333333329</v>
      </c>
      <c r="D19" s="50">
        <f t="shared" si="2"/>
        <v>72250</v>
      </c>
      <c r="F19" s="114">
        <v>3000</v>
      </c>
      <c r="G19" s="120">
        <f t="shared" si="0"/>
        <v>2601000</v>
      </c>
      <c r="H19" s="96"/>
      <c r="I19" s="115">
        <v>0</v>
      </c>
      <c r="J19" s="116">
        <v>36</v>
      </c>
      <c r="K19" s="117">
        <f t="shared" si="1"/>
        <v>72250</v>
      </c>
      <c r="M19" s="44"/>
      <c r="N19" s="44"/>
      <c r="O19" s="44"/>
      <c r="P19" s="44"/>
      <c r="Q19" s="44"/>
    </row>
    <row r="20" spans="1:17" s="43" customFormat="1" ht="15.75" customHeight="1">
      <c r="A20" s="44">
        <v>1</v>
      </c>
      <c r="B20" s="48" t="s">
        <v>126</v>
      </c>
      <c r="C20" s="49">
        <v>7.666666666666667</v>
      </c>
      <c r="D20" s="50">
        <f t="shared" si="2"/>
        <v>6647</v>
      </c>
      <c r="F20" s="114">
        <v>92</v>
      </c>
      <c r="G20" s="120">
        <f t="shared" si="0"/>
        <v>79764</v>
      </c>
      <c r="H20" s="96"/>
      <c r="I20" s="115">
        <v>0</v>
      </c>
      <c r="J20" s="116">
        <v>12</v>
      </c>
      <c r="K20" s="117">
        <f t="shared" si="1"/>
        <v>6647</v>
      </c>
      <c r="M20" s="44"/>
      <c r="N20" s="44"/>
      <c r="O20" s="44"/>
      <c r="P20" s="44"/>
      <c r="Q20" s="44"/>
    </row>
    <row r="21" spans="1:17" s="43" customFormat="1" ht="15.75" customHeight="1">
      <c r="A21" s="44"/>
      <c r="B21" s="48" t="s">
        <v>127</v>
      </c>
      <c r="C21" s="49">
        <v>147.22222222222223</v>
      </c>
      <c r="D21" s="50">
        <f t="shared" si="2"/>
        <v>127641.66666666667</v>
      </c>
      <c r="F21" s="114">
        <v>5300</v>
      </c>
      <c r="G21" s="120">
        <f t="shared" si="0"/>
        <v>4595100</v>
      </c>
      <c r="H21" s="96"/>
      <c r="I21" s="115">
        <v>0</v>
      </c>
      <c r="J21" s="116">
        <v>36</v>
      </c>
      <c r="K21" s="117">
        <f t="shared" si="1"/>
        <v>127641.66666666667</v>
      </c>
      <c r="M21" s="44"/>
      <c r="N21" s="44"/>
      <c r="O21" s="44"/>
      <c r="P21" s="44"/>
      <c r="Q21" s="44"/>
    </row>
    <row r="22" spans="1:17" ht="15.75" customHeight="1">
      <c r="B22" s="48" t="s">
        <v>128</v>
      </c>
      <c r="C22" s="49">
        <v>17</v>
      </c>
      <c r="D22" s="50">
        <f t="shared" si="2"/>
        <v>14739</v>
      </c>
      <c r="F22" s="114">
        <v>612</v>
      </c>
      <c r="G22" s="120">
        <f t="shared" si="0"/>
        <v>530604</v>
      </c>
      <c r="I22" s="115">
        <v>0</v>
      </c>
      <c r="J22" s="116">
        <v>36</v>
      </c>
      <c r="K22" s="117">
        <f t="shared" si="1"/>
        <v>14739</v>
      </c>
    </row>
    <row r="23" spans="1:17" ht="15.75" customHeight="1">
      <c r="B23" s="48" t="s">
        <v>129</v>
      </c>
      <c r="C23" s="49">
        <v>11.888888888888888</v>
      </c>
      <c r="D23" s="50">
        <f t="shared" si="2"/>
        <v>10307.666666666666</v>
      </c>
      <c r="F23" s="114">
        <v>428</v>
      </c>
      <c r="G23" s="120">
        <f t="shared" si="0"/>
        <v>371076</v>
      </c>
      <c r="I23" s="115">
        <v>0</v>
      </c>
      <c r="J23" s="116">
        <v>36</v>
      </c>
      <c r="K23" s="117">
        <f t="shared" si="1"/>
        <v>10307.666666666666</v>
      </c>
    </row>
    <row r="24" spans="1:17" ht="15.75" customHeight="1">
      <c r="B24" s="48" t="s">
        <v>275</v>
      </c>
      <c r="C24" s="49">
        <f>+F24/J24</f>
        <v>27.777777777777779</v>
      </c>
      <c r="D24" s="50">
        <f t="shared" si="2"/>
        <v>24083.333333333336</v>
      </c>
      <c r="F24" s="114">
        <v>1000</v>
      </c>
      <c r="G24" s="120">
        <f t="shared" si="0"/>
        <v>867000</v>
      </c>
      <c r="I24" s="115">
        <v>0</v>
      </c>
      <c r="J24" s="116">
        <v>36</v>
      </c>
      <c r="K24" s="117">
        <f t="shared" si="1"/>
        <v>24083.333333333332</v>
      </c>
    </row>
    <row r="25" spans="1:17" ht="15.75" customHeight="1">
      <c r="B25" s="48" t="s">
        <v>131</v>
      </c>
      <c r="C25" s="49">
        <v>28.388888888888889</v>
      </c>
      <c r="D25" s="50">
        <f t="shared" si="2"/>
        <v>24613.166666666668</v>
      </c>
      <c r="F25" s="114">
        <v>1022</v>
      </c>
      <c r="G25" s="120">
        <f t="shared" si="0"/>
        <v>886074</v>
      </c>
      <c r="I25" s="115">
        <v>0</v>
      </c>
      <c r="J25" s="116">
        <v>36</v>
      </c>
      <c r="K25" s="117">
        <f t="shared" si="1"/>
        <v>24613.166666666668</v>
      </c>
    </row>
    <row r="26" spans="1:17" ht="15.75" customHeight="1">
      <c r="A26" s="44">
        <v>1</v>
      </c>
      <c r="B26" s="48" t="s">
        <v>132</v>
      </c>
      <c r="C26" s="49">
        <v>4.333333333333333</v>
      </c>
      <c r="D26" s="50">
        <f t="shared" si="2"/>
        <v>3756.9999999999995</v>
      </c>
      <c r="F26" s="128">
        <v>52</v>
      </c>
      <c r="G26" s="120">
        <f t="shared" si="0"/>
        <v>45084</v>
      </c>
      <c r="I26" s="115">
        <v>0</v>
      </c>
      <c r="J26" s="116">
        <v>12</v>
      </c>
      <c r="K26" s="117">
        <f t="shared" si="1"/>
        <v>3757</v>
      </c>
    </row>
    <row r="27" spans="1:17" ht="15.75" customHeight="1">
      <c r="B27" s="111" t="s">
        <v>133</v>
      </c>
      <c r="C27" s="121">
        <v>0</v>
      </c>
      <c r="D27" s="50">
        <f t="shared" si="2"/>
        <v>0</v>
      </c>
      <c r="E27" s="122"/>
      <c r="F27" s="121"/>
      <c r="G27" s="123">
        <f t="shared" si="0"/>
        <v>0</v>
      </c>
      <c r="H27" s="124"/>
      <c r="I27" s="125">
        <v>0</v>
      </c>
      <c r="J27" s="126">
        <v>36</v>
      </c>
      <c r="K27" s="127">
        <f t="shared" si="1"/>
        <v>0</v>
      </c>
    </row>
    <row r="28" spans="1:17" ht="15.75" customHeight="1">
      <c r="B28" s="111" t="s">
        <v>134</v>
      </c>
      <c r="C28" s="121">
        <v>0</v>
      </c>
      <c r="D28" s="50">
        <f t="shared" si="2"/>
        <v>0</v>
      </c>
      <c r="E28" s="122"/>
      <c r="F28" s="121"/>
      <c r="G28" s="123">
        <f t="shared" si="0"/>
        <v>0</v>
      </c>
      <c r="H28" s="124"/>
      <c r="I28" s="125">
        <v>0</v>
      </c>
      <c r="J28" s="126">
        <v>36</v>
      </c>
      <c r="K28" s="127">
        <f t="shared" si="1"/>
        <v>0</v>
      </c>
    </row>
    <row r="29" spans="1:17" ht="15.75" customHeight="1">
      <c r="B29" s="111" t="s">
        <v>135</v>
      </c>
      <c r="C29" s="121">
        <v>0</v>
      </c>
      <c r="D29" s="50">
        <f t="shared" si="2"/>
        <v>0</v>
      </c>
      <c r="E29" s="122"/>
      <c r="F29" s="121"/>
      <c r="G29" s="123">
        <f t="shared" si="0"/>
        <v>0</v>
      </c>
      <c r="H29" s="124"/>
      <c r="I29" s="125">
        <v>0</v>
      </c>
      <c r="J29" s="126">
        <v>36</v>
      </c>
      <c r="K29" s="127">
        <f t="shared" si="1"/>
        <v>0</v>
      </c>
    </row>
    <row r="30" spans="1:17" ht="15.75" customHeight="1">
      <c r="B30" s="111" t="s">
        <v>136</v>
      </c>
      <c r="C30" s="121">
        <v>0</v>
      </c>
      <c r="D30" s="50">
        <f t="shared" si="2"/>
        <v>0</v>
      </c>
      <c r="E30" s="122"/>
      <c r="F30" s="121"/>
      <c r="G30" s="123">
        <f t="shared" si="0"/>
        <v>0</v>
      </c>
      <c r="H30" s="124"/>
      <c r="I30" s="125">
        <v>0</v>
      </c>
      <c r="J30" s="126">
        <v>36</v>
      </c>
      <c r="K30" s="127">
        <f t="shared" si="1"/>
        <v>0</v>
      </c>
    </row>
    <row r="31" spans="1:17" ht="15.75" customHeight="1">
      <c r="B31" s="48" t="s">
        <v>137</v>
      </c>
      <c r="C31" s="49">
        <v>4.166666666666667</v>
      </c>
      <c r="D31" s="50">
        <f t="shared" si="2"/>
        <v>3612.5000000000005</v>
      </c>
      <c r="F31" s="114">
        <v>150</v>
      </c>
      <c r="G31" s="120">
        <f t="shared" si="0"/>
        <v>130050</v>
      </c>
      <c r="I31" s="115">
        <v>0</v>
      </c>
      <c r="J31" s="116">
        <v>36</v>
      </c>
      <c r="K31" s="117">
        <f t="shared" si="1"/>
        <v>3612.5</v>
      </c>
    </row>
    <row r="35" spans="2:14">
      <c r="B35" s="65" t="s">
        <v>138</v>
      </c>
      <c r="C35" s="49">
        <v>212.7074712643678</v>
      </c>
      <c r="D35" s="50">
        <f t="shared" ref="D35:D40" si="3">+C35*$D$1</f>
        <v>184417.37758620689</v>
      </c>
      <c r="F35" s="120">
        <f>+G35/D1</f>
        <v>12762.448275862069</v>
      </c>
      <c r="G35" s="120">
        <f>+D35*J35</f>
        <v>11065042.655172413</v>
      </c>
      <c r="I35" s="120">
        <v>0</v>
      </c>
      <c r="J35" s="120">
        <v>60</v>
      </c>
      <c r="K35" s="120">
        <f>(G35*(1-I35))/J35</f>
        <v>184417.37758620689</v>
      </c>
      <c r="M35" s="129"/>
    </row>
    <row r="36" spans="2:14">
      <c r="B36" s="65" t="s">
        <v>139</v>
      </c>
      <c r="C36" s="50"/>
      <c r="D36" s="50">
        <f t="shared" si="3"/>
        <v>0</v>
      </c>
      <c r="F36" s="130" t="s">
        <v>31</v>
      </c>
      <c r="G36" s="130"/>
      <c r="H36" s="131"/>
      <c r="I36" s="130" t="s">
        <v>31</v>
      </c>
      <c r="J36" s="130" t="s">
        <v>31</v>
      </c>
      <c r="K36" s="130" t="s">
        <v>31</v>
      </c>
    </row>
    <row r="37" spans="2:14">
      <c r="B37" s="65" t="s">
        <v>140</v>
      </c>
      <c r="C37" s="50"/>
      <c r="D37" s="50">
        <f t="shared" si="3"/>
        <v>0</v>
      </c>
      <c r="F37" s="128" t="s">
        <v>31</v>
      </c>
      <c r="G37" s="128"/>
      <c r="H37" s="131"/>
      <c r="I37" s="128" t="s">
        <v>31</v>
      </c>
      <c r="J37" s="128" t="s">
        <v>31</v>
      </c>
      <c r="K37" s="128" t="s">
        <v>31</v>
      </c>
    </row>
    <row r="38" spans="2:14">
      <c r="B38" s="65" t="s">
        <v>74</v>
      </c>
      <c r="C38" s="121">
        <v>276.43678160919541</v>
      </c>
      <c r="D38" s="121">
        <f t="shared" si="3"/>
        <v>239670.68965517241</v>
      </c>
      <c r="E38" s="122"/>
      <c r="F38" s="121">
        <f>+G38/$D$1</f>
        <v>16586.206896551721</v>
      </c>
      <c r="G38" s="123">
        <f>+D38*J38</f>
        <v>14380241.379310343</v>
      </c>
      <c r="H38" s="132"/>
      <c r="I38" s="125">
        <v>0</v>
      </c>
      <c r="J38" s="126">
        <v>60</v>
      </c>
      <c r="K38" s="127">
        <f>(G38*(1-I38))/J38</f>
        <v>239670.68965517238</v>
      </c>
    </row>
    <row r="39" spans="2:14">
      <c r="B39" s="65" t="s">
        <v>72</v>
      </c>
      <c r="C39" s="49">
        <v>198.43908045977011</v>
      </c>
      <c r="D39" s="50">
        <f t="shared" si="3"/>
        <v>172046.68275862068</v>
      </c>
      <c r="E39" s="118"/>
      <c r="F39" s="114">
        <f>+G39/$D$1</f>
        <v>11906.344827586207</v>
      </c>
      <c r="G39" s="120">
        <f>+D39*J39</f>
        <v>10322800.965517242</v>
      </c>
      <c r="H39" s="54"/>
      <c r="I39" s="115">
        <v>0</v>
      </c>
      <c r="J39" s="116">
        <v>60</v>
      </c>
      <c r="K39" s="117">
        <f>(G39*(1-I39))/J39</f>
        <v>172046.68275862068</v>
      </c>
      <c r="N39" s="129"/>
    </row>
    <row r="40" spans="2:14" ht="13.5" customHeight="1">
      <c r="B40" s="65" t="s">
        <v>73</v>
      </c>
      <c r="C40" s="49">
        <v>521.40229885057477</v>
      </c>
      <c r="D40" s="50">
        <f t="shared" si="3"/>
        <v>452055.79310344835</v>
      </c>
      <c r="E40" s="118"/>
      <c r="F40" s="114">
        <f>+G40/$D$1</f>
        <v>31284.137931034489</v>
      </c>
      <c r="G40" s="120">
        <f>+D40*J40</f>
        <v>27123347.586206902</v>
      </c>
      <c r="H40" s="54"/>
      <c r="I40" s="115">
        <v>0</v>
      </c>
      <c r="J40" s="116">
        <v>60</v>
      </c>
      <c r="K40" s="117">
        <f>(G40*(1-I40))/J40</f>
        <v>452055.79310344835</v>
      </c>
    </row>
    <row r="41" spans="2:14">
      <c r="E41" s="44"/>
      <c r="F41" s="44"/>
      <c r="G41" s="44"/>
      <c r="H41" s="44"/>
      <c r="I41" s="44"/>
      <c r="J41" s="44"/>
      <c r="K41" s="44"/>
    </row>
    <row r="42" spans="2:14">
      <c r="E42" s="44"/>
      <c r="F42" s="44"/>
      <c r="G42" s="44"/>
      <c r="H42" s="44"/>
      <c r="I42" s="44"/>
      <c r="J42" s="44"/>
      <c r="K42" s="44"/>
    </row>
    <row r="43" spans="2:14">
      <c r="B43" s="65" t="s">
        <v>242</v>
      </c>
      <c r="C43" s="49">
        <f>D43/$D$1</f>
        <v>166.71666666666667</v>
      </c>
      <c r="D43" s="50">
        <f t="shared" ref="D43:D48" si="4">K43</f>
        <v>144543.35</v>
      </c>
      <c r="F43" s="120">
        <v>10003</v>
      </c>
      <c r="G43" s="120">
        <f>F43*$D$1</f>
        <v>8672601</v>
      </c>
      <c r="I43" s="120">
        <v>0</v>
      </c>
      <c r="J43" s="120">
        <v>60</v>
      </c>
      <c r="K43" s="120">
        <f>(G43*(1-I43))/J43</f>
        <v>144543.35</v>
      </c>
    </row>
    <row r="44" spans="2:14">
      <c r="B44" s="65" t="s">
        <v>139</v>
      </c>
      <c r="C44" s="50" t="str">
        <f>J44</f>
        <v>-</v>
      </c>
      <c r="D44" s="50" t="str">
        <f t="shared" si="4"/>
        <v>-</v>
      </c>
      <c r="F44" s="130" t="s">
        <v>31</v>
      </c>
      <c r="G44" s="130" t="s">
        <v>31</v>
      </c>
      <c r="H44" s="131"/>
      <c r="I44" s="130" t="s">
        <v>31</v>
      </c>
      <c r="J44" s="130" t="s">
        <v>31</v>
      </c>
      <c r="K44" s="130" t="s">
        <v>31</v>
      </c>
    </row>
    <row r="45" spans="2:14">
      <c r="B45" s="65" t="s">
        <v>140</v>
      </c>
      <c r="C45" s="50" t="str">
        <f>J45</f>
        <v>-</v>
      </c>
      <c r="D45" s="50" t="str">
        <f t="shared" si="4"/>
        <v>-</v>
      </c>
      <c r="F45" s="128" t="s">
        <v>31</v>
      </c>
      <c r="G45" s="128" t="s">
        <v>31</v>
      </c>
      <c r="H45" s="131"/>
      <c r="I45" s="128" t="s">
        <v>31</v>
      </c>
      <c r="J45" s="128" t="s">
        <v>31</v>
      </c>
      <c r="K45" s="128" t="s">
        <v>31</v>
      </c>
    </row>
    <row r="46" spans="2:14">
      <c r="B46" s="65" t="s">
        <v>74</v>
      </c>
      <c r="C46" s="121">
        <f>D46/$D$1</f>
        <v>216.66666666666666</v>
      </c>
      <c r="D46" s="121">
        <f t="shared" si="4"/>
        <v>187850</v>
      </c>
      <c r="E46" s="122"/>
      <c r="F46" s="121">
        <v>13000</v>
      </c>
      <c r="G46" s="123">
        <f>F46*$D$1</f>
        <v>11271000</v>
      </c>
      <c r="H46" s="132"/>
      <c r="I46" s="125">
        <v>0</v>
      </c>
      <c r="J46" s="126">
        <v>60</v>
      </c>
      <c r="K46" s="127">
        <f>(G46*(1-I46))/J46</f>
        <v>187850</v>
      </c>
    </row>
    <row r="47" spans="2:14">
      <c r="B47" s="65" t="s">
        <v>72</v>
      </c>
      <c r="C47" s="49">
        <f>D47/$D$1</f>
        <v>155.53333333333333</v>
      </c>
      <c r="D47" s="50">
        <f t="shared" si="4"/>
        <v>134847.4</v>
      </c>
      <c r="E47" s="118"/>
      <c r="F47" s="114">
        <v>9332</v>
      </c>
      <c r="G47" s="120">
        <f>F47*$D$1</f>
        <v>8090844</v>
      </c>
      <c r="H47" s="54"/>
      <c r="I47" s="115">
        <v>0</v>
      </c>
      <c r="J47" s="116">
        <v>60</v>
      </c>
      <c r="K47" s="117">
        <f>(G47*(1-I47))/J47</f>
        <v>134847.4</v>
      </c>
    </row>
    <row r="48" spans="2:14">
      <c r="B48" s="65" t="s">
        <v>73</v>
      </c>
      <c r="C48" s="49">
        <f>D48/$D$1</f>
        <v>408.66666666666669</v>
      </c>
      <c r="D48" s="50">
        <f t="shared" si="4"/>
        <v>354314</v>
      </c>
      <c r="E48" s="118"/>
      <c r="F48" s="114">
        <v>24520</v>
      </c>
      <c r="G48" s="120">
        <f>F48*$D$1</f>
        <v>21258840</v>
      </c>
      <c r="H48" s="54"/>
      <c r="I48" s="115">
        <v>0</v>
      </c>
      <c r="J48" s="116">
        <v>60</v>
      </c>
      <c r="K48" s="117">
        <f>(G48*(1-I48))/J48</f>
        <v>354314</v>
      </c>
    </row>
  </sheetData>
  <mergeCells count="3">
    <mergeCell ref="I4:K4"/>
    <mergeCell ref="I5:J5"/>
    <mergeCell ref="K5:K6"/>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dimension ref="H1:S33"/>
  <sheetViews>
    <sheetView showGridLines="0" topLeftCell="C1" zoomScale="80" zoomScaleNormal="80" workbookViewId="0">
      <selection activeCell="K22" sqref="K22"/>
    </sheetView>
  </sheetViews>
  <sheetFormatPr baseColWidth="10" defaultRowHeight="15"/>
  <cols>
    <col min="9" max="9" width="20.7109375" customWidth="1"/>
    <col min="10" max="10" width="15.85546875" customWidth="1"/>
    <col min="14" max="14" width="15.7109375" customWidth="1"/>
    <col min="16" max="16" width="24.42578125" customWidth="1"/>
    <col min="18" max="18" width="15.5703125" customWidth="1"/>
  </cols>
  <sheetData>
    <row r="1" spans="9:10">
      <c r="I1" s="273"/>
      <c r="J1" s="273" t="s">
        <v>8</v>
      </c>
    </row>
    <row r="2" spans="9:10">
      <c r="I2" s="273" t="s">
        <v>509</v>
      </c>
      <c r="J2" s="310">
        <v>1400000</v>
      </c>
    </row>
    <row r="3" spans="9:10">
      <c r="I3" s="273" t="s">
        <v>510</v>
      </c>
      <c r="J3" s="310">
        <f>+S26</f>
        <v>1275583.3333333335</v>
      </c>
    </row>
    <row r="4" spans="9:10">
      <c r="I4" s="273"/>
      <c r="J4" s="310">
        <f>+J3+J2</f>
        <v>2675583.3333333335</v>
      </c>
    </row>
    <row r="18" spans="8:19">
      <c r="M18" s="931" t="s">
        <v>516</v>
      </c>
      <c r="N18" s="932"/>
      <c r="O18" s="932"/>
      <c r="P18" s="933"/>
      <c r="Q18" s="409" t="s">
        <v>517</v>
      </c>
      <c r="R18" s="409" t="s">
        <v>526</v>
      </c>
      <c r="S18" s="412"/>
    </row>
    <row r="19" spans="8:19">
      <c r="M19" s="412">
        <v>1</v>
      </c>
      <c r="N19" s="928" t="s">
        <v>518</v>
      </c>
      <c r="O19" s="929"/>
      <c r="P19" s="930"/>
      <c r="Q19" s="410" t="s">
        <v>519</v>
      </c>
      <c r="R19" s="273">
        <v>37500</v>
      </c>
      <c r="S19" s="273">
        <f>+R19*30</f>
        <v>1125000</v>
      </c>
    </row>
    <row r="20" spans="8:19">
      <c r="M20" s="412">
        <v>2</v>
      </c>
      <c r="N20" s="928" t="s">
        <v>1152</v>
      </c>
      <c r="O20" s="929"/>
      <c r="P20" s="930"/>
      <c r="Q20" s="410" t="s">
        <v>520</v>
      </c>
      <c r="R20" s="273">
        <v>517000</v>
      </c>
      <c r="S20" s="274">
        <f>R20/60</f>
        <v>8616.6666666666661</v>
      </c>
    </row>
    <row r="21" spans="8:19">
      <c r="M21" s="412">
        <v>3</v>
      </c>
      <c r="N21" s="928" t="s">
        <v>521</v>
      </c>
      <c r="O21" s="929"/>
      <c r="P21" s="930"/>
      <c r="Q21" s="410" t="s">
        <v>520</v>
      </c>
      <c r="R21" s="273">
        <v>573000</v>
      </c>
      <c r="S21" s="274">
        <f>2*R21/60</f>
        <v>19100</v>
      </c>
    </row>
    <row r="22" spans="8:19">
      <c r="M22" s="412">
        <v>4</v>
      </c>
      <c r="N22" s="928" t="s">
        <v>522</v>
      </c>
      <c r="O22" s="929"/>
      <c r="P22" s="930"/>
      <c r="Q22" s="410" t="s">
        <v>520</v>
      </c>
      <c r="R22" s="666"/>
      <c r="S22" s="274">
        <f>+R22/60</f>
        <v>0</v>
      </c>
    </row>
    <row r="23" spans="8:19">
      <c r="M23" s="412">
        <v>5</v>
      </c>
      <c r="N23" s="928" t="s">
        <v>523</v>
      </c>
      <c r="O23" s="929"/>
      <c r="P23" s="930"/>
      <c r="Q23" s="410" t="s">
        <v>520</v>
      </c>
      <c r="R23" s="273">
        <v>211000</v>
      </c>
      <c r="S23" s="274">
        <f>+R23*0.5</f>
        <v>105500</v>
      </c>
    </row>
    <row r="24" spans="8:19">
      <c r="M24" s="412">
        <v>6</v>
      </c>
      <c r="N24" s="928" t="s">
        <v>524</v>
      </c>
      <c r="O24" s="929"/>
      <c r="P24" s="930"/>
      <c r="Q24" s="410" t="s">
        <v>520</v>
      </c>
      <c r="R24" s="413">
        <v>29000</v>
      </c>
      <c r="S24" s="414">
        <f>+R24*0.5</f>
        <v>14500</v>
      </c>
    </row>
    <row r="25" spans="8:19">
      <c r="M25" s="412">
        <v>7</v>
      </c>
      <c r="N25" s="928" t="s">
        <v>525</v>
      </c>
      <c r="O25" s="929"/>
      <c r="P25" s="930"/>
      <c r="Q25" s="410" t="s">
        <v>520</v>
      </c>
      <c r="R25" s="273">
        <v>86000</v>
      </c>
      <c r="S25" s="274">
        <f>2*R25/60</f>
        <v>2866.6666666666665</v>
      </c>
    </row>
    <row r="26" spans="8:19">
      <c r="S26" s="411">
        <f>+SUM(S19:S25)</f>
        <v>1275583.3333333335</v>
      </c>
    </row>
    <row r="32" spans="8:19">
      <c r="H32">
        <v>1200000</v>
      </c>
    </row>
    <row r="33" spans="8:8">
      <c r="H33">
        <f>+H32/131</f>
        <v>9160.3053435114507</v>
      </c>
    </row>
  </sheetData>
  <mergeCells count="8">
    <mergeCell ref="N24:P24"/>
    <mergeCell ref="N25:P25"/>
    <mergeCell ref="M18:P18"/>
    <mergeCell ref="N19:P19"/>
    <mergeCell ref="N20:P20"/>
    <mergeCell ref="N21:P21"/>
    <mergeCell ref="N22:P22"/>
    <mergeCell ref="N23:P23"/>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tabColor theme="0" tint="-0.14999847407452621"/>
  </sheetPr>
  <dimension ref="B1:H29"/>
  <sheetViews>
    <sheetView topLeftCell="A8" workbookViewId="0">
      <selection activeCell="E19" sqref="E19"/>
    </sheetView>
  </sheetViews>
  <sheetFormatPr baseColWidth="10" defaultColWidth="9.140625" defaultRowHeight="15"/>
  <cols>
    <col min="1" max="1" width="2.140625" style="223" customWidth="1"/>
    <col min="2" max="2" width="15" style="223" customWidth="1"/>
    <col min="3" max="3" width="40.5703125" style="223" customWidth="1"/>
    <col min="4" max="4" width="22.42578125" style="224" customWidth="1"/>
    <col min="5" max="5" width="20.42578125" style="223" customWidth="1"/>
    <col min="6" max="6" width="10.42578125" style="225" customWidth="1"/>
    <col min="7" max="7" width="10" style="224" customWidth="1"/>
    <col min="8" max="8" width="9.7109375" style="223" customWidth="1"/>
    <col min="9" max="16384" width="9.140625" style="223"/>
  </cols>
  <sheetData>
    <row r="1" spans="2:8" ht="19.5" customHeight="1">
      <c r="B1" s="238" t="s">
        <v>33</v>
      </c>
      <c r="C1" s="231" t="s">
        <v>34</v>
      </c>
      <c r="D1" s="232">
        <f>'[48]RESUMEN '!D1</f>
        <v>87.25</v>
      </c>
      <c r="E1" s="43"/>
      <c r="F1" s="43"/>
      <c r="G1" s="96"/>
    </row>
    <row r="2" spans="2:8">
      <c r="B2" s="44"/>
      <c r="C2" s="44"/>
      <c r="D2" s="44"/>
      <c r="E2" s="43"/>
      <c r="F2" s="43"/>
      <c r="G2" s="44"/>
    </row>
    <row r="3" spans="2:8" ht="30" customHeight="1">
      <c r="B3" s="938" t="s">
        <v>66</v>
      </c>
      <c r="C3" s="939"/>
      <c r="D3" s="940"/>
      <c r="E3" s="43"/>
      <c r="F3" s="46" t="s">
        <v>36</v>
      </c>
      <c r="G3" s="46" t="s">
        <v>37</v>
      </c>
    </row>
    <row r="4" spans="2:8">
      <c r="B4" s="941" t="s">
        <v>258</v>
      </c>
      <c r="C4" s="942"/>
      <c r="D4" s="943"/>
      <c r="E4" s="43"/>
      <c r="F4" s="237">
        <f>SUM(G11:G29)</f>
        <v>677.74818395924319</v>
      </c>
      <c r="G4" s="236">
        <f>F4*$D$1</f>
        <v>59133.529050443969</v>
      </c>
    </row>
    <row r="5" spans="2:8">
      <c r="B5" s="44"/>
      <c r="C5" s="44"/>
      <c r="D5" s="44"/>
      <c r="E5" s="43"/>
      <c r="F5" s="43"/>
      <c r="G5" s="44"/>
    </row>
    <row r="6" spans="2:8">
      <c r="B6" s="44"/>
      <c r="C6" s="44"/>
      <c r="D6" s="44"/>
      <c r="E6" s="43"/>
      <c r="F6" s="43"/>
      <c r="G6" s="44"/>
    </row>
    <row r="8" spans="2:8" s="233" customFormat="1">
      <c r="D8" s="234"/>
      <c r="F8" s="235"/>
      <c r="G8" s="234"/>
    </row>
    <row r="10" spans="2:8" ht="50.1" customHeight="1">
      <c r="B10" s="934" t="s">
        <v>257</v>
      </c>
      <c r="C10" s="935"/>
      <c r="D10" s="231" t="s">
        <v>256</v>
      </c>
      <c r="F10" s="232" t="s">
        <v>255</v>
      </c>
      <c r="G10" s="231" t="s">
        <v>254</v>
      </c>
      <c r="H10" s="231" t="s">
        <v>253</v>
      </c>
    </row>
    <row r="11" spans="2:8" ht="20.100000000000001" customHeight="1">
      <c r="B11" s="936" t="s">
        <v>252</v>
      </c>
      <c r="C11" s="228" t="s">
        <v>251</v>
      </c>
      <c r="D11" s="227">
        <v>10</v>
      </c>
      <c r="F11" s="227">
        <v>6.8749999999999992E-2</v>
      </c>
      <c r="G11" s="226">
        <f t="shared" ref="G11:G19" si="0">F11*D11</f>
        <v>0.68749999999999989</v>
      </c>
      <c r="H11" s="230">
        <f t="shared" ref="H11:H19" si="1">F11*$D$1</f>
        <v>5.9984374999999996</v>
      </c>
    </row>
    <row r="12" spans="2:8" ht="20.100000000000001" customHeight="1">
      <c r="B12" s="937"/>
      <c r="C12" s="228" t="s">
        <v>250</v>
      </c>
      <c r="D12" s="227">
        <v>4</v>
      </c>
      <c r="F12" s="227">
        <v>0.81699999999999995</v>
      </c>
      <c r="G12" s="226">
        <f t="shared" si="0"/>
        <v>3.2679999999999998</v>
      </c>
      <c r="H12" s="230">
        <f t="shared" si="1"/>
        <v>71.283249999999995</v>
      </c>
    </row>
    <row r="13" spans="2:8" ht="20.100000000000001" customHeight="1">
      <c r="B13" s="937"/>
      <c r="C13" s="228" t="s">
        <v>249</v>
      </c>
      <c r="D13" s="227">
        <v>2</v>
      </c>
      <c r="F13" s="227">
        <v>3.0999999999999996</v>
      </c>
      <c r="G13" s="226">
        <f t="shared" si="0"/>
        <v>6.1999999999999993</v>
      </c>
      <c r="H13" s="230">
        <f t="shared" si="1"/>
        <v>270.47499999999997</v>
      </c>
    </row>
    <row r="14" spans="2:8" ht="20.100000000000001" customHeight="1">
      <c r="B14" s="936" t="s">
        <v>248</v>
      </c>
      <c r="C14" s="228" t="s">
        <v>247</v>
      </c>
      <c r="D14" s="227">
        <v>10</v>
      </c>
      <c r="F14" s="227">
        <v>29.006199999999996</v>
      </c>
      <c r="G14" s="226">
        <f t="shared" si="0"/>
        <v>290.06199999999995</v>
      </c>
      <c r="H14" s="230">
        <f t="shared" si="1"/>
        <v>2530.7909499999996</v>
      </c>
    </row>
    <row r="15" spans="2:8" ht="20.100000000000001" customHeight="1">
      <c r="B15" s="937"/>
      <c r="C15" s="228" t="s">
        <v>246</v>
      </c>
      <c r="D15" s="227">
        <v>10</v>
      </c>
      <c r="F15" s="227">
        <v>5.8625683959243196</v>
      </c>
      <c r="G15" s="226">
        <f t="shared" si="0"/>
        <v>58.625683959243197</v>
      </c>
      <c r="H15" s="230">
        <f t="shared" si="1"/>
        <v>511.50909254439688</v>
      </c>
    </row>
    <row r="16" spans="2:8" ht="20.100000000000001" customHeight="1">
      <c r="B16" s="937"/>
      <c r="C16" s="228" t="s">
        <v>245</v>
      </c>
      <c r="D16" s="227">
        <v>5</v>
      </c>
      <c r="F16" s="227">
        <v>0.315</v>
      </c>
      <c r="G16" s="226">
        <f t="shared" si="0"/>
        <v>1.575</v>
      </c>
      <c r="H16" s="230">
        <f t="shared" si="1"/>
        <v>27.483750000000001</v>
      </c>
    </row>
    <row r="17" spans="2:8" ht="20.100000000000001" customHeight="1">
      <c r="B17" s="937"/>
      <c r="C17" s="228" t="s">
        <v>244</v>
      </c>
      <c r="D17" s="227">
        <v>5</v>
      </c>
      <c r="F17" s="227">
        <v>0.95799999999999996</v>
      </c>
      <c r="G17" s="226">
        <f t="shared" si="0"/>
        <v>4.79</v>
      </c>
      <c r="H17" s="230">
        <f t="shared" si="1"/>
        <v>83.585499999999996</v>
      </c>
    </row>
    <row r="18" spans="2:8" ht="20.100000000000001" customHeight="1">
      <c r="B18" s="936"/>
      <c r="C18" s="228" t="s">
        <v>243</v>
      </c>
      <c r="D18" s="227">
        <v>30</v>
      </c>
      <c r="F18" s="227">
        <v>0.41800000000000004</v>
      </c>
      <c r="G18" s="226">
        <f t="shared" si="0"/>
        <v>12.540000000000001</v>
      </c>
      <c r="H18" s="230">
        <f t="shared" si="1"/>
        <v>36.470500000000001</v>
      </c>
    </row>
    <row r="19" spans="2:8" ht="20.100000000000001" customHeight="1">
      <c r="B19" s="937"/>
      <c r="C19" s="228" t="s">
        <v>274</v>
      </c>
      <c r="D19" s="227">
        <v>60</v>
      </c>
      <c r="F19" s="227">
        <v>5</v>
      </c>
      <c r="G19" s="226">
        <f t="shared" si="0"/>
        <v>300</v>
      </c>
      <c r="H19" s="223">
        <f t="shared" si="1"/>
        <v>436.25</v>
      </c>
    </row>
    <row r="20" spans="2:8" ht="20.100000000000001" customHeight="1">
      <c r="B20" s="937"/>
      <c r="C20" s="228"/>
      <c r="D20" s="227"/>
      <c r="F20" s="227"/>
      <c r="G20" s="226"/>
    </row>
    <row r="21" spans="2:8" ht="20.100000000000001" customHeight="1">
      <c r="B21" s="937"/>
      <c r="C21" s="228"/>
      <c r="D21" s="227"/>
      <c r="F21" s="227"/>
      <c r="G21" s="226"/>
    </row>
    <row r="22" spans="2:8" ht="20.100000000000001" customHeight="1">
      <c r="B22" s="937"/>
      <c r="C22" s="228"/>
      <c r="D22" s="227"/>
      <c r="F22" s="227"/>
      <c r="G22" s="226"/>
    </row>
    <row r="23" spans="2:8" ht="20.100000000000001" customHeight="1">
      <c r="B23" s="937"/>
      <c r="C23" s="228"/>
      <c r="D23" s="227"/>
      <c r="F23" s="227"/>
      <c r="G23" s="226"/>
    </row>
    <row r="24" spans="2:8" ht="20.100000000000001" customHeight="1">
      <c r="B24" s="936"/>
      <c r="C24" s="228"/>
      <c r="D24" s="227"/>
      <c r="E24" s="227"/>
      <c r="F24" s="227"/>
      <c r="G24" s="226"/>
    </row>
    <row r="25" spans="2:8" ht="20.100000000000001" customHeight="1">
      <c r="B25" s="937"/>
      <c r="C25" s="228"/>
      <c r="D25" s="227"/>
      <c r="E25" s="227"/>
      <c r="F25" s="227"/>
      <c r="G25" s="226"/>
    </row>
    <row r="26" spans="2:8" ht="20.100000000000001" customHeight="1">
      <c r="B26" s="937"/>
      <c r="C26" s="228"/>
      <c r="D26" s="227"/>
      <c r="F26" s="227"/>
      <c r="G26" s="226"/>
    </row>
    <row r="27" spans="2:8" ht="20.100000000000001" customHeight="1">
      <c r="B27" s="937"/>
      <c r="C27" s="228"/>
      <c r="D27" s="227"/>
      <c r="F27" s="227"/>
      <c r="G27" s="226"/>
    </row>
    <row r="28" spans="2:8" ht="20.100000000000001" customHeight="1">
      <c r="B28" s="937"/>
      <c r="C28" s="228"/>
      <c r="D28" s="227"/>
      <c r="F28" s="227"/>
      <c r="G28" s="226"/>
    </row>
    <row r="29" spans="2:8" ht="20.100000000000001" customHeight="1">
      <c r="B29" s="229"/>
      <c r="C29" s="228"/>
      <c r="D29" s="227"/>
      <c r="F29" s="227"/>
      <c r="G29" s="226"/>
    </row>
  </sheetData>
  <mergeCells count="7">
    <mergeCell ref="B10:C10"/>
    <mergeCell ref="B14:B17"/>
    <mergeCell ref="B18:B23"/>
    <mergeCell ref="B24:B28"/>
    <mergeCell ref="B3:D3"/>
    <mergeCell ref="B4:D4"/>
    <mergeCell ref="B11:B13"/>
  </mergeCell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tabColor theme="0" tint="-0.14999847407452621"/>
  </sheetPr>
  <dimension ref="B1:DJ100"/>
  <sheetViews>
    <sheetView showGridLines="0" zoomScale="145" zoomScaleNormal="145" workbookViewId="0">
      <selection activeCell="CC39" sqref="CC39"/>
    </sheetView>
  </sheetViews>
  <sheetFormatPr baseColWidth="10" defaultRowHeight="12.75"/>
  <cols>
    <col min="1" max="1" width="2" style="136" customWidth="1"/>
    <col min="2" max="2" width="49.5703125" style="136" customWidth="1"/>
    <col min="3" max="3" width="9.5703125" style="136" bestFit="1" customWidth="1"/>
    <col min="4" max="4" width="10.85546875" style="136" bestFit="1" customWidth="1"/>
    <col min="5" max="5" width="2" style="135" customWidth="1"/>
    <col min="6" max="6" width="10.7109375" style="135" customWidth="1"/>
    <col min="7" max="7" width="11.42578125" style="136"/>
    <col min="8" max="8" width="2.85546875" style="136" customWidth="1"/>
    <col min="9" max="11" width="11.42578125" style="136"/>
    <col min="12" max="12" width="10.7109375" style="136" customWidth="1"/>
    <col min="13" max="59" width="11.42578125" style="136"/>
    <col min="60" max="60" width="11.42578125" style="136" customWidth="1"/>
    <col min="61" max="16384" width="11.42578125" style="136"/>
  </cols>
  <sheetData>
    <row r="1" spans="2:14" ht="20.100000000000001" customHeight="1">
      <c r="B1" s="133" t="s">
        <v>33</v>
      </c>
      <c r="C1" s="133" t="s">
        <v>34</v>
      </c>
      <c r="D1" s="134">
        <v>87</v>
      </c>
    </row>
    <row r="2" spans="2:14" s="139" customFormat="1" ht="20.100000000000001" customHeight="1">
      <c r="B2" s="137"/>
      <c r="C2" s="138"/>
      <c r="D2" s="138"/>
      <c r="E2" s="135"/>
      <c r="F2" s="135"/>
    </row>
    <row r="3" spans="2:14" ht="20.100000000000001" customHeight="1">
      <c r="C3" s="944" t="s">
        <v>141</v>
      </c>
      <c r="D3" s="945"/>
      <c r="F3" s="944" t="s">
        <v>142</v>
      </c>
      <c r="G3" s="945"/>
      <c r="I3" s="944" t="s">
        <v>143</v>
      </c>
      <c r="J3" s="945"/>
    </row>
    <row r="4" spans="2:14" ht="39.950000000000003" customHeight="1">
      <c r="B4" s="140" t="s">
        <v>144</v>
      </c>
      <c r="C4" s="141" t="s">
        <v>36</v>
      </c>
      <c r="D4" s="141" t="s">
        <v>37</v>
      </c>
      <c r="E4" s="142"/>
      <c r="F4" s="141" t="s">
        <v>60</v>
      </c>
      <c r="G4" s="141" t="s">
        <v>61</v>
      </c>
      <c r="H4" s="142"/>
      <c r="I4" s="141" t="s">
        <v>36</v>
      </c>
      <c r="J4" s="141" t="s">
        <v>37</v>
      </c>
      <c r="K4" s="143"/>
    </row>
    <row r="5" spans="2:14" ht="39.950000000000003" customHeight="1">
      <c r="B5" s="144" t="s">
        <v>145</v>
      </c>
      <c r="C5" s="145">
        <f t="shared" ref="C5:C13" si="0">D5/$D$1</f>
        <v>64.828662595785431</v>
      </c>
      <c r="D5" s="146">
        <f>D23+D36+D53</f>
        <v>5640.0936458333326</v>
      </c>
      <c r="E5" s="147"/>
      <c r="F5" s="145">
        <f t="shared" ref="F5:F13" si="1">G5/$D$1</f>
        <v>2313.2785057471265</v>
      </c>
      <c r="G5" s="146">
        <f>G24+G38+G51</f>
        <v>201255.23</v>
      </c>
      <c r="H5" s="147"/>
      <c r="I5" s="145">
        <f>J5/$D$1</f>
        <v>54.272788127009292</v>
      </c>
      <c r="J5" s="146">
        <f>T23+CA36</f>
        <v>4721.7325670498085</v>
      </c>
      <c r="K5" s="143"/>
    </row>
    <row r="6" spans="2:14" ht="39.950000000000003" customHeight="1">
      <c r="B6" s="148" t="s">
        <v>146</v>
      </c>
      <c r="C6" s="145">
        <f t="shared" si="0"/>
        <v>59.095225095785452</v>
      </c>
      <c r="D6" s="146">
        <f>D24+D38+D51</f>
        <v>5141.284583333334</v>
      </c>
      <c r="E6" s="147"/>
      <c r="F6" s="145">
        <f t="shared" si="1"/>
        <v>2313.2785057471265</v>
      </c>
      <c r="G6" s="146">
        <f>G24+G38+G51</f>
        <v>201255.23</v>
      </c>
      <c r="H6" s="147"/>
      <c r="I6" s="145">
        <f t="shared" ref="I6:I13" si="2">J6/$D$1</f>
        <v>91.06672061478838</v>
      </c>
      <c r="J6" s="146">
        <f>T24+CA38</f>
        <v>7922.8046934865888</v>
      </c>
      <c r="K6" s="143"/>
    </row>
    <row r="7" spans="2:14" ht="39.950000000000003" customHeight="1">
      <c r="B7" s="148" t="s">
        <v>147</v>
      </c>
      <c r="C7" s="145">
        <f t="shared" si="0"/>
        <v>61.647628113026812</v>
      </c>
      <c r="D7" s="146">
        <f>D25+D36+D53</f>
        <v>5363.3436458333326</v>
      </c>
      <c r="E7" s="147"/>
      <c r="F7" s="145">
        <f t="shared" si="1"/>
        <v>2453.3941091954021</v>
      </c>
      <c r="G7" s="146">
        <f>G25+G36+G53</f>
        <v>213445.28749999998</v>
      </c>
      <c r="H7" s="147"/>
      <c r="I7" s="145">
        <f t="shared" si="2"/>
        <v>54.272788127009292</v>
      </c>
      <c r="J7" s="146">
        <f>T25+CA36</f>
        <v>4721.7325670498085</v>
      </c>
      <c r="K7" s="143"/>
    </row>
    <row r="8" spans="2:14" ht="39.950000000000003" customHeight="1">
      <c r="B8" s="148" t="s">
        <v>148</v>
      </c>
      <c r="C8" s="145">
        <f t="shared" si="0"/>
        <v>63.634018199233722</v>
      </c>
      <c r="D8" s="146">
        <f>D26+D38+D51</f>
        <v>5536.159583333334</v>
      </c>
      <c r="E8" s="147"/>
      <c r="F8" s="145">
        <f t="shared" si="1"/>
        <v>2494.8302298850576</v>
      </c>
      <c r="G8" s="146">
        <f>G26+G38+G51</f>
        <v>217050.23</v>
      </c>
      <c r="H8" s="147"/>
      <c r="I8" s="145">
        <f t="shared" si="2"/>
        <v>91.06672061478838</v>
      </c>
      <c r="J8" s="146">
        <f>T26+CA38</f>
        <v>7922.8046934865888</v>
      </c>
      <c r="K8" s="143"/>
    </row>
    <row r="9" spans="2:14" ht="39.950000000000003" customHeight="1">
      <c r="B9" s="148" t="s">
        <v>149</v>
      </c>
      <c r="C9" s="145">
        <f t="shared" si="0"/>
        <v>73.886852250957844</v>
      </c>
      <c r="D9" s="146">
        <f>D27+D36+D53</f>
        <v>6428.1561458333326</v>
      </c>
      <c r="E9" s="147"/>
      <c r="F9" s="145">
        <f t="shared" si="1"/>
        <v>3823.4860632183904</v>
      </c>
      <c r="G9" s="146">
        <f>G27+G36+G53+G79</f>
        <v>332643.28749999998</v>
      </c>
      <c r="H9" s="147"/>
      <c r="I9" s="145">
        <f t="shared" si="2"/>
        <v>54.272788127009292</v>
      </c>
      <c r="J9" s="146">
        <f>T27+CA36</f>
        <v>4721.7325670498085</v>
      </c>
      <c r="K9" s="143"/>
    </row>
    <row r="10" spans="2:14" ht="39.950000000000003" customHeight="1">
      <c r="B10" s="148" t="s">
        <v>150</v>
      </c>
      <c r="C10" s="145">
        <f t="shared" si="0"/>
        <v>67.582972940613033</v>
      </c>
      <c r="D10" s="146">
        <f>D28+D36+D53</f>
        <v>5879.7186458333344</v>
      </c>
      <c r="E10" s="147"/>
      <c r="F10" s="145">
        <f t="shared" si="1"/>
        <v>3571.3308908045974</v>
      </c>
      <c r="G10" s="146">
        <f>G28+G36+G53+G79</f>
        <v>310705.78749999998</v>
      </c>
      <c r="H10" s="147"/>
      <c r="I10" s="145">
        <f t="shared" si="2"/>
        <v>54.272788127009292</v>
      </c>
      <c r="J10" s="146">
        <f>T28+CA36</f>
        <v>4721.7325670498085</v>
      </c>
      <c r="K10" s="143"/>
    </row>
    <row r="11" spans="2:14" ht="39.950000000000003" customHeight="1">
      <c r="B11" s="149" t="s">
        <v>151</v>
      </c>
      <c r="C11" s="150">
        <f>D11/$D$1</f>
        <v>79.957549489144327</v>
      </c>
      <c r="D11" s="151">
        <f>D29+D38+D51+D80</f>
        <v>6956.3068055555568</v>
      </c>
      <c r="E11" s="147"/>
      <c r="F11" s="150">
        <f t="shared" si="1"/>
        <v>3124.4825287356321</v>
      </c>
      <c r="G11" s="151">
        <f>G29+G38+G51+G80</f>
        <v>271829.98</v>
      </c>
      <c r="H11" s="147"/>
      <c r="I11" s="150">
        <f t="shared" si="2"/>
        <v>91.06672061478838</v>
      </c>
      <c r="J11" s="151">
        <f>T29+CA38</f>
        <v>7922.8046934865888</v>
      </c>
      <c r="K11" s="143"/>
    </row>
    <row r="12" spans="2:14" ht="39.950000000000003" customHeight="1">
      <c r="B12" s="149" t="s">
        <v>152</v>
      </c>
      <c r="C12" s="150">
        <f t="shared" si="0"/>
        <v>87.90219388569605</v>
      </c>
      <c r="D12" s="151">
        <f>D30+D36+D53+D80</f>
        <v>7647.4908680555563</v>
      </c>
      <c r="E12" s="147"/>
      <c r="F12" s="150">
        <f t="shared" si="1"/>
        <v>3480.2877873563216</v>
      </c>
      <c r="G12" s="151">
        <f>G30+G36+G53+G80</f>
        <v>302785.03749999998</v>
      </c>
      <c r="H12" s="147"/>
      <c r="I12" s="150">
        <f t="shared" si="2"/>
        <v>54.272788127009292</v>
      </c>
      <c r="J12" s="151">
        <f>T30+CA36</f>
        <v>4721.7325670498085</v>
      </c>
      <c r="K12" s="143"/>
    </row>
    <row r="13" spans="2:14" ht="39.950000000000003" customHeight="1">
      <c r="B13" s="148" t="s">
        <v>153</v>
      </c>
      <c r="C13" s="145">
        <f t="shared" si="0"/>
        <v>103.33073794699872</v>
      </c>
      <c r="D13" s="146">
        <f>D31+D36+D53+D79</f>
        <v>8989.7742013888892</v>
      </c>
      <c r="E13" s="147"/>
      <c r="F13" s="145">
        <f t="shared" si="1"/>
        <v>4022.8826149425286</v>
      </c>
      <c r="G13" s="146">
        <f>G31+G36+G53+G79</f>
        <v>349990.78749999998</v>
      </c>
      <c r="H13" s="147"/>
      <c r="I13" s="145">
        <f t="shared" si="2"/>
        <v>54.272788127009292</v>
      </c>
      <c r="J13" s="146">
        <f>T24+CA36</f>
        <v>4721.7325670498085</v>
      </c>
      <c r="K13" s="143"/>
    </row>
    <row r="14" spans="2:14" ht="20.100000000000001" customHeight="1">
      <c r="B14" s="152"/>
      <c r="C14" s="153"/>
      <c r="D14" s="154"/>
      <c r="E14" s="147"/>
      <c r="F14" s="153"/>
      <c r="G14" s="154"/>
      <c r="H14" s="147"/>
      <c r="K14" s="143"/>
      <c r="L14" s="143"/>
      <c r="M14" s="143"/>
      <c r="N14" s="143"/>
    </row>
    <row r="15" spans="2:14" ht="39.950000000000003" customHeight="1">
      <c r="B15" s="155" t="s">
        <v>154</v>
      </c>
      <c r="C15" s="141" t="s">
        <v>36</v>
      </c>
      <c r="D15" s="141" t="s">
        <v>37</v>
      </c>
      <c r="E15" s="142"/>
      <c r="F15" s="142"/>
      <c r="G15" s="142"/>
      <c r="H15" s="147"/>
      <c r="K15" s="143"/>
      <c r="L15" s="143"/>
      <c r="M15" s="143"/>
      <c r="N15" s="143"/>
    </row>
    <row r="16" spans="2:14" ht="20.100000000000001" customHeight="1">
      <c r="B16" s="156" t="s">
        <v>155</v>
      </c>
      <c r="C16" s="145">
        <f>D16/$D$1</f>
        <v>23.107375478927203</v>
      </c>
      <c r="D16" s="146">
        <f>D87+D88</f>
        <v>2010.3416666666667</v>
      </c>
      <c r="E16" s="147"/>
      <c r="F16" s="153"/>
      <c r="G16" s="154"/>
      <c r="H16" s="147"/>
      <c r="K16" s="143"/>
      <c r="L16" s="143"/>
      <c r="M16" s="143"/>
      <c r="N16" s="143"/>
    </row>
    <row r="17" spans="2:61" ht="20.100000000000001" customHeight="1">
      <c r="B17" s="152"/>
      <c r="C17" s="153"/>
      <c r="D17" s="154"/>
      <c r="E17" s="147"/>
      <c r="F17" s="153"/>
      <c r="G17" s="157"/>
      <c r="H17" s="143"/>
      <c r="I17" s="143"/>
      <c r="J17" s="143"/>
      <c r="K17" s="143"/>
      <c r="L17" s="143"/>
      <c r="M17" s="143"/>
      <c r="N17" s="143"/>
    </row>
    <row r="18" spans="2:61" s="164" customFormat="1" ht="20.100000000000001" customHeight="1">
      <c r="B18" s="158"/>
      <c r="C18" s="159"/>
      <c r="D18" s="160"/>
      <c r="E18" s="161"/>
      <c r="F18" s="159"/>
      <c r="G18" s="162"/>
      <c r="H18" s="163"/>
      <c r="I18" s="163"/>
      <c r="J18" s="163"/>
      <c r="K18" s="163"/>
      <c r="L18" s="163"/>
      <c r="M18" s="163"/>
      <c r="N18" s="163"/>
    </row>
    <row r="19" spans="2:61" ht="20.100000000000001" customHeight="1"/>
    <row r="20" spans="2:61" ht="20.100000000000001" customHeight="1">
      <c r="G20" s="165"/>
      <c r="H20" s="165"/>
      <c r="I20" s="946" t="s">
        <v>57</v>
      </c>
      <c r="J20" s="946"/>
      <c r="K20" s="947"/>
      <c r="M20" s="948" t="s">
        <v>156</v>
      </c>
      <c r="N20" s="948"/>
      <c r="O20" s="948"/>
      <c r="P20" s="948"/>
      <c r="Q20" s="948"/>
      <c r="R20" s="948"/>
      <c r="S20" s="948"/>
      <c r="T20" s="948"/>
    </row>
    <row r="21" spans="2:61" ht="20.100000000000001" customHeight="1">
      <c r="G21" s="165"/>
      <c r="H21" s="165"/>
      <c r="I21" s="946" t="s">
        <v>65</v>
      </c>
      <c r="J21" s="947"/>
      <c r="K21" s="952" t="s">
        <v>75</v>
      </c>
      <c r="M21" s="944" t="s">
        <v>157</v>
      </c>
      <c r="N21" s="949"/>
      <c r="O21" s="945"/>
      <c r="P21" s="944" t="s">
        <v>158</v>
      </c>
      <c r="Q21" s="949"/>
      <c r="R21" s="945"/>
      <c r="S21" s="953" t="s">
        <v>159</v>
      </c>
      <c r="T21" s="950" t="s">
        <v>160</v>
      </c>
    </row>
    <row r="22" spans="2:61" s="169" customFormat="1" ht="39.950000000000003" customHeight="1">
      <c r="B22" s="140" t="s">
        <v>161</v>
      </c>
      <c r="C22" s="141" t="s">
        <v>36</v>
      </c>
      <c r="D22" s="141" t="s">
        <v>37</v>
      </c>
      <c r="E22" s="142"/>
      <c r="F22" s="141" t="s">
        <v>60</v>
      </c>
      <c r="G22" s="141" t="s">
        <v>61</v>
      </c>
      <c r="H22" s="166"/>
      <c r="I22" s="167" t="s">
        <v>76</v>
      </c>
      <c r="J22" s="168" t="s">
        <v>63</v>
      </c>
      <c r="K22" s="951"/>
      <c r="M22" s="170" t="s">
        <v>162</v>
      </c>
      <c r="N22" s="168" t="s">
        <v>63</v>
      </c>
      <c r="O22" s="171" t="s">
        <v>163</v>
      </c>
      <c r="P22" s="170" t="s">
        <v>162</v>
      </c>
      <c r="Q22" s="168" t="s">
        <v>63</v>
      </c>
      <c r="R22" s="171" t="s">
        <v>163</v>
      </c>
      <c r="S22" s="954"/>
      <c r="T22" s="951"/>
    </row>
    <row r="23" spans="2:61" ht="39.950000000000003" customHeight="1">
      <c r="B23" s="144" t="str">
        <f>[48]A_C!B141</f>
        <v>Equipo Dosificador 215lts. eléctrico, líneas inoxidables 3/8 tablero eléctrico con guarda motor y disyuntor línea de inyección con válvula de alivio y retorno a recipiente. Con TB</v>
      </c>
      <c r="C23" s="145">
        <f t="shared" ref="C23:C30" si="3">D23/$D$1</f>
        <v>29.676724137931036</v>
      </c>
      <c r="D23" s="146">
        <f>K23</f>
        <v>2581.875</v>
      </c>
      <c r="E23" s="147"/>
      <c r="F23" s="145">
        <f>G23/$D$1</f>
        <v>1187.0689655172414</v>
      </c>
      <c r="G23" s="146">
        <f>VLOOKUP(B23,[48]A_C!B5:F385,5,FALSE)</f>
        <v>103275</v>
      </c>
      <c r="H23" s="154"/>
      <c r="I23" s="172">
        <v>0.1</v>
      </c>
      <c r="J23" s="173">
        <v>36</v>
      </c>
      <c r="K23" s="174">
        <f>(G23*(1-I23))/J23</f>
        <v>2581.875</v>
      </c>
      <c r="M23" s="175">
        <f>VLOOKUP(M$21,[48]A_C!B5:F385,5,FALSE)</f>
        <v>2617.5</v>
      </c>
      <c r="N23" s="173">
        <v>12</v>
      </c>
      <c r="O23" s="176">
        <f t="shared" ref="O23:O30" si="4">M23/N23</f>
        <v>218.125</v>
      </c>
      <c r="P23" s="175">
        <f>VLOOKUP($P$21,[48]A_C!B5:F385,5,FALSE)</f>
        <v>1047</v>
      </c>
      <c r="Q23" s="173">
        <v>12</v>
      </c>
      <c r="R23" s="177">
        <f t="shared" ref="R23:R30" si="5">P23/Q23</f>
        <v>87.25</v>
      </c>
      <c r="S23" s="176"/>
      <c r="T23" s="178">
        <f>O23+R23+S23</f>
        <v>305.375</v>
      </c>
    </row>
    <row r="24" spans="2:61" ht="39.950000000000003" customHeight="1">
      <c r="B24" s="144" t="str">
        <f>[48]A_C!B142</f>
        <v>Equipo Dosificador 215lts. Neumático, líneas inoxidables 3/8 con reguladora neumática, línea de inyección con válvula de alivio y retorno a recipiente. Con TB</v>
      </c>
      <c r="C24" s="145">
        <f t="shared" si="3"/>
        <v>25.487068965517242</v>
      </c>
      <c r="D24" s="146">
        <f t="shared" ref="D24:D30" si="6">K24</f>
        <v>2217.375</v>
      </c>
      <c r="E24" s="147"/>
      <c r="F24" s="145">
        <f t="shared" ref="F24:F30" si="7">G24/$D$1</f>
        <v>1019.4827586206897</v>
      </c>
      <c r="G24" s="146">
        <f>VLOOKUP(B24,[48]A_C!B6:F386,5,FALSE)</f>
        <v>88695</v>
      </c>
      <c r="H24" s="154"/>
      <c r="I24" s="172">
        <v>0.1</v>
      </c>
      <c r="J24" s="173">
        <v>36</v>
      </c>
      <c r="K24" s="174">
        <f t="shared" ref="K24:K30" si="8">(G24*(1-I24))/J24</f>
        <v>2217.375</v>
      </c>
      <c r="M24" s="175">
        <f>VLOOKUP(M$21,[48]A_C!B6:F386,5,FALSE)</f>
        <v>2617.5</v>
      </c>
      <c r="N24" s="173">
        <v>12</v>
      </c>
      <c r="O24" s="176">
        <f t="shared" si="4"/>
        <v>218.125</v>
      </c>
      <c r="P24" s="175">
        <f>VLOOKUP($P$21,[48]A_C!B6:F386,5,FALSE)</f>
        <v>1047</v>
      </c>
      <c r="Q24" s="173">
        <v>12</v>
      </c>
      <c r="R24" s="177">
        <f t="shared" si="5"/>
        <v>87.25</v>
      </c>
      <c r="S24" s="176"/>
      <c r="T24" s="178">
        <f t="shared" ref="T24:T30" si="9">O24+R24+S24</f>
        <v>305.375</v>
      </c>
    </row>
    <row r="25" spans="2:61" ht="39.950000000000003" customHeight="1">
      <c r="B25" s="144" t="str">
        <f>[48]A_C!B143</f>
        <v>Equipo Dosificador 215lts.solar, líneas inoxidables 3/8, línea de inyección con válvula de alivio y retorno a recipiente, con soporte con caño 2" para pantalla sola. Con TB</v>
      </c>
      <c r="C25" s="145">
        <f t="shared" si="3"/>
        <v>26.495689655172413</v>
      </c>
      <c r="D25" s="146">
        <f t="shared" si="6"/>
        <v>2305.125</v>
      </c>
      <c r="E25" s="147"/>
      <c r="F25" s="145">
        <f t="shared" si="7"/>
        <v>1059.8275862068965</v>
      </c>
      <c r="G25" s="146">
        <f>VLOOKUP(B25,[48]A_C!B7:F387,5,FALSE)</f>
        <v>92205</v>
      </c>
      <c r="H25" s="154"/>
      <c r="I25" s="172">
        <v>0.1</v>
      </c>
      <c r="J25" s="173">
        <v>36</v>
      </c>
      <c r="K25" s="174">
        <f t="shared" si="8"/>
        <v>2305.125</v>
      </c>
      <c r="M25" s="175">
        <f>VLOOKUP(M$21,[48]A_C!B7:F387,5,FALSE)</f>
        <v>2617.5</v>
      </c>
      <c r="N25" s="173">
        <v>12</v>
      </c>
      <c r="O25" s="176">
        <f t="shared" si="4"/>
        <v>218.125</v>
      </c>
      <c r="P25" s="175">
        <f>VLOOKUP($P$21,[48]A_C!B7:F387,5,FALSE)</f>
        <v>1047</v>
      </c>
      <c r="Q25" s="173">
        <v>12</v>
      </c>
      <c r="R25" s="177">
        <f t="shared" si="5"/>
        <v>87.25</v>
      </c>
      <c r="S25" s="176"/>
      <c r="T25" s="178">
        <f t="shared" si="9"/>
        <v>305.375</v>
      </c>
    </row>
    <row r="26" spans="2:61" ht="39.950000000000003" customHeight="1">
      <c r="B26" s="144" t="str">
        <f>[48]A_C!B144</f>
        <v>Equipo Dosificador 410lts. Neumático, líneas inoxidables 3/8 con reguladoras neumática. línea de inyección con válvula de alivio y retorno a recipiente</v>
      </c>
      <c r="C26" s="145">
        <f t="shared" si="3"/>
        <v>30.025862068965516</v>
      </c>
      <c r="D26" s="146">
        <f t="shared" si="6"/>
        <v>2612.25</v>
      </c>
      <c r="E26" s="147"/>
      <c r="F26" s="145">
        <f t="shared" si="7"/>
        <v>1201.0344827586207</v>
      </c>
      <c r="G26" s="146">
        <f>VLOOKUP(B26,[48]A_C!B8:F388,5,FALSE)</f>
        <v>104490</v>
      </c>
      <c r="H26" s="154"/>
      <c r="I26" s="172">
        <v>0.1</v>
      </c>
      <c r="J26" s="173">
        <v>36</v>
      </c>
      <c r="K26" s="174">
        <f t="shared" si="8"/>
        <v>2612.25</v>
      </c>
      <c r="M26" s="175">
        <f>VLOOKUP(M$21,[48]A_C!B8:F388,5,FALSE)</f>
        <v>2617.5</v>
      </c>
      <c r="N26" s="173">
        <v>12</v>
      </c>
      <c r="O26" s="176">
        <f t="shared" si="4"/>
        <v>218.125</v>
      </c>
      <c r="P26" s="175">
        <f>VLOOKUP($P$21,[48]A_C!B8:F388,5,FALSE)</f>
        <v>1047</v>
      </c>
      <c r="Q26" s="173">
        <v>12</v>
      </c>
      <c r="R26" s="177">
        <f>P26/Q26</f>
        <v>87.25</v>
      </c>
      <c r="S26" s="176"/>
      <c r="T26" s="178">
        <f t="shared" si="9"/>
        <v>305.375</v>
      </c>
    </row>
    <row r="27" spans="2:61" ht="39.950000000000003" customHeight="1">
      <c r="B27" s="144" t="str">
        <f>[48]A_C!B145</f>
        <v>Equipo Dosificador 410lts.electrico, líneas inoxidables 3/8 tablero eléctrico con guarda motor y disyuntor línea de inyección con válvula de alivio y retorno a recipiente.</v>
      </c>
      <c r="C27" s="145">
        <f t="shared" si="3"/>
        <v>38.734913793103445</v>
      </c>
      <c r="D27" s="146">
        <f t="shared" si="6"/>
        <v>3369.9375</v>
      </c>
      <c r="E27" s="147"/>
      <c r="F27" s="145">
        <f t="shared" si="7"/>
        <v>1549.3965517241379</v>
      </c>
      <c r="G27" s="146">
        <f>VLOOKUP(B27,[48]A_C!B9:F389,5,FALSE)</f>
        <v>134797.5</v>
      </c>
      <c r="H27" s="154"/>
      <c r="I27" s="172">
        <v>0.1</v>
      </c>
      <c r="J27" s="173">
        <v>36</v>
      </c>
      <c r="K27" s="174">
        <f t="shared" si="8"/>
        <v>3369.9375</v>
      </c>
      <c r="M27" s="175">
        <f>VLOOKUP(M$21,[48]A_C!B9:F389,5,FALSE)</f>
        <v>2617.5</v>
      </c>
      <c r="N27" s="173">
        <v>12</v>
      </c>
      <c r="O27" s="176">
        <f t="shared" si="4"/>
        <v>218.125</v>
      </c>
      <c r="P27" s="175">
        <f>VLOOKUP($P$21,[48]A_C!B9:F389,5,FALSE)</f>
        <v>1047</v>
      </c>
      <c r="Q27" s="173">
        <v>12</v>
      </c>
      <c r="R27" s="177">
        <f t="shared" si="5"/>
        <v>87.25</v>
      </c>
      <c r="S27" s="176"/>
      <c r="T27" s="178">
        <f t="shared" si="9"/>
        <v>305.375</v>
      </c>
    </row>
    <row r="28" spans="2:61" ht="39.950000000000003" customHeight="1">
      <c r="B28" s="144" t="str">
        <f>[48]A_C!B146</f>
        <v>Equipo Dosificador 410lts. solar, líneas inoxidables 3/8 línea de inyección con válvula de alivio y retorno a recipiente, con soporte en caño de 2" para pantalla solar.</v>
      </c>
      <c r="C28" s="145">
        <f t="shared" si="3"/>
        <v>32.431034482758626</v>
      </c>
      <c r="D28" s="146">
        <f t="shared" si="6"/>
        <v>2821.5000000000005</v>
      </c>
      <c r="E28" s="147"/>
      <c r="F28" s="145">
        <f t="shared" si="7"/>
        <v>1297.2413793103449</v>
      </c>
      <c r="G28" s="146">
        <f>VLOOKUP(B28,[48]A_C!B10:F390,5,FALSE)</f>
        <v>112860.00000000001</v>
      </c>
      <c r="H28" s="154"/>
      <c r="I28" s="172">
        <v>0.1</v>
      </c>
      <c r="J28" s="173">
        <v>36</v>
      </c>
      <c r="K28" s="174">
        <f t="shared" si="8"/>
        <v>2821.5000000000005</v>
      </c>
      <c r="M28" s="175">
        <f>VLOOKUP(M$21,[48]A_C!B10:F390,5,FALSE)</f>
        <v>2617.5</v>
      </c>
      <c r="N28" s="173">
        <v>12</v>
      </c>
      <c r="O28" s="176">
        <f t="shared" si="4"/>
        <v>218.125</v>
      </c>
      <c r="P28" s="175">
        <f>VLOOKUP($P$21,[48]A_C!B10:F390,5,FALSE)</f>
        <v>1047</v>
      </c>
      <c r="Q28" s="173">
        <v>12</v>
      </c>
      <c r="R28" s="177">
        <f t="shared" si="5"/>
        <v>87.25</v>
      </c>
      <c r="S28" s="176"/>
      <c r="T28" s="178">
        <f t="shared" si="9"/>
        <v>305.375</v>
      </c>
    </row>
    <row r="29" spans="2:61" ht="39.950000000000003" customHeight="1">
      <c r="B29" s="144" t="str">
        <f>[48]A_C!B147</f>
        <v>Equipo Dosificador 1000lts. neumático, líneas inoxidables 3/8 con reguladora neumática, línea de inyección con válvula de alivio y retorno a contenedor.</v>
      </c>
      <c r="C29" s="145">
        <f t="shared" si="3"/>
        <v>40.527155172413792</v>
      </c>
      <c r="D29" s="146">
        <f t="shared" si="6"/>
        <v>3525.8625000000002</v>
      </c>
      <c r="E29" s="147"/>
      <c r="F29" s="145">
        <f t="shared" si="7"/>
        <v>1621.0862068965516</v>
      </c>
      <c r="G29" s="146">
        <f>VLOOKUP(B29,[48]A_C!B11:F391,5,FALSE)</f>
        <v>141034.5</v>
      </c>
      <c r="H29" s="154"/>
      <c r="I29" s="172">
        <v>0.1</v>
      </c>
      <c r="J29" s="173">
        <v>36</v>
      </c>
      <c r="K29" s="174">
        <f t="shared" si="8"/>
        <v>3525.8625000000002</v>
      </c>
      <c r="M29" s="175">
        <f>VLOOKUP(M$21,[48]A_C!B11:F391,5,FALSE)</f>
        <v>2617.5</v>
      </c>
      <c r="N29" s="173">
        <v>12</v>
      </c>
      <c r="O29" s="176">
        <f t="shared" si="4"/>
        <v>218.125</v>
      </c>
      <c r="P29" s="175">
        <f>VLOOKUP($P$21,[48]A_C!B11:F391,5,FALSE)</f>
        <v>1047</v>
      </c>
      <c r="Q29" s="173">
        <v>12</v>
      </c>
      <c r="R29" s="177">
        <f t="shared" si="5"/>
        <v>87.25</v>
      </c>
      <c r="S29" s="176"/>
      <c r="T29" s="178">
        <f t="shared" si="9"/>
        <v>305.375</v>
      </c>
    </row>
    <row r="30" spans="2:61" ht="39.950000000000003" customHeight="1">
      <c r="B30" s="144" t="str">
        <f>[48]A_C!B148</f>
        <v xml:space="preserve">Equipo Dosificador 1000lts. eléctrico, líneas inoxidables 3/8, tablero eléctrico con guarda motor y disyuntor línea de inyección con válvula de alivio y retorno a contenedor </v>
      </c>
      <c r="C30" s="145">
        <f t="shared" si="3"/>
        <v>46.928017241379315</v>
      </c>
      <c r="D30" s="146">
        <f t="shared" si="6"/>
        <v>4082.7375000000006</v>
      </c>
      <c r="E30" s="147"/>
      <c r="F30" s="145">
        <f t="shared" si="7"/>
        <v>1877.1206896551723</v>
      </c>
      <c r="G30" s="146">
        <f>VLOOKUP(B30,[48]A_C!B12:F392,5,FALSE)</f>
        <v>163309.5</v>
      </c>
      <c r="H30" s="154"/>
      <c r="I30" s="172">
        <v>0.1</v>
      </c>
      <c r="J30" s="173">
        <v>36</v>
      </c>
      <c r="K30" s="174">
        <f t="shared" si="8"/>
        <v>4082.7375000000006</v>
      </c>
      <c r="M30" s="175">
        <f>VLOOKUP(M$21,[48]A_C!B12:F392,5,FALSE)</f>
        <v>2617.5</v>
      </c>
      <c r="N30" s="173">
        <v>12</v>
      </c>
      <c r="O30" s="176">
        <f t="shared" si="4"/>
        <v>218.125</v>
      </c>
      <c r="P30" s="175">
        <f>VLOOKUP($P$21,[48]A_C!B12:F392,5,FALSE)</f>
        <v>1047</v>
      </c>
      <c r="Q30" s="173">
        <v>12</v>
      </c>
      <c r="R30" s="177">
        <f t="shared" si="5"/>
        <v>87.25</v>
      </c>
      <c r="S30" s="176"/>
      <c r="T30" s="178">
        <f t="shared" si="9"/>
        <v>305.375</v>
      </c>
    </row>
    <row r="31" spans="2:61" s="180" customFormat="1" ht="39.950000000000003" customHeight="1">
      <c r="B31" s="144" t="str">
        <f>[48]A_C!B149</f>
        <v>Equipo dosificador 1000lts. solar, líneas inoxidables 3/8 líneas de inyección con válvula de a alivio y retorno contenedor, con soporte en caño de 2" para pantalla solar</v>
      </c>
      <c r="C31" s="145">
        <f>D31/$D$1</f>
        <v>43.719827586206897</v>
      </c>
      <c r="D31" s="146">
        <f>K31</f>
        <v>3803.625</v>
      </c>
      <c r="E31" s="135"/>
      <c r="F31" s="145">
        <f>G31/$D$1</f>
        <v>1748.7931034482758</v>
      </c>
      <c r="G31" s="146">
        <f>VLOOKUP(B31,[48]A_C!B13:F393,5,FALSE)</f>
        <v>152145</v>
      </c>
      <c r="H31" s="179"/>
      <c r="I31" s="172">
        <v>0.1</v>
      </c>
      <c r="J31" s="173">
        <v>36</v>
      </c>
      <c r="K31" s="174">
        <f>(G31*(1-I31))/J31</f>
        <v>3803.625</v>
      </c>
      <c r="M31" s="175">
        <f>VLOOKUP(M$21,[48]A_C!B13:F393,5,FALSE)</f>
        <v>2617.5</v>
      </c>
      <c r="N31" s="173">
        <v>12</v>
      </c>
      <c r="O31" s="177">
        <f>M31/N31</f>
        <v>218.125</v>
      </c>
      <c r="P31" s="175">
        <f>VLOOKUP($P$21,[48]A_C!B13:F393,5,FALSE)</f>
        <v>1047</v>
      </c>
      <c r="Q31" s="173">
        <v>12</v>
      </c>
      <c r="R31" s="177">
        <f>P31/Q31</f>
        <v>87.25</v>
      </c>
      <c r="S31" s="176"/>
      <c r="T31" s="178">
        <f>O31+R31+S31</f>
        <v>305.375</v>
      </c>
    </row>
    <row r="32" spans="2:61" s="180" customFormat="1" ht="20.100000000000001" customHeight="1">
      <c r="B32" s="181"/>
      <c r="C32" s="153"/>
      <c r="D32" s="154"/>
      <c r="E32" s="135"/>
      <c r="F32" s="179"/>
      <c r="G32" s="179"/>
      <c r="H32" s="179"/>
      <c r="I32" s="182"/>
      <c r="J32" s="183"/>
      <c r="K32" s="184"/>
      <c r="M32" s="147"/>
      <c r="N32" s="147"/>
      <c r="O32" s="147"/>
      <c r="P32" s="147"/>
      <c r="Q32" s="147"/>
      <c r="R32" s="147"/>
      <c r="S32" s="147"/>
      <c r="T32" s="147"/>
      <c r="V32" s="147"/>
      <c r="Y32" s="147"/>
      <c r="AB32" s="147"/>
      <c r="AE32" s="147"/>
      <c r="AH32" s="147"/>
      <c r="AK32" s="147"/>
      <c r="AN32" s="147"/>
      <c r="AQ32" s="147"/>
      <c r="AT32" s="147"/>
      <c r="AW32" s="147"/>
      <c r="AZ32" s="147"/>
      <c r="BC32" s="147"/>
      <c r="BF32" s="147"/>
      <c r="BI32" s="147"/>
    </row>
    <row r="33" spans="2:114" s="180" customFormat="1" ht="20.100000000000001" customHeight="1">
      <c r="B33" s="185"/>
      <c r="C33" s="186" t="s">
        <v>164</v>
      </c>
      <c r="D33" s="187"/>
      <c r="E33" s="135"/>
      <c r="F33" s="135"/>
      <c r="G33" s="165"/>
      <c r="H33" s="165"/>
      <c r="I33" s="946" t="s">
        <v>57</v>
      </c>
      <c r="J33" s="946"/>
      <c r="K33" s="947"/>
      <c r="M33" s="948" t="s">
        <v>156</v>
      </c>
      <c r="N33" s="948"/>
      <c r="O33" s="948"/>
      <c r="P33" s="948"/>
      <c r="Q33" s="948"/>
      <c r="R33" s="948"/>
      <c r="S33" s="948"/>
      <c r="T33" s="948"/>
      <c r="U33" s="948"/>
      <c r="V33" s="948"/>
      <c r="W33" s="948"/>
      <c r="X33" s="948"/>
      <c r="Y33" s="948"/>
      <c r="Z33" s="948"/>
      <c r="AA33" s="948"/>
      <c r="AB33" s="948"/>
      <c r="AC33" s="948"/>
      <c r="AD33" s="948"/>
      <c r="AE33" s="948"/>
      <c r="AF33" s="948"/>
      <c r="AG33" s="948"/>
      <c r="AH33" s="948"/>
      <c r="AI33" s="948"/>
      <c r="AJ33" s="948"/>
      <c r="AK33" s="948"/>
      <c r="AL33" s="948"/>
      <c r="AM33" s="948"/>
      <c r="AN33" s="948"/>
      <c r="AO33" s="948"/>
      <c r="AP33" s="948"/>
      <c r="AQ33" s="948"/>
      <c r="AR33" s="948"/>
      <c r="AS33" s="948"/>
      <c r="AT33" s="948"/>
      <c r="AU33" s="948"/>
      <c r="AV33" s="948"/>
      <c r="AW33" s="948"/>
      <c r="AX33" s="948"/>
      <c r="AY33" s="948"/>
      <c r="AZ33" s="948"/>
      <c r="BA33" s="948"/>
      <c r="BB33" s="948"/>
      <c r="BC33" s="948"/>
      <c r="BD33" s="948"/>
      <c r="BE33" s="948"/>
      <c r="BF33" s="948"/>
      <c r="BG33" s="948"/>
      <c r="BH33" s="948"/>
      <c r="BI33" s="948"/>
      <c r="BJ33" s="948"/>
      <c r="BK33" s="948"/>
      <c r="BL33" s="948"/>
      <c r="BM33" s="948"/>
      <c r="BN33" s="948"/>
      <c r="BO33" s="948"/>
      <c r="BP33" s="948"/>
      <c r="BQ33" s="948"/>
      <c r="BR33" s="948"/>
      <c r="BS33" s="948"/>
      <c r="BT33" s="948"/>
      <c r="BU33" s="948"/>
      <c r="BV33" s="948"/>
      <c r="BW33" s="948"/>
      <c r="BX33" s="948"/>
      <c r="BY33" s="948"/>
      <c r="BZ33" s="948"/>
      <c r="CA33" s="948"/>
    </row>
    <row r="34" spans="2:114" s="180" customFormat="1" ht="20.100000000000001" customHeight="1">
      <c r="B34" s="185"/>
      <c r="C34" s="153"/>
      <c r="D34" s="154"/>
      <c r="E34" s="135"/>
      <c r="F34" s="135"/>
      <c r="G34" s="165"/>
      <c r="H34" s="165"/>
      <c r="I34" s="946" t="s">
        <v>65</v>
      </c>
      <c r="J34" s="947"/>
      <c r="K34" s="952" t="s">
        <v>75</v>
      </c>
      <c r="M34" s="944" t="s">
        <v>165</v>
      </c>
      <c r="N34" s="949"/>
      <c r="O34" s="945"/>
      <c r="P34" s="944" t="s">
        <v>166</v>
      </c>
      <c r="Q34" s="949"/>
      <c r="R34" s="945"/>
      <c r="S34" s="944" t="s">
        <v>167</v>
      </c>
      <c r="T34" s="949"/>
      <c r="U34" s="945"/>
      <c r="V34" s="944" t="s">
        <v>168</v>
      </c>
      <c r="W34" s="949"/>
      <c r="X34" s="945"/>
      <c r="Y34" s="944" t="s">
        <v>169</v>
      </c>
      <c r="Z34" s="949"/>
      <c r="AA34" s="945"/>
      <c r="AB34" s="944" t="s">
        <v>170</v>
      </c>
      <c r="AC34" s="949"/>
      <c r="AD34" s="945"/>
      <c r="AE34" s="944" t="s">
        <v>171</v>
      </c>
      <c r="AF34" s="949"/>
      <c r="AG34" s="945"/>
      <c r="AH34" s="944" t="s">
        <v>172</v>
      </c>
      <c r="AI34" s="949"/>
      <c r="AJ34" s="945"/>
      <c r="AK34" s="944" t="s">
        <v>173</v>
      </c>
      <c r="AL34" s="949"/>
      <c r="AM34" s="945"/>
      <c r="AN34" s="944" t="s">
        <v>174</v>
      </c>
      <c r="AO34" s="949"/>
      <c r="AP34" s="945"/>
      <c r="AQ34" s="944" t="s">
        <v>175</v>
      </c>
      <c r="AR34" s="949"/>
      <c r="AS34" s="945"/>
      <c r="AT34" s="944" t="s">
        <v>176</v>
      </c>
      <c r="AU34" s="949"/>
      <c r="AV34" s="945"/>
      <c r="AW34" s="944" t="s">
        <v>177</v>
      </c>
      <c r="AX34" s="949"/>
      <c r="AY34" s="945"/>
      <c r="AZ34" s="944" t="s">
        <v>178</v>
      </c>
      <c r="BA34" s="949"/>
      <c r="BB34" s="945"/>
      <c r="BC34" s="944" t="s">
        <v>179</v>
      </c>
      <c r="BD34" s="949"/>
      <c r="BE34" s="945"/>
      <c r="BF34" s="944" t="s">
        <v>180</v>
      </c>
      <c r="BG34" s="949"/>
      <c r="BH34" s="945"/>
      <c r="BI34" s="944" t="s">
        <v>181</v>
      </c>
      <c r="BJ34" s="949"/>
      <c r="BK34" s="945"/>
      <c r="BL34" s="944" t="s">
        <v>182</v>
      </c>
      <c r="BM34" s="949"/>
      <c r="BN34" s="945"/>
      <c r="BO34" s="944" t="s">
        <v>183</v>
      </c>
      <c r="BP34" s="949"/>
      <c r="BQ34" s="945"/>
      <c r="BR34" s="944" t="s">
        <v>184</v>
      </c>
      <c r="BS34" s="949"/>
      <c r="BT34" s="945"/>
      <c r="BU34" s="944" t="s">
        <v>185</v>
      </c>
      <c r="BV34" s="949"/>
      <c r="BW34" s="945"/>
      <c r="BX34" s="944" t="s">
        <v>186</v>
      </c>
      <c r="BY34" s="949"/>
      <c r="BZ34" s="945"/>
      <c r="CA34" s="952" t="s">
        <v>160</v>
      </c>
    </row>
    <row r="35" spans="2:114" ht="39.950000000000003" customHeight="1">
      <c r="B35" s="188" t="s">
        <v>187</v>
      </c>
      <c r="C35" s="189" t="s">
        <v>36</v>
      </c>
      <c r="D35" s="189" t="s">
        <v>37</v>
      </c>
      <c r="F35" s="141" t="s">
        <v>60</v>
      </c>
      <c r="G35" s="141" t="s">
        <v>61</v>
      </c>
      <c r="H35" s="166"/>
      <c r="I35" s="167" t="s">
        <v>76</v>
      </c>
      <c r="J35" s="168" t="s">
        <v>63</v>
      </c>
      <c r="K35" s="951"/>
      <c r="M35" s="170" t="s">
        <v>162</v>
      </c>
      <c r="N35" s="168" t="s">
        <v>63</v>
      </c>
      <c r="O35" s="171" t="s">
        <v>163</v>
      </c>
      <c r="P35" s="170" t="s">
        <v>162</v>
      </c>
      <c r="Q35" s="168" t="s">
        <v>63</v>
      </c>
      <c r="R35" s="171" t="s">
        <v>163</v>
      </c>
      <c r="S35" s="170" t="s">
        <v>162</v>
      </c>
      <c r="T35" s="168" t="s">
        <v>63</v>
      </c>
      <c r="U35" s="171" t="s">
        <v>163</v>
      </c>
      <c r="V35" s="170" t="s">
        <v>162</v>
      </c>
      <c r="W35" s="168" t="s">
        <v>63</v>
      </c>
      <c r="X35" s="171" t="s">
        <v>163</v>
      </c>
      <c r="Y35" s="170" t="s">
        <v>162</v>
      </c>
      <c r="Z35" s="168" t="s">
        <v>63</v>
      </c>
      <c r="AA35" s="171" t="s">
        <v>163</v>
      </c>
      <c r="AB35" s="170" t="s">
        <v>162</v>
      </c>
      <c r="AC35" s="168" t="s">
        <v>63</v>
      </c>
      <c r="AD35" s="171" t="s">
        <v>163</v>
      </c>
      <c r="AE35" s="170" t="s">
        <v>162</v>
      </c>
      <c r="AF35" s="168" t="s">
        <v>63</v>
      </c>
      <c r="AG35" s="171" t="s">
        <v>163</v>
      </c>
      <c r="AH35" s="170" t="s">
        <v>162</v>
      </c>
      <c r="AI35" s="168" t="s">
        <v>63</v>
      </c>
      <c r="AJ35" s="171" t="s">
        <v>163</v>
      </c>
      <c r="AK35" s="170" t="s">
        <v>162</v>
      </c>
      <c r="AL35" s="168" t="s">
        <v>63</v>
      </c>
      <c r="AM35" s="171" t="s">
        <v>163</v>
      </c>
      <c r="AN35" s="170" t="s">
        <v>162</v>
      </c>
      <c r="AO35" s="168" t="s">
        <v>63</v>
      </c>
      <c r="AP35" s="171" t="s">
        <v>163</v>
      </c>
      <c r="AQ35" s="170" t="s">
        <v>162</v>
      </c>
      <c r="AR35" s="168" t="s">
        <v>63</v>
      </c>
      <c r="AS35" s="171" t="s">
        <v>163</v>
      </c>
      <c r="AT35" s="170" t="s">
        <v>162</v>
      </c>
      <c r="AU35" s="168" t="s">
        <v>63</v>
      </c>
      <c r="AV35" s="171" t="s">
        <v>163</v>
      </c>
      <c r="AW35" s="170" t="s">
        <v>162</v>
      </c>
      <c r="AX35" s="168" t="s">
        <v>63</v>
      </c>
      <c r="AY35" s="171" t="s">
        <v>163</v>
      </c>
      <c r="AZ35" s="170" t="s">
        <v>162</v>
      </c>
      <c r="BA35" s="168" t="s">
        <v>63</v>
      </c>
      <c r="BB35" s="171" t="s">
        <v>163</v>
      </c>
      <c r="BC35" s="170" t="s">
        <v>162</v>
      </c>
      <c r="BD35" s="168" t="s">
        <v>63</v>
      </c>
      <c r="BE35" s="171" t="s">
        <v>163</v>
      </c>
      <c r="BF35" s="170" t="s">
        <v>162</v>
      </c>
      <c r="BG35" s="168" t="s">
        <v>63</v>
      </c>
      <c r="BH35" s="171" t="s">
        <v>163</v>
      </c>
      <c r="BI35" s="170" t="s">
        <v>162</v>
      </c>
      <c r="BJ35" s="168" t="s">
        <v>63</v>
      </c>
      <c r="BK35" s="171" t="s">
        <v>163</v>
      </c>
      <c r="BL35" s="170" t="s">
        <v>162</v>
      </c>
      <c r="BM35" s="168" t="s">
        <v>63</v>
      </c>
      <c r="BN35" s="171" t="s">
        <v>163</v>
      </c>
      <c r="BO35" s="170" t="s">
        <v>162</v>
      </c>
      <c r="BP35" s="168" t="s">
        <v>63</v>
      </c>
      <c r="BQ35" s="171" t="s">
        <v>163</v>
      </c>
      <c r="BR35" s="170" t="s">
        <v>162</v>
      </c>
      <c r="BS35" s="168" t="s">
        <v>63</v>
      </c>
      <c r="BT35" s="171" t="s">
        <v>163</v>
      </c>
      <c r="BU35" s="170" t="s">
        <v>162</v>
      </c>
      <c r="BV35" s="168" t="s">
        <v>63</v>
      </c>
      <c r="BW35" s="171" t="s">
        <v>163</v>
      </c>
      <c r="BX35" s="170" t="s">
        <v>162</v>
      </c>
      <c r="BY35" s="168" t="s">
        <v>63</v>
      </c>
      <c r="BZ35" s="171" t="s">
        <v>163</v>
      </c>
      <c r="CA35" s="951"/>
    </row>
    <row r="36" spans="2:114" s="203" customFormat="1" ht="25.5" customHeight="1">
      <c r="B36" s="190" t="s">
        <v>188</v>
      </c>
      <c r="C36" s="191">
        <f t="shared" ref="C36:C45" si="10">D36/$D$1</f>
        <v>26.186666666666671</v>
      </c>
      <c r="D36" s="192">
        <f t="shared" ref="D36:D45" si="11">K36</f>
        <v>2278.2400000000002</v>
      </c>
      <c r="E36" s="193"/>
      <c r="F36" s="194">
        <f>1473*0.8</f>
        <v>1178.4000000000001</v>
      </c>
      <c r="G36" s="192">
        <f>F36*$D$1</f>
        <v>102520.8</v>
      </c>
      <c r="H36" s="195"/>
      <c r="I36" s="196">
        <v>0.2</v>
      </c>
      <c r="J36" s="197">
        <v>36</v>
      </c>
      <c r="K36" s="198">
        <f t="shared" ref="K36:K45" si="12">(G36*(1-I36))/J36</f>
        <v>2278.2400000000002</v>
      </c>
      <c r="L36" s="199"/>
      <c r="M36" s="200">
        <v>174.9206896551724</v>
      </c>
      <c r="N36" s="200">
        <v>6</v>
      </c>
      <c r="O36" s="200">
        <f>M36/N36</f>
        <v>29.153448275862065</v>
      </c>
      <c r="P36" s="200">
        <v>9462.1120689655163</v>
      </c>
      <c r="Q36" s="200">
        <v>12</v>
      </c>
      <c r="R36" s="201">
        <f>P36/Q36</f>
        <v>788.50933908045965</v>
      </c>
      <c r="S36" s="200">
        <v>13469.594827586207</v>
      </c>
      <c r="T36" s="200">
        <v>12</v>
      </c>
      <c r="U36" s="201">
        <f>S36/T36</f>
        <v>1122.466235632184</v>
      </c>
      <c r="V36" s="200">
        <v>14471.46551724138</v>
      </c>
      <c r="W36" s="200">
        <v>18</v>
      </c>
      <c r="X36" s="201">
        <f>V36/W36</f>
        <v>803.97030651341004</v>
      </c>
      <c r="Y36" s="200">
        <v>0</v>
      </c>
      <c r="Z36" s="202">
        <v>36</v>
      </c>
      <c r="AA36" s="201">
        <f>Y36/Z36</f>
        <v>0</v>
      </c>
      <c r="AB36" s="200">
        <v>6857.248275862069</v>
      </c>
      <c r="AC36" s="202">
        <v>24</v>
      </c>
      <c r="AD36" s="201">
        <f>AB36/AC36</f>
        <v>285.71867816091952</v>
      </c>
      <c r="AE36" s="200">
        <v>356.22068965517241</v>
      </c>
      <c r="AF36" s="202">
        <v>36</v>
      </c>
      <c r="AG36" s="201">
        <f>AE36/AF36</f>
        <v>9.8950191570881216</v>
      </c>
      <c r="AH36" s="200">
        <v>1424.8827586206896</v>
      </c>
      <c r="AI36" s="202">
        <v>36</v>
      </c>
      <c r="AJ36" s="201">
        <f>AH36/AI36</f>
        <v>39.580076628352487</v>
      </c>
      <c r="AK36" s="200">
        <v>1335.8275862068967</v>
      </c>
      <c r="AL36" s="202">
        <v>36</v>
      </c>
      <c r="AM36" s="201">
        <f>AK36/AL36</f>
        <v>37.106321839080465</v>
      </c>
      <c r="AN36" s="200">
        <v>979.60689655172416</v>
      </c>
      <c r="AO36" s="202">
        <v>36</v>
      </c>
      <c r="AP36" s="201">
        <f>AN36/AO36</f>
        <v>27.211302681992336</v>
      </c>
      <c r="AQ36" s="200">
        <v>1447.1465517241379</v>
      </c>
      <c r="AR36" s="202">
        <v>12</v>
      </c>
      <c r="AS36" s="201">
        <f>AQ36/AR36</f>
        <v>120.5955459770115</v>
      </c>
      <c r="AT36" s="200">
        <v>2048.2689655172412</v>
      </c>
      <c r="AU36" s="202">
        <v>24</v>
      </c>
      <c r="AV36" s="201">
        <f>AT36/AU36</f>
        <v>85.344540229885055</v>
      </c>
      <c r="AW36" s="200">
        <v>39740.870689655174</v>
      </c>
      <c r="AX36" s="202">
        <v>36</v>
      </c>
      <c r="AY36" s="201">
        <f>AW36/AX36</f>
        <v>1103.9130747126437</v>
      </c>
      <c r="AZ36" s="200">
        <v>35622.068965517239</v>
      </c>
      <c r="BA36" s="202">
        <v>36</v>
      </c>
      <c r="BB36" s="201">
        <f>AZ36/BA36</f>
        <v>989.50191570881225</v>
      </c>
      <c r="BC36" s="200"/>
      <c r="BD36" s="200"/>
      <c r="BE36" s="200"/>
      <c r="BF36" s="200"/>
      <c r="BG36" s="200"/>
      <c r="BH36" s="201"/>
      <c r="BI36" s="200"/>
      <c r="BJ36" s="200"/>
      <c r="BK36" s="201"/>
      <c r="BL36" s="200"/>
      <c r="BM36" s="200"/>
      <c r="BN36" s="201"/>
      <c r="BO36" s="200"/>
      <c r="BP36" s="200"/>
      <c r="BQ36" s="201"/>
      <c r="BR36" s="200"/>
      <c r="BS36" s="200"/>
      <c r="BT36" s="201"/>
      <c r="BU36" s="200"/>
      <c r="BV36" s="200"/>
      <c r="BW36" s="201"/>
      <c r="BX36" s="200"/>
      <c r="BY36" s="200"/>
      <c r="BZ36" s="201"/>
      <c r="CA36" s="198">
        <f>O36+R36+U36+X36+AA36+AD36+AG36+AJ36+AP36+AS36+AV36+AY36+BE36+BH36+BK36+BN36+BQ36+BT36+BW36+BZ36</f>
        <v>4416.3575670498085</v>
      </c>
      <c r="CB36" s="199"/>
      <c r="CC36" s="199"/>
      <c r="CD36" s="199"/>
      <c r="CE36" s="199"/>
      <c r="CF36" s="199"/>
      <c r="CG36" s="199"/>
      <c r="CH36" s="199"/>
      <c r="CI36" s="199"/>
      <c r="CJ36" s="199"/>
      <c r="CK36" s="199"/>
      <c r="CL36" s="199"/>
      <c r="CM36" s="199"/>
      <c r="CN36" s="199"/>
      <c r="CO36" s="199"/>
      <c r="CP36" s="199"/>
      <c r="CQ36" s="199"/>
      <c r="CR36" s="199"/>
      <c r="CS36" s="199"/>
      <c r="CT36" s="199"/>
      <c r="CU36" s="199"/>
      <c r="CV36" s="199"/>
      <c r="CW36" s="199"/>
      <c r="CX36" s="199"/>
      <c r="CY36" s="199"/>
      <c r="CZ36" s="199"/>
      <c r="DA36" s="199"/>
      <c r="DB36" s="199"/>
      <c r="DC36" s="199"/>
      <c r="DD36" s="199"/>
      <c r="DE36" s="199"/>
      <c r="DF36" s="199"/>
      <c r="DG36" s="199"/>
      <c r="DH36" s="199"/>
      <c r="DI36" s="199"/>
      <c r="DJ36" s="199"/>
    </row>
    <row r="37" spans="2:114" ht="24.95" customHeight="1">
      <c r="B37" s="204" t="s">
        <v>189</v>
      </c>
      <c r="C37" s="205">
        <f t="shared" si="10"/>
        <v>32.733333333333334</v>
      </c>
      <c r="D37" s="146">
        <f t="shared" si="11"/>
        <v>2847.8</v>
      </c>
      <c r="F37" s="145">
        <v>1473</v>
      </c>
      <c r="G37" s="146">
        <f>F37*$D$1</f>
        <v>128151</v>
      </c>
      <c r="H37" s="206"/>
      <c r="I37" s="172">
        <v>0.2</v>
      </c>
      <c r="J37" s="173">
        <v>36</v>
      </c>
      <c r="K37" s="174">
        <f t="shared" si="12"/>
        <v>2847.8</v>
      </c>
      <c r="L37" s="199"/>
      <c r="M37" s="176">
        <v>174.9206896551724</v>
      </c>
      <c r="N37" s="176">
        <v>6</v>
      </c>
      <c r="O37" s="176">
        <f>M37/N37</f>
        <v>29.153448275862065</v>
      </c>
      <c r="P37" s="176">
        <v>9462.1120689655163</v>
      </c>
      <c r="Q37" s="176">
        <v>12</v>
      </c>
      <c r="R37" s="207">
        <f>P37/Q37</f>
        <v>788.50933908045965</v>
      </c>
      <c r="S37" s="176">
        <v>13469.594827586207</v>
      </c>
      <c r="T37" s="176">
        <v>12</v>
      </c>
      <c r="U37" s="207">
        <f>S37/T37</f>
        <v>1122.466235632184</v>
      </c>
      <c r="V37" s="176">
        <v>14471.46551724138</v>
      </c>
      <c r="W37" s="176">
        <v>18</v>
      </c>
      <c r="X37" s="207">
        <f>V37/W37</f>
        <v>803.97030651341004</v>
      </c>
      <c r="Y37" s="176">
        <v>0</v>
      </c>
      <c r="Z37" s="208">
        <v>36</v>
      </c>
      <c r="AA37" s="207">
        <f>Y37/Z37</f>
        <v>0</v>
      </c>
      <c r="AB37" s="176">
        <v>6857.248275862069</v>
      </c>
      <c r="AC37" s="208">
        <v>24</v>
      </c>
      <c r="AD37" s="207">
        <f>AB37/AC37</f>
        <v>285.71867816091952</v>
      </c>
      <c r="AE37" s="176">
        <v>356.22068965517241</v>
      </c>
      <c r="AF37" s="208">
        <v>36</v>
      </c>
      <c r="AG37" s="207">
        <f>AE37/AF37</f>
        <v>9.8950191570881216</v>
      </c>
      <c r="AH37" s="176">
        <v>1424.8827586206896</v>
      </c>
      <c r="AI37" s="208">
        <v>36</v>
      </c>
      <c r="AJ37" s="207">
        <f>AH37/AI37</f>
        <v>39.580076628352487</v>
      </c>
      <c r="AK37" s="176">
        <v>1335.8275862068967</v>
      </c>
      <c r="AL37" s="208">
        <v>36</v>
      </c>
      <c r="AM37" s="207">
        <f>AK37/AL37</f>
        <v>37.106321839080465</v>
      </c>
      <c r="AN37" s="176">
        <v>979.60689655172416</v>
      </c>
      <c r="AO37" s="208">
        <v>36</v>
      </c>
      <c r="AP37" s="207">
        <f>AN37/AO37</f>
        <v>27.211302681992336</v>
      </c>
      <c r="AQ37" s="176">
        <v>1447.1465517241379</v>
      </c>
      <c r="AR37" s="208">
        <v>12</v>
      </c>
      <c r="AS37" s="207">
        <f>AQ37/AR37</f>
        <v>120.5955459770115</v>
      </c>
      <c r="AT37" s="176">
        <v>2048.2689655172412</v>
      </c>
      <c r="AU37" s="208">
        <v>24</v>
      </c>
      <c r="AV37" s="207">
        <f>AT37/AU37</f>
        <v>85.344540229885055</v>
      </c>
      <c r="AW37" s="176">
        <v>39740.870689655174</v>
      </c>
      <c r="AX37" s="208">
        <v>36</v>
      </c>
      <c r="AY37" s="207">
        <f>AW37/AX37</f>
        <v>1103.9130747126437</v>
      </c>
      <c r="AZ37" s="176">
        <v>35622.068965517239</v>
      </c>
      <c r="BA37" s="208">
        <v>36</v>
      </c>
      <c r="BB37" s="207">
        <f>AZ37/BA37</f>
        <v>989.50191570881225</v>
      </c>
      <c r="BC37" s="176"/>
      <c r="BD37" s="176"/>
      <c r="BE37" s="176"/>
      <c r="BF37" s="176"/>
      <c r="BG37" s="176"/>
      <c r="BH37" s="207"/>
      <c r="BI37" s="176"/>
      <c r="BJ37" s="176"/>
      <c r="BK37" s="176"/>
      <c r="BL37" s="176"/>
      <c r="BM37" s="176"/>
      <c r="BN37" s="176"/>
      <c r="BO37" s="176"/>
      <c r="BP37" s="176"/>
      <c r="BQ37" s="176"/>
      <c r="BR37" s="176"/>
      <c r="BS37" s="176"/>
      <c r="BT37" s="176"/>
      <c r="BU37" s="176"/>
      <c r="BV37" s="176"/>
      <c r="BW37" s="176"/>
      <c r="BX37" s="176"/>
      <c r="BY37" s="176"/>
      <c r="BZ37" s="176"/>
      <c r="CA37" s="174">
        <f t="shared" ref="CA37:CA45" si="13">O37+R37+U37+X37+AA37+AD37+AG37+AJ37+AP37+AS37+AV37+AY37+BE37+BH37+BK37+BN37+BQ37+BT37+BW37+BZ37</f>
        <v>4416.3575670498085</v>
      </c>
      <c r="CB37" s="199"/>
      <c r="CC37" s="199"/>
      <c r="CD37" s="199"/>
      <c r="CE37" s="199"/>
      <c r="CF37" s="199"/>
      <c r="CG37" s="199"/>
      <c r="CH37" s="199"/>
      <c r="CI37" s="199"/>
      <c r="CJ37" s="199"/>
      <c r="CK37" s="199"/>
      <c r="CL37" s="199"/>
      <c r="CM37" s="199"/>
      <c r="CN37" s="199"/>
      <c r="CO37" s="199"/>
      <c r="CP37" s="199"/>
      <c r="CQ37" s="199"/>
      <c r="CR37" s="199"/>
      <c r="CS37" s="199"/>
      <c r="CT37" s="199"/>
      <c r="CU37" s="199"/>
      <c r="CV37" s="199"/>
      <c r="CW37" s="199"/>
      <c r="CX37" s="199"/>
      <c r="CY37" s="199"/>
      <c r="CZ37" s="199"/>
      <c r="DA37" s="199"/>
      <c r="DB37" s="199"/>
      <c r="DC37" s="199"/>
      <c r="DD37" s="199"/>
      <c r="DE37" s="199"/>
      <c r="DF37" s="199"/>
      <c r="DG37" s="199"/>
      <c r="DH37" s="199"/>
      <c r="DI37" s="199"/>
      <c r="DJ37" s="199"/>
    </row>
    <row r="38" spans="2:114" s="203" customFormat="1" ht="24.95" customHeight="1">
      <c r="B38" s="190" t="s">
        <v>190</v>
      </c>
      <c r="C38" s="191">
        <f t="shared" si="10"/>
        <v>23.200000000000003</v>
      </c>
      <c r="D38" s="192">
        <f t="shared" si="11"/>
        <v>2018.4000000000003</v>
      </c>
      <c r="E38" s="193"/>
      <c r="F38" s="194">
        <f>1305*0.8</f>
        <v>1044</v>
      </c>
      <c r="G38" s="192">
        <f>F38*$D$1</f>
        <v>90828</v>
      </c>
      <c r="H38" s="206"/>
      <c r="I38" s="196">
        <v>0.2</v>
      </c>
      <c r="J38" s="197">
        <v>36</v>
      </c>
      <c r="K38" s="198">
        <f t="shared" si="12"/>
        <v>2018.4000000000003</v>
      </c>
      <c r="L38" s="199"/>
      <c r="M38" s="200">
        <v>174.9206896551724</v>
      </c>
      <c r="N38" s="200">
        <v>6</v>
      </c>
      <c r="O38" s="200">
        <f>M38/N38</f>
        <v>29.153448275862065</v>
      </c>
      <c r="P38" s="200">
        <v>9462.1120689655163</v>
      </c>
      <c r="Q38" s="200">
        <v>12</v>
      </c>
      <c r="R38" s="201">
        <f>P38/Q38</f>
        <v>788.50933908045965</v>
      </c>
      <c r="S38" s="200">
        <v>13469.594827586207</v>
      </c>
      <c r="T38" s="200">
        <v>12</v>
      </c>
      <c r="U38" s="201">
        <f>S38/T38</f>
        <v>1122.466235632184</v>
      </c>
      <c r="V38" s="200">
        <v>14471.46551724138</v>
      </c>
      <c r="W38" s="200">
        <v>18</v>
      </c>
      <c r="X38" s="201">
        <f>V38/W38</f>
        <v>803.97030651341004</v>
      </c>
      <c r="Y38" s="200">
        <v>0</v>
      </c>
      <c r="Z38" s="202">
        <v>36</v>
      </c>
      <c r="AA38" s="201">
        <f>Y38/Z38</f>
        <v>0</v>
      </c>
      <c r="AB38" s="200">
        <v>6857.248275862069</v>
      </c>
      <c r="AC38" s="202">
        <v>24</v>
      </c>
      <c r="AD38" s="201">
        <f>AB38/AC38</f>
        <v>285.71867816091952</v>
      </c>
      <c r="AE38" s="200">
        <v>356.22068965517241</v>
      </c>
      <c r="AF38" s="202">
        <v>36</v>
      </c>
      <c r="AG38" s="201">
        <f>AE38/AF38</f>
        <v>9.8950191570881216</v>
      </c>
      <c r="AH38" s="200">
        <v>1424.8827586206896</v>
      </c>
      <c r="AI38" s="202">
        <v>36</v>
      </c>
      <c r="AJ38" s="201">
        <f>AH38/AI38</f>
        <v>39.580076628352487</v>
      </c>
      <c r="AK38" s="200">
        <v>1335.8275862068967</v>
      </c>
      <c r="AL38" s="202">
        <v>36</v>
      </c>
      <c r="AM38" s="201">
        <f>AK38/AL38</f>
        <v>37.106321839080465</v>
      </c>
      <c r="AN38" s="200">
        <v>979.60689655172416</v>
      </c>
      <c r="AO38" s="202">
        <v>36</v>
      </c>
      <c r="AP38" s="201">
        <f>AN38/AO38</f>
        <v>27.211302681992336</v>
      </c>
      <c r="AQ38" s="200">
        <v>1447.1465517241379</v>
      </c>
      <c r="AR38" s="202">
        <v>12</v>
      </c>
      <c r="AS38" s="201">
        <f>AQ38/AR38</f>
        <v>120.5955459770115</v>
      </c>
      <c r="AT38" s="200">
        <v>2613.3086801426871</v>
      </c>
      <c r="AU38" s="202"/>
      <c r="AV38" s="201"/>
      <c r="AW38" s="200">
        <v>39740.870689655174</v>
      </c>
      <c r="AX38" s="202">
        <v>36</v>
      </c>
      <c r="AY38" s="201">
        <f>AW38/AX38</f>
        <v>1103.9130747126437</v>
      </c>
      <c r="AZ38" s="200">
        <v>35622.068965517239</v>
      </c>
      <c r="BA38" s="202">
        <v>36</v>
      </c>
      <c r="BB38" s="201">
        <f>AZ38/BA38</f>
        <v>989.50191570881225</v>
      </c>
      <c r="BC38" s="200">
        <f>VLOOKUP(BC$34,[48]A_C!B7:F387,5,FALSE)</f>
        <v>2181.25</v>
      </c>
      <c r="BD38" s="200">
        <v>6</v>
      </c>
      <c r="BE38" s="202">
        <f>BC38/BD38</f>
        <v>363.54166666666669</v>
      </c>
      <c r="BF38" s="200">
        <f>VLOOKUP(BF$34,[48]A_C!B7:F387,5,FALSE)</f>
        <v>5060.5</v>
      </c>
      <c r="BG38" s="200">
        <v>12</v>
      </c>
      <c r="BH38" s="201">
        <f>BF38/BG38</f>
        <v>421.70833333333331</v>
      </c>
      <c r="BI38" s="200">
        <f>VLOOKUP($BI$34,[48]A_C!B7:F387,5,FALSE)</f>
        <v>872.5</v>
      </c>
      <c r="BJ38" s="200">
        <v>12</v>
      </c>
      <c r="BK38" s="201">
        <f>BI38/BJ38</f>
        <v>72.708333333333329</v>
      </c>
      <c r="BL38" s="200">
        <f>VLOOKUP($BL$34,[48]A_C!B5:F385,5,FALSE)</f>
        <v>26175</v>
      </c>
      <c r="BM38" s="200">
        <v>36</v>
      </c>
      <c r="BN38" s="201">
        <f>BL38/BM38</f>
        <v>727.08333333333337</v>
      </c>
      <c r="BO38" s="200">
        <f>VLOOKUP($BO$34,[48]A_C!B5:F385,5,FALSE)</f>
        <v>21550.75</v>
      </c>
      <c r="BP38" s="200">
        <v>24</v>
      </c>
      <c r="BQ38" s="201">
        <f>BO38/BP38</f>
        <v>897.94791666666663</v>
      </c>
      <c r="BR38" s="200">
        <f>VLOOKUP($BR$34,[48]A_C!B5:F385,5,FALSE)</f>
        <v>13000.25</v>
      </c>
      <c r="BS38" s="200">
        <v>24</v>
      </c>
      <c r="BT38" s="201">
        <f>BR38/BS38</f>
        <v>541.67708333333337</v>
      </c>
      <c r="BU38" s="200">
        <f>VLOOKUP($BU$34,[48]A_C!B5:F385,5,FALSE)</f>
        <v>1221.5</v>
      </c>
      <c r="BV38" s="200">
        <v>12</v>
      </c>
      <c r="BW38" s="201">
        <f>BU38/BV38</f>
        <v>101.79166666666667</v>
      </c>
      <c r="BX38" s="200">
        <f>VLOOKUP($BX$34,[48]A_C!B5:F385,5,FALSE)</f>
        <v>3839</v>
      </c>
      <c r="BY38" s="200">
        <v>24</v>
      </c>
      <c r="BZ38" s="201">
        <f>BX38/BY38</f>
        <v>159.95833333333334</v>
      </c>
      <c r="CA38" s="198">
        <f>O38+R38+U38+X38+AA38+AD38+AG38+AJ38+AP38+AS38+AV38+AY38+BE38+BH38+BK38+BN38+BQ38+BT38+BW38+BZ38</f>
        <v>7617.4296934865888</v>
      </c>
      <c r="CB38" s="199"/>
      <c r="CC38" s="199"/>
      <c r="CD38" s="199"/>
      <c r="CE38" s="199"/>
      <c r="CF38" s="199"/>
      <c r="CG38" s="199"/>
      <c r="CH38" s="199"/>
      <c r="CI38" s="199"/>
      <c r="CJ38" s="199"/>
      <c r="CK38" s="199"/>
      <c r="CL38" s="199"/>
      <c r="CM38" s="199"/>
      <c r="CN38" s="199"/>
      <c r="CO38" s="199"/>
      <c r="CP38" s="199"/>
      <c r="CQ38" s="199"/>
      <c r="CR38" s="199"/>
      <c r="CS38" s="199"/>
      <c r="CT38" s="199"/>
      <c r="CU38" s="199"/>
      <c r="CV38" s="199"/>
      <c r="CW38" s="199"/>
      <c r="CX38" s="199"/>
      <c r="CY38" s="199"/>
      <c r="CZ38" s="199"/>
      <c r="DA38" s="199"/>
      <c r="DB38" s="199"/>
      <c r="DC38" s="199"/>
      <c r="DD38" s="199"/>
      <c r="DE38" s="199"/>
      <c r="DF38" s="199"/>
      <c r="DG38" s="199"/>
      <c r="DH38" s="199"/>
      <c r="DI38" s="199"/>
      <c r="DJ38" s="199"/>
    </row>
    <row r="39" spans="2:114" ht="24.95" customHeight="1">
      <c r="B39" s="204" t="s">
        <v>191</v>
      </c>
      <c r="C39" s="205">
        <f t="shared" si="10"/>
        <v>37.333333333333336</v>
      </c>
      <c r="D39" s="146">
        <f t="shared" si="11"/>
        <v>3248</v>
      </c>
      <c r="F39" s="145">
        <v>1680</v>
      </c>
      <c r="G39" s="146">
        <f>F39*$D$1</f>
        <v>146160</v>
      </c>
      <c r="H39" s="154"/>
      <c r="I39" s="172">
        <v>0.2</v>
      </c>
      <c r="J39" s="173">
        <v>36</v>
      </c>
      <c r="K39" s="174">
        <f t="shared" si="12"/>
        <v>3248</v>
      </c>
      <c r="M39" s="176">
        <v>174.9206896551724</v>
      </c>
      <c r="N39" s="176">
        <v>6</v>
      </c>
      <c r="O39" s="176">
        <f>M39/N39</f>
        <v>29.153448275862065</v>
      </c>
      <c r="P39" s="176">
        <v>9462.1120689655163</v>
      </c>
      <c r="Q39" s="176">
        <v>12</v>
      </c>
      <c r="R39" s="207">
        <f>P39/Q39</f>
        <v>788.50933908045965</v>
      </c>
      <c r="S39" s="176">
        <v>13469.594827586207</v>
      </c>
      <c r="T39" s="176">
        <v>12</v>
      </c>
      <c r="U39" s="207">
        <f>S39/T39</f>
        <v>1122.466235632184</v>
      </c>
      <c r="V39" s="176">
        <v>14471.46551724138</v>
      </c>
      <c r="W39" s="176">
        <v>18</v>
      </c>
      <c r="X39" s="207">
        <f>V39/W39</f>
        <v>803.97030651341004</v>
      </c>
      <c r="Y39" s="176">
        <v>0</v>
      </c>
      <c r="Z39" s="208">
        <v>36</v>
      </c>
      <c r="AA39" s="207">
        <f>Y39/Z39</f>
        <v>0</v>
      </c>
      <c r="AB39" s="176">
        <v>6857.248275862069</v>
      </c>
      <c r="AC39" s="208">
        <v>24</v>
      </c>
      <c r="AD39" s="207">
        <f>AB39/AC39</f>
        <v>285.71867816091952</v>
      </c>
      <c r="AE39" s="176">
        <v>356.22068965517241</v>
      </c>
      <c r="AF39" s="208">
        <v>36</v>
      </c>
      <c r="AG39" s="207">
        <f>AE39/AF39</f>
        <v>9.8950191570881216</v>
      </c>
      <c r="AH39" s="176">
        <v>1424.8827586206896</v>
      </c>
      <c r="AI39" s="208">
        <v>36</v>
      </c>
      <c r="AJ39" s="207">
        <f>AH39/AI39</f>
        <v>39.580076628352487</v>
      </c>
      <c r="AK39" s="176">
        <v>1335.8275862068967</v>
      </c>
      <c r="AL39" s="208">
        <v>36</v>
      </c>
      <c r="AM39" s="207">
        <f>AK39/AL39</f>
        <v>37.106321839080465</v>
      </c>
      <c r="AN39" s="176">
        <v>979.60689655172416</v>
      </c>
      <c r="AO39" s="208">
        <v>36</v>
      </c>
      <c r="AP39" s="207">
        <f>AN39/AO39</f>
        <v>27.211302681992336</v>
      </c>
      <c r="AQ39" s="176">
        <v>1447.1465517241379</v>
      </c>
      <c r="AR39" s="208">
        <v>12</v>
      </c>
      <c r="AS39" s="207">
        <f>AQ39/AR39</f>
        <v>120.5955459770115</v>
      </c>
      <c r="AT39" s="176"/>
      <c r="AU39" s="208"/>
      <c r="AV39" s="207"/>
      <c r="AW39" s="176">
        <v>39740.870689655174</v>
      </c>
      <c r="AX39" s="208">
        <v>36</v>
      </c>
      <c r="AY39" s="207">
        <f>AW39/AX39</f>
        <v>1103.9130747126437</v>
      </c>
      <c r="AZ39" s="176">
        <v>35622.068965517239</v>
      </c>
      <c r="BA39" s="208">
        <v>36</v>
      </c>
      <c r="BB39" s="207">
        <f>AZ39/BA39</f>
        <v>989.50191570881225</v>
      </c>
      <c r="BC39" s="176">
        <f>VLOOKUP(BC$34,[48]A_C!B8:F388,5,FALSE)</f>
        <v>2181.25</v>
      </c>
      <c r="BD39" s="176">
        <v>6</v>
      </c>
      <c r="BE39" s="208">
        <f>BC39/BD39</f>
        <v>363.54166666666669</v>
      </c>
      <c r="BF39" s="176">
        <f>VLOOKUP(BF$34,[48]A_C!B8:F388,5,FALSE)</f>
        <v>5060.5</v>
      </c>
      <c r="BG39" s="176">
        <v>12</v>
      </c>
      <c r="BH39" s="207">
        <f>BF39/BG39</f>
        <v>421.70833333333331</v>
      </c>
      <c r="BI39" s="176">
        <f>VLOOKUP($BI$34,[48]A_C!B8:F388,5,FALSE)</f>
        <v>872.5</v>
      </c>
      <c r="BJ39" s="176">
        <v>12</v>
      </c>
      <c r="BK39" s="207">
        <f>BI39/BJ39</f>
        <v>72.708333333333329</v>
      </c>
      <c r="BL39" s="176">
        <f>VLOOKUP($BL$34,[48]A_C!B6:F386,5,FALSE)</f>
        <v>26175</v>
      </c>
      <c r="BM39" s="176">
        <v>36</v>
      </c>
      <c r="BN39" s="207">
        <f>BL39/BM39</f>
        <v>727.08333333333337</v>
      </c>
      <c r="BO39" s="176">
        <f>VLOOKUP($BO$34,[48]A_C!B6:F386,5,FALSE)</f>
        <v>21550.75</v>
      </c>
      <c r="BP39" s="176">
        <v>24</v>
      </c>
      <c r="BQ39" s="207">
        <f>BO39/BP39</f>
        <v>897.94791666666663</v>
      </c>
      <c r="BR39" s="176">
        <f>VLOOKUP($BR$34,[48]A_C!B6:F386,5,FALSE)</f>
        <v>13000.25</v>
      </c>
      <c r="BS39" s="176">
        <v>24</v>
      </c>
      <c r="BT39" s="207">
        <f>BR39/BS39</f>
        <v>541.67708333333337</v>
      </c>
      <c r="BU39" s="176">
        <f>VLOOKUP($BU$34,[48]A_C!B6:F386,5,FALSE)</f>
        <v>1221.5</v>
      </c>
      <c r="BV39" s="176">
        <v>12</v>
      </c>
      <c r="BW39" s="207">
        <f>BU39/BV39</f>
        <v>101.79166666666667</v>
      </c>
      <c r="BX39" s="176">
        <f>VLOOKUP($BX$34,[48]A_C!B6:F386,5,FALSE)</f>
        <v>3839</v>
      </c>
      <c r="BY39" s="176">
        <v>24</v>
      </c>
      <c r="BZ39" s="207">
        <f>BX39/BY39</f>
        <v>159.95833333333334</v>
      </c>
      <c r="CA39" s="174">
        <f t="shared" si="13"/>
        <v>7617.4296934865888</v>
      </c>
      <c r="CB39" s="199"/>
    </row>
    <row r="40" spans="2:114" ht="24.95" customHeight="1">
      <c r="B40" s="204" t="s">
        <v>192</v>
      </c>
      <c r="C40" s="205">
        <f t="shared" si="10"/>
        <v>37.333333333333336</v>
      </c>
      <c r="D40" s="146">
        <f t="shared" si="11"/>
        <v>3248</v>
      </c>
      <c r="F40" s="145">
        <v>1680</v>
      </c>
      <c r="G40" s="146">
        <f>F40*$D$1</f>
        <v>146160</v>
      </c>
      <c r="H40" s="154"/>
      <c r="I40" s="172">
        <v>0.2</v>
      </c>
      <c r="J40" s="173">
        <v>36</v>
      </c>
      <c r="K40" s="174">
        <f>(G40*(1-I40))/J40</f>
        <v>3248</v>
      </c>
      <c r="M40" s="176">
        <v>174.9206896551724</v>
      </c>
      <c r="N40" s="176">
        <v>6</v>
      </c>
      <c r="O40" s="176">
        <f>M40/N40</f>
        <v>29.153448275862065</v>
      </c>
      <c r="P40" s="176">
        <v>9462.1120689655163</v>
      </c>
      <c r="Q40" s="176">
        <v>12</v>
      </c>
      <c r="R40" s="207">
        <f>P40/Q40</f>
        <v>788.50933908045965</v>
      </c>
      <c r="S40" s="176">
        <v>13469.594827586207</v>
      </c>
      <c r="T40" s="176">
        <v>12</v>
      </c>
      <c r="U40" s="207">
        <f>S40/T40</f>
        <v>1122.466235632184</v>
      </c>
      <c r="V40" s="176">
        <v>14471.46551724138</v>
      </c>
      <c r="W40" s="176">
        <v>18</v>
      </c>
      <c r="X40" s="207">
        <f>V40/W40</f>
        <v>803.97030651341004</v>
      </c>
      <c r="Y40" s="176">
        <v>0</v>
      </c>
      <c r="Z40" s="208">
        <v>36</v>
      </c>
      <c r="AA40" s="207">
        <f>Y40/Z40</f>
        <v>0</v>
      </c>
      <c r="AB40" s="176">
        <v>6857.248275862069</v>
      </c>
      <c r="AC40" s="208">
        <v>24</v>
      </c>
      <c r="AD40" s="207">
        <f>AB40/AC40</f>
        <v>285.71867816091952</v>
      </c>
      <c r="AE40" s="176">
        <v>356.22068965517241</v>
      </c>
      <c r="AF40" s="208">
        <v>36</v>
      </c>
      <c r="AG40" s="207">
        <f>AE40/AF40</f>
        <v>9.8950191570881216</v>
      </c>
      <c r="AH40" s="176">
        <v>1424.8827586206896</v>
      </c>
      <c r="AI40" s="208">
        <v>36</v>
      </c>
      <c r="AJ40" s="207">
        <f>AH40/AI40</f>
        <v>39.580076628352487</v>
      </c>
      <c r="AK40" s="176">
        <v>1335.8275862068967</v>
      </c>
      <c r="AL40" s="208">
        <v>36</v>
      </c>
      <c r="AM40" s="207">
        <f>AK40/AL40</f>
        <v>37.106321839080465</v>
      </c>
      <c r="AN40" s="176">
        <v>979.60689655172416</v>
      </c>
      <c r="AO40" s="208">
        <v>36</v>
      </c>
      <c r="AP40" s="207">
        <f>AN40/AO40</f>
        <v>27.211302681992336</v>
      </c>
      <c r="AQ40" s="176">
        <v>1447.1465517241379</v>
      </c>
      <c r="AR40" s="208">
        <v>12</v>
      </c>
      <c r="AS40" s="207">
        <f>AQ40/AR40</f>
        <v>120.5955459770115</v>
      </c>
      <c r="AT40" s="176"/>
      <c r="AU40" s="208"/>
      <c r="AV40" s="207"/>
      <c r="AW40" s="176">
        <v>39740.870689655174</v>
      </c>
      <c r="AX40" s="208">
        <v>36</v>
      </c>
      <c r="AY40" s="207">
        <f>AW40/AX40</f>
        <v>1103.9130747126437</v>
      </c>
      <c r="AZ40" s="176">
        <v>35622.068965517239</v>
      </c>
      <c r="BA40" s="208">
        <v>36</v>
      </c>
      <c r="BB40" s="207">
        <f>AZ40/BA40</f>
        <v>989.50191570881225</v>
      </c>
      <c r="BC40" s="176">
        <f>VLOOKUP(BC$34,[48]A_C!B9:F389,5,FALSE)</f>
        <v>2181.25</v>
      </c>
      <c r="BD40" s="176">
        <v>6</v>
      </c>
      <c r="BE40" s="208">
        <f>BC40/BD40</f>
        <v>363.54166666666669</v>
      </c>
      <c r="BF40" s="176">
        <f>VLOOKUP(BF$34,[48]A_C!B9:F389,5,FALSE)</f>
        <v>5060.5</v>
      </c>
      <c r="BG40" s="176">
        <v>12</v>
      </c>
      <c r="BH40" s="207">
        <f>BF40/BG40</f>
        <v>421.70833333333331</v>
      </c>
      <c r="BI40" s="176">
        <f>VLOOKUP($BI$34,[48]A_C!B9:F389,5,FALSE)</f>
        <v>872.5</v>
      </c>
      <c r="BJ40" s="176">
        <v>12</v>
      </c>
      <c r="BK40" s="207">
        <f>BI40/BJ40</f>
        <v>72.708333333333329</v>
      </c>
      <c r="BL40" s="176">
        <f>VLOOKUP($BL$34,[48]A_C!B7:F387,5,FALSE)</f>
        <v>26175</v>
      </c>
      <c r="BM40" s="176">
        <v>36</v>
      </c>
      <c r="BN40" s="207">
        <f>BL40/BM40</f>
        <v>727.08333333333337</v>
      </c>
      <c r="BO40" s="176">
        <f>VLOOKUP($BO$34,[48]A_C!B7:F387,5,FALSE)</f>
        <v>21550.75</v>
      </c>
      <c r="BP40" s="176">
        <v>24</v>
      </c>
      <c r="BQ40" s="207">
        <f>BO40/BP40</f>
        <v>897.94791666666663</v>
      </c>
      <c r="BR40" s="176">
        <f>VLOOKUP($BR$34,[48]A_C!B7:F387,5,FALSE)</f>
        <v>13000.25</v>
      </c>
      <c r="BS40" s="176">
        <v>24</v>
      </c>
      <c r="BT40" s="207">
        <f>BR40/BS40</f>
        <v>541.67708333333337</v>
      </c>
      <c r="BU40" s="176">
        <f>VLOOKUP($BU$34,[48]A_C!B7:F387,5,FALSE)</f>
        <v>1221.5</v>
      </c>
      <c r="BV40" s="176">
        <v>12</v>
      </c>
      <c r="BW40" s="207">
        <f>BU40/BV40</f>
        <v>101.79166666666667</v>
      </c>
      <c r="BX40" s="176">
        <f>VLOOKUP($BX$34,[48]A_C!B7:F387,5,FALSE)</f>
        <v>3839</v>
      </c>
      <c r="BY40" s="176">
        <v>24</v>
      </c>
      <c r="BZ40" s="207">
        <f>BX40/BY40</f>
        <v>159.95833333333334</v>
      </c>
      <c r="CA40" s="174">
        <f>O40+R40+U40+X40+AA40+AD40+AG40+AJ40+AP40+AS40+AV40+AY40+BE40+BH40+BK40+BN40+BQ40+BT40+BW40+BZ40</f>
        <v>7617.4296934865888</v>
      </c>
      <c r="CB40" s="199"/>
    </row>
    <row r="41" spans="2:114" ht="20.100000000000001" customHeight="1">
      <c r="B41" s="209" t="s">
        <v>193</v>
      </c>
      <c r="C41" s="205">
        <f t="shared" si="10"/>
        <v>0</v>
      </c>
      <c r="D41" s="146">
        <f t="shared" si="11"/>
        <v>0</v>
      </c>
      <c r="F41" s="145">
        <f>G41/$D$1</f>
        <v>0</v>
      </c>
      <c r="G41" s="146"/>
      <c r="H41" s="154"/>
      <c r="I41" s="172">
        <v>0.2</v>
      </c>
      <c r="J41" s="173">
        <v>36</v>
      </c>
      <c r="K41" s="174">
        <f t="shared" si="12"/>
        <v>0</v>
      </c>
      <c r="M41" s="176"/>
      <c r="N41" s="176"/>
      <c r="O41" s="176"/>
      <c r="P41" s="176"/>
      <c r="Q41" s="176"/>
      <c r="R41" s="207"/>
      <c r="S41" s="176"/>
      <c r="T41" s="176"/>
      <c r="U41" s="207"/>
      <c r="V41" s="176"/>
      <c r="W41" s="176"/>
      <c r="X41" s="207"/>
      <c r="Y41" s="176"/>
      <c r="Z41" s="208"/>
      <c r="AA41" s="207"/>
      <c r="AB41" s="176"/>
      <c r="AC41" s="208"/>
      <c r="AD41" s="207"/>
      <c r="AE41" s="176"/>
      <c r="AF41" s="208"/>
      <c r="AG41" s="207"/>
      <c r="AH41" s="176"/>
      <c r="AI41" s="208"/>
      <c r="AJ41" s="207"/>
      <c r="AK41" s="176"/>
      <c r="AL41" s="208"/>
      <c r="AM41" s="207"/>
      <c r="AN41" s="176"/>
      <c r="AO41" s="208"/>
      <c r="AP41" s="207"/>
      <c r="AQ41" s="176"/>
      <c r="AR41" s="208"/>
      <c r="AS41" s="207"/>
      <c r="AT41" s="176"/>
      <c r="AU41" s="208"/>
      <c r="AV41" s="207"/>
      <c r="AW41" s="176"/>
      <c r="AX41" s="208"/>
      <c r="AY41" s="207"/>
      <c r="AZ41" s="176"/>
      <c r="BA41" s="208"/>
      <c r="BB41" s="207"/>
      <c r="BC41" s="176"/>
      <c r="BD41" s="176"/>
      <c r="BE41" s="176"/>
      <c r="BF41" s="176"/>
      <c r="BG41" s="176"/>
      <c r="BH41" s="207"/>
      <c r="BI41" s="176"/>
      <c r="BJ41" s="176"/>
      <c r="BK41" s="207"/>
      <c r="BL41" s="176"/>
      <c r="BM41" s="176"/>
      <c r="BN41" s="207"/>
      <c r="BO41" s="176"/>
      <c r="BP41" s="176"/>
      <c r="BQ41" s="207"/>
      <c r="BR41" s="176"/>
      <c r="BS41" s="176"/>
      <c r="BT41" s="207"/>
      <c r="BU41" s="176"/>
      <c r="BV41" s="176"/>
      <c r="BW41" s="207"/>
      <c r="BX41" s="176"/>
      <c r="BY41" s="176"/>
      <c r="BZ41" s="207"/>
      <c r="CA41" s="174">
        <f t="shared" si="13"/>
        <v>0</v>
      </c>
    </row>
    <row r="42" spans="2:114" ht="20.100000000000001" customHeight="1">
      <c r="B42" s="209" t="s">
        <v>194</v>
      </c>
      <c r="C42" s="205">
        <f t="shared" si="10"/>
        <v>0</v>
      </c>
      <c r="D42" s="146">
        <f t="shared" si="11"/>
        <v>0</v>
      </c>
      <c r="F42" s="145">
        <f>G42/$D$1</f>
        <v>0</v>
      </c>
      <c r="G42" s="146"/>
      <c r="H42" s="154"/>
      <c r="I42" s="172">
        <v>0.2</v>
      </c>
      <c r="J42" s="173">
        <v>36</v>
      </c>
      <c r="K42" s="174">
        <f t="shared" si="12"/>
        <v>0</v>
      </c>
      <c r="M42" s="176"/>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c r="BA42" s="176"/>
      <c r="BB42" s="176"/>
      <c r="BC42" s="176"/>
      <c r="BD42" s="176"/>
      <c r="BE42" s="176"/>
      <c r="BF42" s="176"/>
      <c r="BG42" s="176"/>
      <c r="BH42" s="176"/>
      <c r="BI42" s="176"/>
      <c r="BJ42" s="176"/>
      <c r="BK42" s="176"/>
      <c r="BL42" s="176"/>
      <c r="BM42" s="176"/>
      <c r="BN42" s="176"/>
      <c r="BO42" s="176"/>
      <c r="BP42" s="176"/>
      <c r="BQ42" s="176"/>
      <c r="BR42" s="176"/>
      <c r="BS42" s="176"/>
      <c r="BT42" s="176"/>
      <c r="BU42" s="176"/>
      <c r="BV42" s="176"/>
      <c r="BW42" s="176"/>
      <c r="BX42" s="176"/>
      <c r="BY42" s="176"/>
      <c r="BZ42" s="176"/>
      <c r="CA42" s="174">
        <f t="shared" si="13"/>
        <v>0</v>
      </c>
    </row>
    <row r="43" spans="2:114" ht="20.100000000000001" customHeight="1">
      <c r="B43" s="210" t="s">
        <v>159</v>
      </c>
      <c r="C43" s="205">
        <f t="shared" si="10"/>
        <v>0</v>
      </c>
      <c r="D43" s="146">
        <f t="shared" si="11"/>
        <v>0</v>
      </c>
      <c r="F43" s="145">
        <f>G43/$D$1</f>
        <v>0</v>
      </c>
      <c r="G43" s="146"/>
      <c r="H43" s="154"/>
      <c r="I43" s="172">
        <v>0.2</v>
      </c>
      <c r="J43" s="173">
        <v>36</v>
      </c>
      <c r="K43" s="174">
        <f t="shared" si="12"/>
        <v>0</v>
      </c>
      <c r="M43" s="176"/>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c r="BB43" s="176"/>
      <c r="BC43" s="176"/>
      <c r="BD43" s="176"/>
      <c r="BE43" s="176"/>
      <c r="BF43" s="176"/>
      <c r="BG43" s="176"/>
      <c r="BH43" s="176"/>
      <c r="BI43" s="176"/>
      <c r="BJ43" s="176"/>
      <c r="BK43" s="176"/>
      <c r="BL43" s="176"/>
      <c r="BM43" s="176"/>
      <c r="BN43" s="176"/>
      <c r="BO43" s="176"/>
      <c r="BP43" s="176"/>
      <c r="BQ43" s="176"/>
      <c r="BR43" s="176"/>
      <c r="BS43" s="176"/>
      <c r="BT43" s="176"/>
      <c r="BU43" s="176"/>
      <c r="BV43" s="176"/>
      <c r="BW43" s="176"/>
      <c r="BX43" s="176"/>
      <c r="BY43" s="176"/>
      <c r="BZ43" s="176"/>
      <c r="CA43" s="174">
        <f t="shared" si="13"/>
        <v>0</v>
      </c>
    </row>
    <row r="44" spans="2:114" ht="20.100000000000001" customHeight="1">
      <c r="B44" s="210" t="s">
        <v>159</v>
      </c>
      <c r="C44" s="205">
        <f t="shared" si="10"/>
        <v>0</v>
      </c>
      <c r="D44" s="146">
        <f t="shared" si="11"/>
        <v>0</v>
      </c>
      <c r="F44" s="145">
        <f>G44/$D$1</f>
        <v>0</v>
      </c>
      <c r="G44" s="146"/>
      <c r="H44" s="154"/>
      <c r="I44" s="172">
        <v>0.2</v>
      </c>
      <c r="J44" s="173">
        <v>36</v>
      </c>
      <c r="K44" s="174">
        <f t="shared" si="12"/>
        <v>0</v>
      </c>
      <c r="M44" s="176"/>
      <c r="N44" s="176"/>
      <c r="O44" s="176"/>
      <c r="P44" s="176"/>
      <c r="Q44" s="176"/>
      <c r="R44" s="176"/>
      <c r="S44" s="176"/>
      <c r="T44" s="176"/>
      <c r="U44" s="176"/>
      <c r="V44" s="176"/>
      <c r="W44" s="176"/>
      <c r="X44" s="176"/>
      <c r="Y44" s="176"/>
      <c r="Z44" s="176"/>
      <c r="AA44" s="176"/>
      <c r="AB44" s="176"/>
      <c r="AC44" s="176"/>
      <c r="AD44" s="176"/>
      <c r="AE44" s="176"/>
      <c r="AF44" s="176"/>
      <c r="AG44" s="176"/>
      <c r="AH44" s="176"/>
      <c r="AI44" s="176"/>
      <c r="AJ44" s="176"/>
      <c r="AK44" s="176"/>
      <c r="AL44" s="176"/>
      <c r="AM44" s="176"/>
      <c r="AN44" s="176"/>
      <c r="AO44" s="176"/>
      <c r="AP44" s="176"/>
      <c r="AQ44" s="176"/>
      <c r="AR44" s="176"/>
      <c r="AS44" s="176"/>
      <c r="AT44" s="176"/>
      <c r="AU44" s="176"/>
      <c r="AV44" s="176"/>
      <c r="AW44" s="176"/>
      <c r="AX44" s="176"/>
      <c r="AY44" s="176"/>
      <c r="AZ44" s="176"/>
      <c r="BA44" s="176"/>
      <c r="BB44" s="176"/>
      <c r="BC44" s="176"/>
      <c r="BD44" s="176"/>
      <c r="BE44" s="176"/>
      <c r="BF44" s="176"/>
      <c r="BG44" s="176"/>
      <c r="BH44" s="176"/>
      <c r="BI44" s="176"/>
      <c r="BJ44" s="176"/>
      <c r="BK44" s="176"/>
      <c r="BL44" s="176"/>
      <c r="BM44" s="176"/>
      <c r="BN44" s="176"/>
      <c r="BO44" s="176"/>
      <c r="BP44" s="176"/>
      <c r="BQ44" s="176"/>
      <c r="BR44" s="176"/>
      <c r="BS44" s="176"/>
      <c r="BT44" s="176"/>
      <c r="BU44" s="176"/>
      <c r="BV44" s="176"/>
      <c r="BW44" s="176"/>
      <c r="BX44" s="176"/>
      <c r="BY44" s="176"/>
      <c r="BZ44" s="176"/>
      <c r="CA44" s="174">
        <f t="shared" si="13"/>
        <v>0</v>
      </c>
    </row>
    <row r="45" spans="2:114" ht="20.100000000000001" customHeight="1">
      <c r="B45" s="210" t="s">
        <v>159</v>
      </c>
      <c r="C45" s="205">
        <f t="shared" si="10"/>
        <v>0</v>
      </c>
      <c r="D45" s="146">
        <f t="shared" si="11"/>
        <v>0</v>
      </c>
      <c r="F45" s="145">
        <f>G45/$D$1</f>
        <v>0</v>
      </c>
      <c r="G45" s="146"/>
      <c r="H45" s="154"/>
      <c r="I45" s="172">
        <v>0.2</v>
      </c>
      <c r="J45" s="173">
        <v>36</v>
      </c>
      <c r="K45" s="174">
        <f t="shared" si="12"/>
        <v>0</v>
      </c>
      <c r="M45" s="176"/>
      <c r="N45" s="176"/>
      <c r="O45" s="176"/>
      <c r="P45" s="176"/>
      <c r="Q45" s="176"/>
      <c r="R45" s="176"/>
      <c r="S45" s="176"/>
      <c r="T45" s="176"/>
      <c r="U45" s="176"/>
      <c r="V45" s="176"/>
      <c r="W45" s="176"/>
      <c r="X45" s="176"/>
      <c r="Y45" s="176"/>
      <c r="Z45" s="176"/>
      <c r="AA45" s="176"/>
      <c r="AB45" s="176"/>
      <c r="AC45" s="176"/>
      <c r="AD45" s="176"/>
      <c r="AE45" s="176"/>
      <c r="AF45" s="176"/>
      <c r="AG45" s="176"/>
      <c r="AH45" s="176"/>
      <c r="AI45" s="176"/>
      <c r="AJ45" s="176"/>
      <c r="AK45" s="176"/>
      <c r="AL45" s="176"/>
      <c r="AM45" s="176"/>
      <c r="AN45" s="176"/>
      <c r="AO45" s="176"/>
      <c r="AP45" s="176"/>
      <c r="AQ45" s="176"/>
      <c r="AR45" s="176"/>
      <c r="AS45" s="176"/>
      <c r="AT45" s="176"/>
      <c r="AU45" s="176"/>
      <c r="AV45" s="176"/>
      <c r="AW45" s="176"/>
      <c r="AX45" s="176"/>
      <c r="AY45" s="176"/>
      <c r="AZ45" s="176"/>
      <c r="BA45" s="176"/>
      <c r="BB45" s="176"/>
      <c r="BC45" s="176"/>
      <c r="BD45" s="176"/>
      <c r="BE45" s="176"/>
      <c r="BF45" s="176"/>
      <c r="BG45" s="176"/>
      <c r="BH45" s="176"/>
      <c r="BI45" s="176"/>
      <c r="BJ45" s="176"/>
      <c r="BK45" s="176"/>
      <c r="BL45" s="176"/>
      <c r="BM45" s="176"/>
      <c r="BN45" s="176"/>
      <c r="BO45" s="176"/>
      <c r="BP45" s="176"/>
      <c r="BQ45" s="176"/>
      <c r="BR45" s="176"/>
      <c r="BS45" s="176"/>
      <c r="BT45" s="176"/>
      <c r="BU45" s="176"/>
      <c r="BV45" s="176"/>
      <c r="BW45" s="176"/>
      <c r="BX45" s="176"/>
      <c r="BY45" s="176"/>
      <c r="BZ45" s="176"/>
      <c r="CA45" s="174">
        <f t="shared" si="13"/>
        <v>0</v>
      </c>
    </row>
    <row r="46" spans="2:114" ht="20.100000000000001" customHeight="1">
      <c r="B46" s="185"/>
      <c r="F46" s="211"/>
    </row>
    <row r="47" spans="2:114" ht="20.100000000000001" customHeight="1">
      <c r="B47" s="185"/>
      <c r="C47" s="153"/>
      <c r="D47" s="154"/>
      <c r="G47" s="165"/>
      <c r="H47" s="165"/>
      <c r="I47" s="955" t="s">
        <v>195</v>
      </c>
      <c r="J47" s="948"/>
      <c r="K47" s="948"/>
      <c r="L47" s="948"/>
      <c r="M47" s="948"/>
      <c r="N47" s="948"/>
      <c r="O47" s="948"/>
      <c r="P47" s="948"/>
      <c r="Q47" s="948"/>
      <c r="R47" s="948"/>
      <c r="S47" s="948"/>
      <c r="T47" s="948"/>
      <c r="U47" s="948"/>
      <c r="V47" s="948"/>
      <c r="W47" s="948"/>
      <c r="X47" s="948"/>
      <c r="Y47" s="948"/>
      <c r="Z47" s="948"/>
      <c r="AA47" s="948"/>
      <c r="AB47" s="948"/>
      <c r="AC47" s="948"/>
      <c r="AD47" s="948"/>
      <c r="AE47" s="948"/>
      <c r="AF47" s="948"/>
      <c r="AG47" s="948"/>
      <c r="AH47" s="948"/>
      <c r="AI47" s="948"/>
      <c r="AJ47" s="948"/>
      <c r="AK47" s="948"/>
      <c r="AL47" s="948"/>
      <c r="AM47" s="948"/>
      <c r="AN47" s="948"/>
      <c r="AO47" s="948"/>
      <c r="AP47" s="948"/>
      <c r="AQ47" s="948"/>
      <c r="AR47" s="948"/>
      <c r="AS47" s="948"/>
      <c r="AT47" s="948"/>
      <c r="AU47" s="948"/>
      <c r="AV47" s="948"/>
    </row>
    <row r="48" spans="2:114" ht="20.100000000000001" customHeight="1">
      <c r="B48" s="185"/>
      <c r="C48" s="153"/>
      <c r="D48" s="154"/>
      <c r="G48" s="165"/>
      <c r="H48" s="165"/>
      <c r="I48" s="944" t="s">
        <v>196</v>
      </c>
      <c r="J48" s="949"/>
      <c r="K48" s="945"/>
      <c r="L48" s="944" t="s">
        <v>197</v>
      </c>
      <c r="M48" s="949"/>
      <c r="N48" s="945"/>
      <c r="O48" s="944" t="s">
        <v>198</v>
      </c>
      <c r="P48" s="949"/>
      <c r="Q48" s="945"/>
      <c r="R48" s="944" t="s">
        <v>199</v>
      </c>
      <c r="S48" s="949"/>
      <c r="T48" s="945"/>
      <c r="U48" s="944" t="s">
        <v>200</v>
      </c>
      <c r="V48" s="949"/>
      <c r="W48" s="945"/>
      <c r="X48" s="944" t="s">
        <v>201</v>
      </c>
      <c r="Y48" s="949"/>
      <c r="Z48" s="945"/>
      <c r="AA48" s="944" t="s">
        <v>202</v>
      </c>
      <c r="AB48" s="949"/>
      <c r="AC48" s="945"/>
      <c r="AD48" s="944" t="s">
        <v>203</v>
      </c>
      <c r="AE48" s="949"/>
      <c r="AF48" s="945"/>
      <c r="AG48" s="944" t="s">
        <v>204</v>
      </c>
      <c r="AH48" s="949"/>
      <c r="AI48" s="945"/>
      <c r="AJ48" s="944" t="s">
        <v>205</v>
      </c>
      <c r="AK48" s="949"/>
      <c r="AL48" s="945"/>
      <c r="AM48" s="944" t="s">
        <v>206</v>
      </c>
      <c r="AN48" s="949"/>
      <c r="AO48" s="945"/>
      <c r="AP48" s="944" t="s">
        <v>207</v>
      </c>
      <c r="AQ48" s="949"/>
      <c r="AR48" s="945"/>
      <c r="AS48" s="952" t="s">
        <v>208</v>
      </c>
      <c r="AT48" s="946" t="s">
        <v>65</v>
      </c>
      <c r="AU48" s="947"/>
      <c r="AV48" s="952" t="s">
        <v>75</v>
      </c>
    </row>
    <row r="49" spans="2:49" ht="39.950000000000003" customHeight="1">
      <c r="B49" s="155" t="s">
        <v>209</v>
      </c>
      <c r="C49" s="189" t="s">
        <v>36</v>
      </c>
      <c r="D49" s="189" t="s">
        <v>37</v>
      </c>
      <c r="F49" s="141" t="s">
        <v>60</v>
      </c>
      <c r="G49" s="141" t="s">
        <v>61</v>
      </c>
      <c r="H49" s="166"/>
      <c r="I49" s="212" t="s">
        <v>1</v>
      </c>
      <c r="J49" s="168" t="s">
        <v>162</v>
      </c>
      <c r="K49" s="141" t="s">
        <v>210</v>
      </c>
      <c r="L49" s="212" t="s">
        <v>1</v>
      </c>
      <c r="M49" s="168" t="s">
        <v>162</v>
      </c>
      <c r="N49" s="141" t="s">
        <v>210</v>
      </c>
      <c r="O49" s="212" t="s">
        <v>1</v>
      </c>
      <c r="P49" s="168" t="s">
        <v>162</v>
      </c>
      <c r="Q49" s="141"/>
      <c r="R49" s="212" t="s">
        <v>1</v>
      </c>
      <c r="S49" s="168" t="s">
        <v>162</v>
      </c>
      <c r="T49" s="141" t="s">
        <v>210</v>
      </c>
      <c r="U49" s="212" t="s">
        <v>1</v>
      </c>
      <c r="V49" s="168" t="s">
        <v>162</v>
      </c>
      <c r="W49" s="141" t="s">
        <v>210</v>
      </c>
      <c r="X49" s="212" t="s">
        <v>1</v>
      </c>
      <c r="Y49" s="168" t="s">
        <v>162</v>
      </c>
      <c r="Z49" s="141" t="s">
        <v>210</v>
      </c>
      <c r="AA49" s="212" t="s">
        <v>1</v>
      </c>
      <c r="AB49" s="168" t="s">
        <v>162</v>
      </c>
      <c r="AC49" s="141" t="s">
        <v>210</v>
      </c>
      <c r="AD49" s="212" t="s">
        <v>1</v>
      </c>
      <c r="AE49" s="168" t="s">
        <v>162</v>
      </c>
      <c r="AF49" s="141" t="s">
        <v>210</v>
      </c>
      <c r="AG49" s="212" t="s">
        <v>1</v>
      </c>
      <c r="AH49" s="168" t="s">
        <v>162</v>
      </c>
      <c r="AI49" s="141" t="s">
        <v>210</v>
      </c>
      <c r="AJ49" s="212" t="s">
        <v>1</v>
      </c>
      <c r="AK49" s="168" t="s">
        <v>162</v>
      </c>
      <c r="AL49" s="141" t="s">
        <v>210</v>
      </c>
      <c r="AM49" s="212" t="s">
        <v>1</v>
      </c>
      <c r="AN49" s="168" t="s">
        <v>162</v>
      </c>
      <c r="AO49" s="141" t="s">
        <v>210</v>
      </c>
      <c r="AP49" s="212" t="s">
        <v>1</v>
      </c>
      <c r="AQ49" s="168" t="s">
        <v>162</v>
      </c>
      <c r="AR49" s="141" t="s">
        <v>210</v>
      </c>
      <c r="AS49" s="951"/>
      <c r="AT49" s="167" t="s">
        <v>76</v>
      </c>
      <c r="AU49" s="168" t="s">
        <v>63</v>
      </c>
      <c r="AV49" s="951"/>
    </row>
    <row r="50" spans="2:49" ht="20.100000000000001" customHeight="1">
      <c r="B50" s="213" t="s">
        <v>211</v>
      </c>
      <c r="C50" s="145">
        <f>D50/$D$1</f>
        <v>9.4955411877394642</v>
      </c>
      <c r="D50" s="146">
        <f>AV50</f>
        <v>826.11208333333332</v>
      </c>
      <c r="F50" s="145">
        <f>G50/$D$1</f>
        <v>227.8929885057471</v>
      </c>
      <c r="G50" s="146">
        <f>AS50</f>
        <v>19826.689999999999</v>
      </c>
      <c r="H50" s="154"/>
      <c r="I50" s="207">
        <v>6</v>
      </c>
      <c r="J50" s="207">
        <f>VLOOKUP(I$48,[48]A_C!B5:F385,5,FALSE)</f>
        <v>317.59000000000003</v>
      </c>
      <c r="K50" s="207">
        <f>I50*J50</f>
        <v>1905.5400000000002</v>
      </c>
      <c r="L50" s="207">
        <v>2</v>
      </c>
      <c r="M50" s="207">
        <f>VLOOKUP(L$48,[48]A_C!B5:F385,5,FALSE)</f>
        <v>622.96499999999992</v>
      </c>
      <c r="N50" s="207">
        <f>L50*M50</f>
        <v>1245.9299999999998</v>
      </c>
      <c r="O50" s="207">
        <v>2</v>
      </c>
      <c r="P50" s="207">
        <f>VLOOKUP(O$48,[48]A_C!B5:F385,5,FALSE)</f>
        <v>989.41499999999996</v>
      </c>
      <c r="Q50" s="207">
        <f>O50*P50</f>
        <v>1978.83</v>
      </c>
      <c r="R50" s="207">
        <v>2</v>
      </c>
      <c r="S50" s="207">
        <f>VLOOKUP(R$48,[48]A_C!B5:F385,5,FALSE)</f>
        <v>911.76249999999993</v>
      </c>
      <c r="T50" s="207">
        <f>R50*S50</f>
        <v>1823.5249999999999</v>
      </c>
      <c r="U50" s="207">
        <v>8</v>
      </c>
      <c r="V50" s="207">
        <f>VLOOKUP(U$48,[48]A_C!B5:F385,5,FALSE)</f>
        <v>149.19749999999999</v>
      </c>
      <c r="W50" s="207">
        <f>U50*V50</f>
        <v>1193.58</v>
      </c>
      <c r="X50" s="207">
        <v>8</v>
      </c>
      <c r="Y50" s="207">
        <f>VLOOKUP(X$48,[48]A_C!B5:F385,5,FALSE)</f>
        <v>318.46249999999998</v>
      </c>
      <c r="Z50" s="207">
        <f>X50*Y50</f>
        <v>2547.6999999999998</v>
      </c>
      <c r="AA50" s="207">
        <v>1</v>
      </c>
      <c r="AB50" s="207">
        <f>VLOOKUP($AA$48,[48]A_C!B5:F385,5,FALSE)</f>
        <v>3402.75</v>
      </c>
      <c r="AC50" s="207">
        <f>AA50*AB50</f>
        <v>3402.75</v>
      </c>
      <c r="AD50" s="207">
        <v>0</v>
      </c>
      <c r="AE50" s="207">
        <v>0</v>
      </c>
      <c r="AF50" s="207">
        <f>AD50*AE50</f>
        <v>0</v>
      </c>
      <c r="AG50" s="207">
        <v>1</v>
      </c>
      <c r="AH50" s="207">
        <f>VLOOKUP(AG$48,[48]A_C!B5:F385,5,FALSE)</f>
        <v>5033.4524999999994</v>
      </c>
      <c r="AI50" s="207">
        <f>AG50*AH50</f>
        <v>5033.4524999999994</v>
      </c>
      <c r="AJ50" s="207">
        <v>1</v>
      </c>
      <c r="AK50" s="207">
        <f>VLOOKUP(AJ$48,[48]A_C!B5:F385,5,FALSE)</f>
        <v>508.66750000000002</v>
      </c>
      <c r="AL50" s="207">
        <f>AJ50*AK50</f>
        <v>508.66750000000002</v>
      </c>
      <c r="AM50" s="207">
        <v>1</v>
      </c>
      <c r="AN50" s="207">
        <f>VLOOKUP(AM$48,[48]A_C!B5:F385,5,FALSE)</f>
        <v>186.715</v>
      </c>
      <c r="AO50" s="207">
        <f>AM50*AN50</f>
        <v>186.715</v>
      </c>
      <c r="AP50" s="207"/>
      <c r="AQ50" s="207">
        <f>VLOOKUP(AP$48,[48]A_C!B5:F385,5,FALSE)</f>
        <v>146.57999999999998</v>
      </c>
      <c r="AR50" s="207">
        <f>AP50*AQ50</f>
        <v>0</v>
      </c>
      <c r="AS50" s="174">
        <f>K50+N50+Q50+T50+W50+Z50+AC50+AF50+AI50+AL50+AO50+AR50</f>
        <v>19826.689999999999</v>
      </c>
      <c r="AT50" s="172">
        <v>0</v>
      </c>
      <c r="AU50" s="173">
        <v>24</v>
      </c>
      <c r="AV50" s="174">
        <f>(AS50*(1-AT50))/AU50</f>
        <v>826.11208333333332</v>
      </c>
    </row>
    <row r="51" spans="2:49" ht="20.100000000000001" customHeight="1">
      <c r="B51" s="213" t="s">
        <v>212</v>
      </c>
      <c r="C51" s="145">
        <f>D51/$D$1</f>
        <v>10.4081561302682</v>
      </c>
      <c r="D51" s="146">
        <f>AV51</f>
        <v>905.50958333333335</v>
      </c>
      <c r="F51" s="145">
        <f>G51/$D$1</f>
        <v>249.79574712643677</v>
      </c>
      <c r="G51" s="146">
        <f>AS51</f>
        <v>21732.23</v>
      </c>
      <c r="H51" s="154"/>
      <c r="I51" s="207">
        <v>12</v>
      </c>
      <c r="J51" s="207">
        <f>VLOOKUP(I$48,[48]A_C!B6:F386,5,FALSE)</f>
        <v>317.59000000000003</v>
      </c>
      <c r="K51" s="207">
        <f>I51*J51</f>
        <v>3811.0800000000004</v>
      </c>
      <c r="L51" s="207">
        <v>2</v>
      </c>
      <c r="M51" s="207">
        <f>VLOOKUP(L$48,[48]A_C!B6:F386,5,FALSE)</f>
        <v>622.96499999999992</v>
      </c>
      <c r="N51" s="207">
        <f>L51*M51</f>
        <v>1245.9299999999998</v>
      </c>
      <c r="O51" s="207">
        <v>2</v>
      </c>
      <c r="P51" s="207">
        <f>VLOOKUP(O$48,[48]A_C!B6:F386,5,FALSE)</f>
        <v>989.41499999999996</v>
      </c>
      <c r="Q51" s="207">
        <f>O51*P51</f>
        <v>1978.83</v>
      </c>
      <c r="R51" s="207">
        <v>2</v>
      </c>
      <c r="S51" s="207">
        <f>VLOOKUP(R$48,[48]A_C!B6:F386,5,FALSE)</f>
        <v>911.76249999999993</v>
      </c>
      <c r="T51" s="207">
        <f>R51*S51</f>
        <v>1823.5249999999999</v>
      </c>
      <c r="U51" s="207">
        <v>8</v>
      </c>
      <c r="V51" s="207">
        <f>VLOOKUP(U$48,[48]A_C!B6:F386,5,FALSE)</f>
        <v>149.19749999999999</v>
      </c>
      <c r="W51" s="207">
        <f>U51*V51</f>
        <v>1193.58</v>
      </c>
      <c r="X51" s="207">
        <v>8</v>
      </c>
      <c r="Y51" s="207">
        <f>VLOOKUP(X$48,[48]A_C!B6:F386,5,FALSE)</f>
        <v>318.46249999999998</v>
      </c>
      <c r="Z51" s="207">
        <f>X51*Y51</f>
        <v>2547.6999999999998</v>
      </c>
      <c r="AA51" s="207">
        <v>1</v>
      </c>
      <c r="AB51" s="207">
        <f>VLOOKUP($AA$48,[48]A_C!B6:F386,5,FALSE)</f>
        <v>3402.75</v>
      </c>
      <c r="AC51" s="207">
        <f>AA51*AB51</f>
        <v>3402.75</v>
      </c>
      <c r="AD51" s="207">
        <v>0</v>
      </c>
      <c r="AE51" s="207">
        <v>0</v>
      </c>
      <c r="AF51" s="207">
        <f>AD51*AE51</f>
        <v>0</v>
      </c>
      <c r="AG51" s="207">
        <v>1</v>
      </c>
      <c r="AH51" s="207">
        <f>VLOOKUP(AG$48,[48]A_C!B6:F386,5,FALSE)</f>
        <v>5033.4524999999994</v>
      </c>
      <c r="AI51" s="207">
        <f>AG51*AH51</f>
        <v>5033.4524999999994</v>
      </c>
      <c r="AJ51" s="207">
        <v>1</v>
      </c>
      <c r="AK51" s="207">
        <f>VLOOKUP(AJ$48,[48]A_C!B6:F386,5,FALSE)</f>
        <v>508.66750000000002</v>
      </c>
      <c r="AL51" s="207">
        <f>AJ51*AK51</f>
        <v>508.66750000000002</v>
      </c>
      <c r="AM51" s="207">
        <v>1</v>
      </c>
      <c r="AN51" s="207">
        <f>VLOOKUP(AM$48,[48]A_C!B6:F386,5,FALSE)</f>
        <v>186.715</v>
      </c>
      <c r="AO51" s="207">
        <f>AM51*AN51</f>
        <v>186.715</v>
      </c>
      <c r="AP51" s="207"/>
      <c r="AQ51" s="207">
        <f>VLOOKUP(AP$48,[48]A_C!B6:F386,5,FALSE)</f>
        <v>146.57999999999998</v>
      </c>
      <c r="AR51" s="207">
        <f>AP51*AQ51</f>
        <v>0</v>
      </c>
      <c r="AS51" s="174">
        <f>K51+N51+Q51+T51+W51+Z51+AC51+AF51+AI51+AL51+AO51+AR51</f>
        <v>21732.23</v>
      </c>
      <c r="AT51" s="172">
        <v>0</v>
      </c>
      <c r="AU51" s="173">
        <v>24</v>
      </c>
      <c r="AV51" s="174">
        <f>(AS51*(1-AT51))/AU51</f>
        <v>905.50958333333335</v>
      </c>
    </row>
    <row r="52" spans="2:49" ht="20.100000000000001" customHeight="1">
      <c r="B52" s="213" t="s">
        <v>213</v>
      </c>
      <c r="C52" s="145">
        <f>D52/$D$1</f>
        <v>6.3958261494252868</v>
      </c>
      <c r="D52" s="146">
        <f>AV52</f>
        <v>556.43687499999999</v>
      </c>
      <c r="F52" s="145">
        <f>G52/$D$1</f>
        <v>153.49982758620689</v>
      </c>
      <c r="G52" s="146">
        <f>AS52</f>
        <v>13354.485000000001</v>
      </c>
      <c r="H52" s="154"/>
      <c r="I52" s="207">
        <v>6</v>
      </c>
      <c r="J52" s="207">
        <f>VLOOKUP(I$48,[48]A_C!B7:F387,5,FALSE)</f>
        <v>317.59000000000003</v>
      </c>
      <c r="K52" s="207">
        <f>I52*J52</f>
        <v>1905.5400000000002</v>
      </c>
      <c r="L52" s="207">
        <v>2</v>
      </c>
      <c r="M52" s="207">
        <f>VLOOKUP(L$48,[48]A_C!B7:F387,5,FALSE)</f>
        <v>622.96499999999992</v>
      </c>
      <c r="N52" s="207">
        <f>L52*M52</f>
        <v>1245.9299999999998</v>
      </c>
      <c r="O52" s="207">
        <v>1</v>
      </c>
      <c r="P52" s="207">
        <f>VLOOKUP(O$48,[48]A_C!B7:F387,5,FALSE)</f>
        <v>989.41499999999996</v>
      </c>
      <c r="Q52" s="207">
        <f>O52*P52</f>
        <v>989.41499999999996</v>
      </c>
      <c r="R52" s="207">
        <v>1</v>
      </c>
      <c r="S52" s="207">
        <f>VLOOKUP(R$48,[48]A_C!B7:F387,5,FALSE)</f>
        <v>911.76249999999993</v>
      </c>
      <c r="T52" s="207">
        <f>R52*S52</f>
        <v>911.76249999999993</v>
      </c>
      <c r="U52" s="207">
        <v>5</v>
      </c>
      <c r="V52" s="207">
        <f>VLOOKUP(U$48,[48]A_C!B7:F387,5,FALSE)</f>
        <v>149.19749999999999</v>
      </c>
      <c r="W52" s="207">
        <f>U52*V52</f>
        <v>745.98749999999995</v>
      </c>
      <c r="X52" s="207">
        <v>5</v>
      </c>
      <c r="Y52" s="207">
        <f>VLOOKUP(X$48,[48]A_C!B7:F387,5,FALSE)</f>
        <v>318.46249999999998</v>
      </c>
      <c r="Z52" s="207">
        <f>X52*Y52</f>
        <v>1592.3125</v>
      </c>
      <c r="AA52" s="207">
        <v>1</v>
      </c>
      <c r="AB52" s="207">
        <f>VLOOKUP($AA$48,[48]A_C!B7:F387,5,FALSE)</f>
        <v>3402.75</v>
      </c>
      <c r="AC52" s="207">
        <f>AA52*AB52</f>
        <v>3402.75</v>
      </c>
      <c r="AD52" s="207">
        <v>0</v>
      </c>
      <c r="AE52" s="207">
        <v>0</v>
      </c>
      <c r="AF52" s="207">
        <f>AD52*AE52</f>
        <v>0</v>
      </c>
      <c r="AG52" s="207">
        <v>0</v>
      </c>
      <c r="AH52" s="207">
        <f>VLOOKUP(AG$48,[48]A_C!B7:F387,5,FALSE)</f>
        <v>5033.4524999999994</v>
      </c>
      <c r="AI52" s="207">
        <f>AG52*AH52</f>
        <v>0</v>
      </c>
      <c r="AJ52" s="207">
        <v>1</v>
      </c>
      <c r="AK52" s="207">
        <f>VLOOKUP(AJ$48,[48]A_C!B7:F387,5,FALSE)</f>
        <v>508.66750000000002</v>
      </c>
      <c r="AL52" s="207">
        <f>AJ52*AK52</f>
        <v>508.66750000000002</v>
      </c>
      <c r="AM52" s="207">
        <v>0</v>
      </c>
      <c r="AN52" s="207">
        <f>VLOOKUP(AM$48,[48]A_C!B7:F387,5,FALSE)</f>
        <v>186.715</v>
      </c>
      <c r="AO52" s="207">
        <f>AM52*AN52</f>
        <v>0</v>
      </c>
      <c r="AP52" s="207">
        <v>14</v>
      </c>
      <c r="AQ52" s="207">
        <f>VLOOKUP(AP$48,[48]A_C!B7:F387,5,FALSE)</f>
        <v>146.57999999999998</v>
      </c>
      <c r="AR52" s="207">
        <f>AP52*AQ52</f>
        <v>2052.12</v>
      </c>
      <c r="AS52" s="174">
        <f>K52+N52+Q52+T52+W52+Z52+AC52+AF52+AI52+AL52+AO52+AR52</f>
        <v>13354.485000000001</v>
      </c>
      <c r="AT52" s="172">
        <v>0</v>
      </c>
      <c r="AU52" s="173">
        <v>24</v>
      </c>
      <c r="AV52" s="174">
        <f>(AS52*(1-AT52))/AU52</f>
        <v>556.43687499999999</v>
      </c>
    </row>
    <row r="53" spans="2:49" ht="20.100000000000001" customHeight="1">
      <c r="B53" s="213" t="s">
        <v>214</v>
      </c>
      <c r="C53" s="145">
        <f>D53/$D$1</f>
        <v>8.9652717911877389</v>
      </c>
      <c r="D53" s="146">
        <f>AV53</f>
        <v>779.9786458333333</v>
      </c>
      <c r="F53" s="145">
        <f>G53/$D$1</f>
        <v>215.16652298850573</v>
      </c>
      <c r="G53" s="146">
        <f>AS53</f>
        <v>18719.487499999999</v>
      </c>
      <c r="H53" s="154"/>
      <c r="I53" s="207">
        <v>12</v>
      </c>
      <c r="J53" s="207">
        <f>VLOOKUP(I$48,[48]A_C!B8:F388,5,FALSE)</f>
        <v>317.59000000000003</v>
      </c>
      <c r="K53" s="207">
        <f>I53*J53</f>
        <v>3811.0800000000004</v>
      </c>
      <c r="L53" s="207">
        <v>2</v>
      </c>
      <c r="M53" s="207">
        <f>VLOOKUP(L$48,[48]A_C!B8:F388,5,FALSE)</f>
        <v>622.96499999999992</v>
      </c>
      <c r="N53" s="207">
        <f>L53*M53</f>
        <v>1245.9299999999998</v>
      </c>
      <c r="O53" s="207">
        <v>1</v>
      </c>
      <c r="P53" s="207">
        <f>VLOOKUP(O$48,[48]A_C!B8:F388,5,FALSE)</f>
        <v>989.41499999999996</v>
      </c>
      <c r="Q53" s="207">
        <f>O53*P53</f>
        <v>989.41499999999996</v>
      </c>
      <c r="R53" s="207">
        <v>2</v>
      </c>
      <c r="S53" s="207">
        <f>VLOOKUP(R$48,[48]A_C!B8:F388,5,FALSE)</f>
        <v>911.76249999999993</v>
      </c>
      <c r="T53" s="207">
        <f>R53*S53</f>
        <v>1823.5249999999999</v>
      </c>
      <c r="U53" s="207">
        <v>7</v>
      </c>
      <c r="V53" s="207">
        <f>VLOOKUP(U$48,[48]A_C!B8:F388,5,FALSE)</f>
        <v>149.19749999999999</v>
      </c>
      <c r="W53" s="207">
        <f>U53*V53</f>
        <v>1044.3824999999999</v>
      </c>
      <c r="X53" s="207">
        <v>7</v>
      </c>
      <c r="Y53" s="207">
        <f>VLOOKUP(X$48,[48]A_C!B8:F388,5,FALSE)</f>
        <v>318.46249999999998</v>
      </c>
      <c r="Z53" s="207">
        <f>X53*Y53</f>
        <v>2229.2374999999997</v>
      </c>
      <c r="AA53" s="207">
        <v>1</v>
      </c>
      <c r="AB53" s="207">
        <f>VLOOKUP($AA$48,[48]A_C!B8:F388,5,FALSE)</f>
        <v>3402.75</v>
      </c>
      <c r="AC53" s="207">
        <f>AA53*AB53</f>
        <v>3402.75</v>
      </c>
      <c r="AD53" s="207">
        <v>0</v>
      </c>
      <c r="AE53" s="207">
        <v>0</v>
      </c>
      <c r="AF53" s="207">
        <f>AD53*AE53</f>
        <v>0</v>
      </c>
      <c r="AG53" s="207">
        <v>0</v>
      </c>
      <c r="AH53" s="207">
        <f>VLOOKUP(AG$48,[48]A_C!B8:F388,5,FALSE)</f>
        <v>5033.4524999999994</v>
      </c>
      <c r="AI53" s="207">
        <f>AG53*AH53</f>
        <v>0</v>
      </c>
      <c r="AJ53" s="207">
        <v>1</v>
      </c>
      <c r="AK53" s="207">
        <f>VLOOKUP(AJ$48,[48]A_C!B8:F388,5,FALSE)</f>
        <v>508.66750000000002</v>
      </c>
      <c r="AL53" s="207">
        <f>AJ53*AK53</f>
        <v>508.66750000000002</v>
      </c>
      <c r="AM53" s="207">
        <v>0</v>
      </c>
      <c r="AN53" s="207">
        <f>VLOOKUP(AM$48,[48]A_C!B8:F388,5,FALSE)</f>
        <v>186.715</v>
      </c>
      <c r="AO53" s="207">
        <f>AM53*AN53</f>
        <v>0</v>
      </c>
      <c r="AP53" s="207">
        <v>25</v>
      </c>
      <c r="AQ53" s="207">
        <f>VLOOKUP(AP$48,[48]A_C!B8:F388,5,FALSE)</f>
        <v>146.57999999999998</v>
      </c>
      <c r="AR53" s="207">
        <f>AP53*AQ53</f>
        <v>3664.4999999999995</v>
      </c>
      <c r="AS53" s="174">
        <f>K53+N53+Q53+T53+W53+Z53+AC53+AF53+AI53+AL53+AO53+AR53</f>
        <v>18719.487499999999</v>
      </c>
      <c r="AT53" s="172">
        <v>0</v>
      </c>
      <c r="AU53" s="173">
        <v>24</v>
      </c>
      <c r="AV53" s="174">
        <f>(AS53*(1-AT53))/AU53</f>
        <v>779.9786458333333</v>
      </c>
    </row>
    <row r="54" spans="2:49" ht="20.100000000000001" customHeight="1">
      <c r="B54" s="185"/>
      <c r="F54" s="211"/>
    </row>
    <row r="55" spans="2:49" ht="20.100000000000001" customHeight="1">
      <c r="B55" s="185"/>
      <c r="C55" s="153"/>
      <c r="D55" s="154"/>
      <c r="G55" s="165"/>
      <c r="H55" s="165"/>
      <c r="I55" s="946" t="s">
        <v>57</v>
      </c>
      <c r="J55" s="946"/>
      <c r="K55" s="947"/>
    </row>
    <row r="56" spans="2:49" ht="20.100000000000001" customHeight="1">
      <c r="B56" s="185"/>
      <c r="C56" s="153"/>
      <c r="D56" s="154"/>
      <c r="G56" s="165"/>
      <c r="H56" s="165"/>
      <c r="I56" s="946" t="s">
        <v>65</v>
      </c>
      <c r="J56" s="947"/>
      <c r="K56" s="952" t="s">
        <v>75</v>
      </c>
    </row>
    <row r="57" spans="2:49" ht="39.950000000000003" customHeight="1">
      <c r="B57" s="155" t="s">
        <v>215</v>
      </c>
      <c r="C57" s="189" t="s">
        <v>36</v>
      </c>
      <c r="D57" s="189" t="s">
        <v>37</v>
      </c>
      <c r="F57" s="141" t="s">
        <v>60</v>
      </c>
      <c r="G57" s="141" t="s">
        <v>61</v>
      </c>
      <c r="H57" s="166"/>
      <c r="I57" s="167" t="s">
        <v>76</v>
      </c>
      <c r="J57" s="168" t="s">
        <v>63</v>
      </c>
      <c r="K57" s="951"/>
    </row>
    <row r="58" spans="2:49" ht="20.100000000000001" customHeight="1">
      <c r="B58" s="214" t="s">
        <v>216</v>
      </c>
      <c r="C58" s="215">
        <f t="shared" ref="C58:C82" si="14">D58/$D$1</f>
        <v>1.4367816091954022</v>
      </c>
      <c r="D58" s="216">
        <f t="shared" ref="D58:D82" si="15">K58</f>
        <v>125</v>
      </c>
      <c r="F58" s="215">
        <f t="shared" ref="F58:F82" si="16">G58/$D$1</f>
        <v>51.724137931034484</v>
      </c>
      <c r="G58" s="146">
        <f>VLOOKUP(B58,[48]A_C!B7:F385,5,FALSE)</f>
        <v>4500</v>
      </c>
      <c r="H58" s="154"/>
      <c r="I58" s="217">
        <v>0</v>
      </c>
      <c r="J58" s="218">
        <v>36</v>
      </c>
      <c r="K58" s="219">
        <f t="shared" ref="K58:K82" si="17">G58*(1-I58)/J58</f>
        <v>125</v>
      </c>
      <c r="M58" s="220"/>
      <c r="N58" s="220"/>
      <c r="O58" s="220"/>
      <c r="P58" s="220"/>
      <c r="Q58" s="220"/>
      <c r="R58" s="220"/>
      <c r="S58" s="220"/>
      <c r="T58" s="220"/>
      <c r="U58" s="220"/>
      <c r="V58" s="220"/>
      <c r="W58" s="220"/>
      <c r="X58" s="220"/>
      <c r="Y58" s="220"/>
      <c r="Z58" s="220"/>
      <c r="AA58" s="220"/>
      <c r="AB58" s="220"/>
      <c r="AC58" s="220"/>
      <c r="AD58" s="220"/>
      <c r="AE58" s="220"/>
      <c r="AF58" s="220"/>
      <c r="AG58" s="220"/>
      <c r="AH58" s="220"/>
      <c r="AI58" s="220"/>
      <c r="AJ58" s="220"/>
      <c r="AK58" s="220"/>
      <c r="AL58" s="220"/>
      <c r="AM58" s="220"/>
      <c r="AN58" s="220"/>
      <c r="AO58" s="220"/>
      <c r="AP58" s="220"/>
      <c r="AQ58" s="220"/>
      <c r="AR58" s="220"/>
      <c r="AS58" s="220"/>
      <c r="AT58" s="221"/>
    </row>
    <row r="59" spans="2:49" ht="20.100000000000001" customHeight="1">
      <c r="B59" s="222" t="s">
        <v>217</v>
      </c>
      <c r="C59" s="145">
        <f t="shared" si="14"/>
        <v>0.70522030651340994</v>
      </c>
      <c r="D59" s="146">
        <f t="shared" si="15"/>
        <v>61.354166666666664</v>
      </c>
      <c r="F59" s="145">
        <f t="shared" si="16"/>
        <v>25.387931034482758</v>
      </c>
      <c r="G59" s="146">
        <f>VLOOKUP(B59,[48]A_C!B8:F386,5,FALSE)</f>
        <v>2208.75</v>
      </c>
      <c r="H59" s="154"/>
      <c r="I59" s="172">
        <v>0</v>
      </c>
      <c r="J59" s="173">
        <v>36</v>
      </c>
      <c r="K59" s="174">
        <f t="shared" si="17"/>
        <v>61.354166666666664</v>
      </c>
      <c r="M59" s="220"/>
      <c r="N59" s="220"/>
      <c r="O59" s="220"/>
      <c r="P59" s="220"/>
      <c r="Q59" s="220"/>
      <c r="R59" s="220"/>
      <c r="S59" s="220"/>
      <c r="T59" s="220"/>
      <c r="U59" s="220"/>
      <c r="V59" s="220"/>
      <c r="W59" s="220"/>
      <c r="X59" s="220"/>
      <c r="Y59" s="220"/>
      <c r="Z59" s="220"/>
      <c r="AA59" s="220"/>
      <c r="AB59" s="220"/>
      <c r="AC59" s="220"/>
      <c r="AD59" s="220"/>
      <c r="AE59" s="220"/>
      <c r="AF59" s="220"/>
      <c r="AG59" s="220"/>
      <c r="AH59" s="220"/>
      <c r="AI59" s="220"/>
      <c r="AJ59" s="220"/>
      <c r="AK59" s="220"/>
      <c r="AL59" s="220"/>
      <c r="AM59" s="220"/>
      <c r="AN59" s="220"/>
      <c r="AO59" s="220"/>
      <c r="AP59" s="220"/>
      <c r="AQ59" s="220"/>
      <c r="AR59" s="220"/>
      <c r="AS59" s="220"/>
      <c r="AT59" s="220"/>
      <c r="AU59" s="220"/>
      <c r="AV59" s="220"/>
      <c r="AW59" s="221"/>
    </row>
    <row r="60" spans="2:49" ht="20.100000000000001" customHeight="1">
      <c r="B60" s="222" t="s">
        <v>218</v>
      </c>
      <c r="C60" s="145">
        <f t="shared" si="14"/>
        <v>1.8882503192848019</v>
      </c>
      <c r="D60" s="146">
        <f t="shared" si="15"/>
        <v>164.27777777777777</v>
      </c>
      <c r="F60" s="145">
        <f t="shared" si="16"/>
        <v>67.977011494252878</v>
      </c>
      <c r="G60" s="146">
        <f>VLOOKUP(B60,[48]A_C!B9:F387,5,FALSE)</f>
        <v>5914</v>
      </c>
      <c r="H60" s="154"/>
      <c r="I60" s="172">
        <v>0</v>
      </c>
      <c r="J60" s="173">
        <v>36</v>
      </c>
      <c r="K60" s="174">
        <f t="shared" si="17"/>
        <v>164.27777777777777</v>
      </c>
      <c r="M60" s="220"/>
      <c r="N60" s="220"/>
      <c r="O60" s="220"/>
      <c r="P60" s="220"/>
      <c r="Q60" s="220"/>
      <c r="R60" s="220"/>
      <c r="S60" s="220"/>
      <c r="T60" s="220"/>
      <c r="U60" s="220"/>
      <c r="V60" s="220"/>
      <c r="W60" s="220"/>
      <c r="X60" s="220"/>
      <c r="Y60" s="220"/>
      <c r="Z60" s="220"/>
      <c r="AA60" s="220"/>
      <c r="AB60" s="220"/>
      <c r="AC60" s="220"/>
      <c r="AD60" s="220"/>
      <c r="AE60" s="220"/>
      <c r="AF60" s="220"/>
      <c r="AG60" s="220"/>
      <c r="AH60" s="220"/>
      <c r="AI60" s="220"/>
      <c r="AJ60" s="220"/>
      <c r="AK60" s="220"/>
      <c r="AL60" s="220"/>
      <c r="AM60" s="220"/>
      <c r="AN60" s="220"/>
      <c r="AO60" s="220"/>
      <c r="AP60" s="220"/>
      <c r="AQ60" s="220"/>
      <c r="AR60" s="220"/>
      <c r="AS60" s="220"/>
      <c r="AT60" s="220"/>
      <c r="AU60" s="220"/>
      <c r="AV60" s="220"/>
      <c r="AW60" s="221"/>
    </row>
    <row r="61" spans="2:49" ht="20.100000000000001" customHeight="1">
      <c r="B61" s="222" t="s">
        <v>219</v>
      </c>
      <c r="C61" s="145">
        <f t="shared" si="14"/>
        <v>0.63856960408684549</v>
      </c>
      <c r="D61" s="146">
        <f t="shared" si="15"/>
        <v>55.555555555555557</v>
      </c>
      <c r="F61" s="145">
        <f t="shared" si="16"/>
        <v>22.988505747126435</v>
      </c>
      <c r="G61" s="146">
        <f>VLOOKUP(B61,[48]A_C!B10:F388,5,FALSE)</f>
        <v>2000</v>
      </c>
      <c r="H61" s="154"/>
      <c r="I61" s="172">
        <v>0</v>
      </c>
      <c r="J61" s="173">
        <v>36</v>
      </c>
      <c r="K61" s="174">
        <f t="shared" si="17"/>
        <v>55.555555555555557</v>
      </c>
    </row>
    <row r="62" spans="2:49" ht="20.100000000000001" customHeight="1">
      <c r="B62" s="222" t="s">
        <v>220</v>
      </c>
      <c r="C62" s="145">
        <f t="shared" si="14"/>
        <v>1.2132822477650065</v>
      </c>
      <c r="D62" s="146">
        <f t="shared" si="15"/>
        <v>105.55555555555556</v>
      </c>
      <c r="F62" s="145">
        <f t="shared" si="16"/>
        <v>43.678160919540232</v>
      </c>
      <c r="G62" s="146">
        <f>VLOOKUP(B62,[48]A_C!B11:F389,5,FALSE)</f>
        <v>3800</v>
      </c>
      <c r="H62" s="154"/>
      <c r="I62" s="172">
        <v>0</v>
      </c>
      <c r="J62" s="173">
        <v>36</v>
      </c>
      <c r="K62" s="174">
        <f t="shared" si="17"/>
        <v>105.55555555555556</v>
      </c>
    </row>
    <row r="63" spans="2:49" ht="20.100000000000001" customHeight="1">
      <c r="B63" s="213" t="s">
        <v>221</v>
      </c>
      <c r="C63" s="145">
        <f t="shared" si="14"/>
        <v>1.8837803320561941</v>
      </c>
      <c r="D63" s="146">
        <f t="shared" si="15"/>
        <v>163.88888888888889</v>
      </c>
      <c r="F63" s="145">
        <f t="shared" si="16"/>
        <v>67.816091954022994</v>
      </c>
      <c r="G63" s="146">
        <f>VLOOKUP(B63,[48]A_C!B12:F390,5,FALSE)</f>
        <v>5900</v>
      </c>
      <c r="H63" s="154"/>
      <c r="I63" s="172">
        <v>0</v>
      </c>
      <c r="J63" s="173">
        <v>36</v>
      </c>
      <c r="K63" s="174">
        <f t="shared" si="17"/>
        <v>163.88888888888889</v>
      </c>
    </row>
    <row r="64" spans="2:49" ht="20.100000000000001" customHeight="1">
      <c r="B64" s="213" t="s">
        <v>222</v>
      </c>
      <c r="C64" s="145">
        <f t="shared" si="14"/>
        <v>0.26404853128991057</v>
      </c>
      <c r="D64" s="146">
        <f t="shared" si="15"/>
        <v>22.972222222222221</v>
      </c>
      <c r="F64" s="145">
        <f t="shared" si="16"/>
        <v>9.5057471264367823</v>
      </c>
      <c r="G64" s="146">
        <f>VLOOKUP(B64,[48]A_C!B13:F391,5,FALSE)</f>
        <v>827</v>
      </c>
      <c r="H64" s="154"/>
      <c r="I64" s="172">
        <v>0</v>
      </c>
      <c r="J64" s="173">
        <v>36</v>
      </c>
      <c r="K64" s="174">
        <f t="shared" si="17"/>
        <v>22.972222222222221</v>
      </c>
    </row>
    <row r="65" spans="2:11" ht="20.100000000000001" customHeight="1">
      <c r="B65" s="213" t="s">
        <v>223</v>
      </c>
      <c r="C65" s="145">
        <f t="shared" si="14"/>
        <v>8.7751436781609193</v>
      </c>
      <c r="D65" s="146">
        <f t="shared" si="15"/>
        <v>763.4375</v>
      </c>
      <c r="F65" s="145">
        <f t="shared" si="16"/>
        <v>315.90517241379308</v>
      </c>
      <c r="G65" s="146">
        <f>VLOOKUP(B65,[48]A_C!B14:F392,5,FALSE)</f>
        <v>27483.75</v>
      </c>
      <c r="H65" s="154"/>
      <c r="I65" s="172">
        <v>0</v>
      </c>
      <c r="J65" s="173">
        <v>36</v>
      </c>
      <c r="K65" s="174">
        <f t="shared" si="17"/>
        <v>763.4375</v>
      </c>
    </row>
    <row r="66" spans="2:11" ht="20.100000000000001" customHeight="1">
      <c r="B66" s="213" t="s">
        <v>224</v>
      </c>
      <c r="C66" s="145">
        <f t="shared" si="14"/>
        <v>1.2923140166028098</v>
      </c>
      <c r="D66" s="146">
        <f t="shared" si="15"/>
        <v>112.43131944444445</v>
      </c>
      <c r="F66" s="145">
        <f t="shared" si="16"/>
        <v>46.523304597701149</v>
      </c>
      <c r="G66" s="146">
        <f>VLOOKUP(B66,[48]A_C!B15:F393,5,FALSE)</f>
        <v>4047.5275000000001</v>
      </c>
      <c r="H66" s="154"/>
      <c r="I66" s="172">
        <v>0</v>
      </c>
      <c r="J66" s="173">
        <v>36</v>
      </c>
      <c r="K66" s="174">
        <f t="shared" si="17"/>
        <v>112.43131944444445</v>
      </c>
    </row>
    <row r="67" spans="2:11" ht="20.100000000000001" customHeight="1">
      <c r="B67" s="213" t="str">
        <f>[48]A_C!B204</f>
        <v>VÁLVULA DE RETENCIÓN ABAC 1/4".</v>
      </c>
      <c r="C67" s="145">
        <f t="shared" si="14"/>
        <v>1.0864463601532566</v>
      </c>
      <c r="D67" s="146">
        <f t="shared" si="15"/>
        <v>94.520833333333329</v>
      </c>
      <c r="F67" s="145">
        <f t="shared" si="16"/>
        <v>39.112068965517238</v>
      </c>
      <c r="G67" s="146">
        <f>VLOOKUP(B67,[48]A_C!B16:F394,5,FALSE)</f>
        <v>3402.75</v>
      </c>
      <c r="H67" s="154"/>
      <c r="I67" s="172">
        <v>0</v>
      </c>
      <c r="J67" s="173">
        <v>36</v>
      </c>
      <c r="K67" s="174">
        <f t="shared" si="17"/>
        <v>94.520833333333329</v>
      </c>
    </row>
    <row r="68" spans="2:11" ht="20.100000000000001" customHeight="1">
      <c r="B68" s="213" t="str">
        <f>[48]A_C!B206</f>
        <v>VÁLVULA DE RETENCIÓN ABAC 1/2".</v>
      </c>
      <c r="C68" s="145">
        <f t="shared" si="14"/>
        <v>1.5700542784163474</v>
      </c>
      <c r="D68" s="146">
        <f t="shared" si="15"/>
        <v>136.59472222222223</v>
      </c>
      <c r="F68" s="145">
        <f t="shared" si="16"/>
        <v>56.521954022988503</v>
      </c>
      <c r="G68" s="146">
        <f>VLOOKUP(B68,[48]A_C!B17:F395,5,FALSE)</f>
        <v>4917.41</v>
      </c>
      <c r="H68" s="154"/>
      <c r="I68" s="172">
        <v>0</v>
      </c>
      <c r="J68" s="173">
        <v>36</v>
      </c>
      <c r="K68" s="174">
        <f t="shared" si="17"/>
        <v>136.59472222222223</v>
      </c>
    </row>
    <row r="69" spans="2:11" ht="20.100000000000001" customHeight="1">
      <c r="B69" s="213" t="s">
        <v>225</v>
      </c>
      <c r="C69" s="145">
        <f t="shared" si="14"/>
        <v>2.4835049489144319</v>
      </c>
      <c r="D69" s="146">
        <f t="shared" si="15"/>
        <v>216.06493055555558</v>
      </c>
      <c r="F69" s="145">
        <f t="shared" si="16"/>
        <v>89.406178160919552</v>
      </c>
      <c r="G69" s="146">
        <f>VLOOKUP(B69,[48]A_C!B19:F397,5,FALSE)</f>
        <v>7778.3375000000005</v>
      </c>
      <c r="H69" s="154"/>
      <c r="I69" s="172">
        <v>0</v>
      </c>
      <c r="J69" s="173">
        <v>36</v>
      </c>
      <c r="K69" s="174">
        <f t="shared" si="17"/>
        <v>216.06493055555558</v>
      </c>
    </row>
    <row r="70" spans="2:11" ht="20.100000000000001" customHeight="1">
      <c r="B70" s="213" t="s">
        <v>226</v>
      </c>
      <c r="C70" s="145" t="e">
        <f t="shared" si="14"/>
        <v>#N/A</v>
      </c>
      <c r="D70" s="146" t="e">
        <f t="shared" si="15"/>
        <v>#N/A</v>
      </c>
      <c r="F70" s="145" t="e">
        <f t="shared" si="16"/>
        <v>#N/A</v>
      </c>
      <c r="G70" s="146" t="e">
        <f>VLOOKUP(B70,[48]A_C!B20:F398,5,FALSE)</f>
        <v>#N/A</v>
      </c>
      <c r="H70" s="154"/>
      <c r="I70" s="172">
        <v>0</v>
      </c>
      <c r="J70" s="173">
        <v>36</v>
      </c>
      <c r="K70" s="174" t="e">
        <f t="shared" si="17"/>
        <v>#N/A</v>
      </c>
    </row>
    <row r="71" spans="2:11" ht="20.100000000000001" customHeight="1">
      <c r="B71" s="213" t="s">
        <v>227</v>
      </c>
      <c r="C71" s="145">
        <f t="shared" si="14"/>
        <v>1.5625</v>
      </c>
      <c r="D71" s="146">
        <f t="shared" si="15"/>
        <v>135.9375</v>
      </c>
      <c r="F71" s="145">
        <f t="shared" si="16"/>
        <v>56.25</v>
      </c>
      <c r="G71" s="146">
        <f>VLOOKUP(B71,[48]A_C!B21:F399,5,FALSE)</f>
        <v>4893.75</v>
      </c>
      <c r="H71" s="154"/>
      <c r="I71" s="172">
        <v>0</v>
      </c>
      <c r="J71" s="173">
        <v>36</v>
      </c>
      <c r="K71" s="174">
        <f t="shared" si="17"/>
        <v>135.9375</v>
      </c>
    </row>
    <row r="72" spans="2:11" ht="20.100000000000001" customHeight="1">
      <c r="B72" s="213" t="s">
        <v>228</v>
      </c>
      <c r="C72" s="145">
        <f t="shared" si="14"/>
        <v>1.5878831417624522</v>
      </c>
      <c r="D72" s="146">
        <f t="shared" si="15"/>
        <v>138.14583333333334</v>
      </c>
      <c r="F72" s="145">
        <f t="shared" si="16"/>
        <v>57.163793103448278</v>
      </c>
      <c r="G72" s="146">
        <f>VLOOKUP(B72,[48]A_C!B22:F400,5,FALSE)</f>
        <v>4973.25</v>
      </c>
      <c r="H72" s="154"/>
      <c r="I72" s="172">
        <v>0</v>
      </c>
      <c r="J72" s="173">
        <v>36</v>
      </c>
      <c r="K72" s="174">
        <f t="shared" si="17"/>
        <v>138.14583333333334</v>
      </c>
    </row>
    <row r="73" spans="2:11" ht="20.100000000000001" customHeight="1">
      <c r="B73" s="213" t="s">
        <v>229</v>
      </c>
      <c r="C73" s="145">
        <f t="shared" si="14"/>
        <v>4.4778304597701153</v>
      </c>
      <c r="D73" s="146">
        <f t="shared" si="15"/>
        <v>389.57125000000002</v>
      </c>
      <c r="F73" s="145">
        <f t="shared" si="16"/>
        <v>161.20189655172413</v>
      </c>
      <c r="G73" s="146">
        <f>VLOOKUP(B73,[48]A_C!B23:F401,5,FALSE)</f>
        <v>14024.565000000001</v>
      </c>
      <c r="H73" s="154"/>
      <c r="I73" s="172">
        <v>0</v>
      </c>
      <c r="J73" s="173">
        <v>36</v>
      </c>
      <c r="K73" s="174">
        <f t="shared" si="17"/>
        <v>389.57125000000002</v>
      </c>
    </row>
    <row r="74" spans="2:11" ht="20.100000000000001" customHeight="1">
      <c r="B74" s="213" t="s">
        <v>230</v>
      </c>
      <c r="C74" s="145">
        <f t="shared" si="14"/>
        <v>4.9631098339719033</v>
      </c>
      <c r="D74" s="146">
        <f t="shared" si="15"/>
        <v>431.79055555555556</v>
      </c>
      <c r="F74" s="145">
        <f t="shared" si="16"/>
        <v>178.6719540229885</v>
      </c>
      <c r="G74" s="146">
        <f>VLOOKUP(B74,[48]A_C!B24:F402,5,FALSE)</f>
        <v>15544.46</v>
      </c>
      <c r="H74" s="154"/>
      <c r="I74" s="172">
        <v>0</v>
      </c>
      <c r="J74" s="173">
        <v>36</v>
      </c>
      <c r="K74" s="174">
        <f t="shared" si="17"/>
        <v>431.79055555555556</v>
      </c>
    </row>
    <row r="75" spans="2:11" ht="20.100000000000001" customHeight="1">
      <c r="B75" s="213" t="s">
        <v>231</v>
      </c>
      <c r="C75" s="145">
        <f t="shared" si="14"/>
        <v>1.4611310664112387</v>
      </c>
      <c r="D75" s="146">
        <f t="shared" si="15"/>
        <v>127.11840277777777</v>
      </c>
      <c r="F75" s="145">
        <f t="shared" si="16"/>
        <v>52.600718390804595</v>
      </c>
      <c r="G75" s="146">
        <f>VLOOKUP(B75,[48]A_C!B25:F403,5,FALSE)</f>
        <v>4576.2624999999998</v>
      </c>
      <c r="H75" s="154"/>
      <c r="I75" s="172">
        <v>0</v>
      </c>
      <c r="J75" s="173">
        <v>36</v>
      </c>
      <c r="K75" s="174">
        <f t="shared" si="17"/>
        <v>127.11840277777777</v>
      </c>
    </row>
    <row r="76" spans="2:11" ht="20.100000000000001" customHeight="1">
      <c r="B76" s="213" t="s">
        <v>232</v>
      </c>
      <c r="C76" s="145">
        <f t="shared" si="14"/>
        <v>1.7756433588761178</v>
      </c>
      <c r="D76" s="146">
        <f t="shared" si="15"/>
        <v>154.48097222222225</v>
      </c>
      <c r="F76" s="145">
        <f t="shared" si="16"/>
        <v>63.923160919540237</v>
      </c>
      <c r="G76" s="146">
        <f>VLOOKUP(B76,[48]A_C!B26:F404,5,FALSE)</f>
        <v>5561.3150000000005</v>
      </c>
      <c r="H76" s="154"/>
      <c r="I76" s="172">
        <v>0</v>
      </c>
      <c r="J76" s="173">
        <v>36</v>
      </c>
      <c r="K76" s="174">
        <f t="shared" si="17"/>
        <v>154.48097222222225</v>
      </c>
    </row>
    <row r="77" spans="2:11" ht="20.100000000000001" customHeight="1">
      <c r="B77" s="213" t="s">
        <v>233</v>
      </c>
      <c r="C77" s="145">
        <f t="shared" si="14"/>
        <v>1.8987739463601532</v>
      </c>
      <c r="D77" s="146">
        <f t="shared" si="15"/>
        <v>165.19333333333333</v>
      </c>
      <c r="F77" s="145">
        <f t="shared" si="16"/>
        <v>68.355862068965521</v>
      </c>
      <c r="G77" s="146">
        <f>VLOOKUP(B77,[48]A_C!B27:F405,5,FALSE)</f>
        <v>5946.96</v>
      </c>
      <c r="H77" s="154"/>
      <c r="I77" s="172">
        <v>0</v>
      </c>
      <c r="J77" s="173">
        <v>36</v>
      </c>
      <c r="K77" s="174">
        <f t="shared" si="17"/>
        <v>165.19333333333333</v>
      </c>
    </row>
    <row r="78" spans="2:11" ht="20.100000000000001" customHeight="1">
      <c r="B78" s="213" t="s">
        <v>234</v>
      </c>
      <c r="C78" s="145">
        <f t="shared" si="14"/>
        <v>1.9542105683269479</v>
      </c>
      <c r="D78" s="146">
        <f t="shared" si="15"/>
        <v>170.01631944444446</v>
      </c>
      <c r="F78" s="145">
        <f t="shared" si="16"/>
        <v>70.351580459770119</v>
      </c>
      <c r="G78" s="146">
        <f>VLOOKUP(B78,[48]A_C!B28:F406,5,FALSE)</f>
        <v>6120.5875000000005</v>
      </c>
      <c r="H78" s="154"/>
      <c r="I78" s="172">
        <v>0</v>
      </c>
      <c r="J78" s="173">
        <v>36</v>
      </c>
      <c r="K78" s="174">
        <f t="shared" si="17"/>
        <v>170.01631944444446</v>
      </c>
    </row>
    <row r="79" spans="2:11" ht="20.100000000000001" customHeight="1">
      <c r="B79" s="213" t="s">
        <v>235</v>
      </c>
      <c r="C79" s="145">
        <f t="shared" si="14"/>
        <v>24.458971902937421</v>
      </c>
      <c r="D79" s="146">
        <f t="shared" si="15"/>
        <v>2127.9305555555557</v>
      </c>
      <c r="F79" s="145">
        <f t="shared" si="16"/>
        <v>880.52298850574709</v>
      </c>
      <c r="G79" s="146">
        <f>VLOOKUP(B79,[48]A_C!B29:F407,5,FALSE)</f>
        <v>76605.5</v>
      </c>
      <c r="H79" s="154"/>
      <c r="I79" s="172">
        <v>0</v>
      </c>
      <c r="J79" s="173">
        <v>36</v>
      </c>
      <c r="K79" s="174">
        <f t="shared" si="17"/>
        <v>2127.9305555555557</v>
      </c>
    </row>
    <row r="80" spans="2:11" ht="20.100000000000001" customHeight="1">
      <c r="B80" s="213" t="s">
        <v>236</v>
      </c>
      <c r="C80" s="145">
        <f t="shared" si="14"/>
        <v>5.8222381864623243</v>
      </c>
      <c r="D80" s="146">
        <f t="shared" si="15"/>
        <v>506.53472222222223</v>
      </c>
      <c r="F80" s="145">
        <f t="shared" si="16"/>
        <v>209.60057471264369</v>
      </c>
      <c r="G80" s="146">
        <f>VLOOKUP(B80,[48]A_C!B29:F408,5,FALSE)</f>
        <v>18235.25</v>
      </c>
      <c r="H80" s="154"/>
      <c r="I80" s="172">
        <v>0</v>
      </c>
      <c r="J80" s="173">
        <v>36</v>
      </c>
      <c r="K80" s="174">
        <f t="shared" si="17"/>
        <v>506.53472222222223</v>
      </c>
    </row>
    <row r="81" spans="2:11" ht="20.100000000000001" customHeight="1">
      <c r="B81" s="213" t="s">
        <v>237</v>
      </c>
      <c r="C81" s="145">
        <f t="shared" si="14"/>
        <v>1.7271711366538953</v>
      </c>
      <c r="D81" s="146">
        <f t="shared" si="15"/>
        <v>150.26388888888889</v>
      </c>
      <c r="F81" s="145">
        <f t="shared" si="16"/>
        <v>62.178160919540232</v>
      </c>
      <c r="G81" s="146">
        <f>VLOOKUP(B81,[48]A_C!B29:F409,5,FALSE)</f>
        <v>5409.5</v>
      </c>
      <c r="H81" s="154"/>
      <c r="I81" s="172">
        <v>0</v>
      </c>
      <c r="J81" s="173">
        <v>36</v>
      </c>
      <c r="K81" s="174">
        <f t="shared" si="17"/>
        <v>150.26388888888889</v>
      </c>
    </row>
    <row r="82" spans="2:11" ht="20.100000000000001" customHeight="1">
      <c r="B82" s="213" t="s">
        <v>238</v>
      </c>
      <c r="C82" s="145">
        <f t="shared" si="14"/>
        <v>0.60185185185185186</v>
      </c>
      <c r="D82" s="146">
        <f t="shared" si="15"/>
        <v>52.361111111111114</v>
      </c>
      <c r="F82" s="145">
        <f t="shared" si="16"/>
        <v>21.666666666666668</v>
      </c>
      <c r="G82" s="146">
        <f>VLOOKUP(B82,[48]A_C!B30:F410,5,FALSE)</f>
        <v>1885</v>
      </c>
      <c r="H82" s="154"/>
      <c r="I82" s="172">
        <v>0</v>
      </c>
      <c r="J82" s="173">
        <v>36</v>
      </c>
      <c r="K82" s="174">
        <f t="shared" si="17"/>
        <v>52.361111111111114</v>
      </c>
    </row>
    <row r="83" spans="2:11">
      <c r="G83" s="135"/>
    </row>
    <row r="84" spans="2:11" ht="20.100000000000001" customHeight="1">
      <c r="B84" s="185"/>
      <c r="C84" s="153"/>
      <c r="D84" s="154"/>
      <c r="G84" s="135"/>
      <c r="H84" s="165"/>
      <c r="I84" s="946" t="s">
        <v>57</v>
      </c>
      <c r="J84" s="946"/>
      <c r="K84" s="947"/>
    </row>
    <row r="85" spans="2:11" ht="20.100000000000001" customHeight="1">
      <c r="B85" s="185"/>
      <c r="C85" s="153"/>
      <c r="D85" s="154"/>
      <c r="G85" s="165"/>
      <c r="H85" s="165"/>
      <c r="I85" s="946" t="s">
        <v>65</v>
      </c>
      <c r="J85" s="947"/>
      <c r="K85" s="952" t="s">
        <v>75</v>
      </c>
    </row>
    <row r="86" spans="2:11" ht="39.950000000000003" customHeight="1">
      <c r="B86" s="155" t="s">
        <v>154</v>
      </c>
      <c r="C86" s="189" t="s">
        <v>36</v>
      </c>
      <c r="D86" s="189" t="s">
        <v>37</v>
      </c>
      <c r="F86" s="141" t="s">
        <v>60</v>
      </c>
      <c r="G86" s="141" t="s">
        <v>61</v>
      </c>
      <c r="H86" s="166"/>
      <c r="I86" s="167" t="s">
        <v>76</v>
      </c>
      <c r="J86" s="168" t="s">
        <v>63</v>
      </c>
      <c r="K86" s="951"/>
    </row>
    <row r="87" spans="2:11" ht="20.100000000000001" customHeight="1">
      <c r="B87" s="214" t="s">
        <v>239</v>
      </c>
      <c r="C87" s="215">
        <f>D87/$D$1</f>
        <v>6.0958812260536401</v>
      </c>
      <c r="D87" s="216">
        <f>K87</f>
        <v>530.3416666666667</v>
      </c>
      <c r="F87" s="215">
        <f>G87/$D$1</f>
        <v>73.150574712643689</v>
      </c>
      <c r="G87" s="146">
        <v>6364.1</v>
      </c>
      <c r="H87" s="154"/>
      <c r="I87" s="217">
        <v>0</v>
      </c>
      <c r="J87" s="218">
        <v>12</v>
      </c>
      <c r="K87" s="219">
        <f>G87*(1-I87)/J87</f>
        <v>530.3416666666667</v>
      </c>
    </row>
    <row r="88" spans="2:11" ht="20.100000000000001" customHeight="1">
      <c r="B88" s="214" t="s">
        <v>240</v>
      </c>
      <c r="C88" s="145">
        <f>D88/$D$1</f>
        <v>17.011494252873565</v>
      </c>
      <c r="D88" s="146">
        <f>K88</f>
        <v>1480</v>
      </c>
      <c r="F88" s="145">
        <f>G88/$D$1</f>
        <v>17.011494252873565</v>
      </c>
      <c r="G88" s="146">
        <v>1480</v>
      </c>
      <c r="H88" s="154"/>
      <c r="I88" s="172">
        <v>0</v>
      </c>
      <c r="J88" s="173">
        <v>1</v>
      </c>
      <c r="K88" s="174">
        <f>G88*(1-I88)/J88</f>
        <v>1480</v>
      </c>
    </row>
    <row r="89" spans="2:11" ht="20.100000000000001" customHeight="1"/>
    <row r="90" spans="2:11" ht="20.100000000000001" customHeight="1"/>
    <row r="91" spans="2:11" ht="20.100000000000001" customHeight="1"/>
    <row r="92" spans="2:11" ht="20.100000000000001" customHeight="1"/>
    <row r="93" spans="2:11" ht="20.100000000000001" customHeight="1"/>
    <row r="94" spans="2:11" ht="20.100000000000001" customHeight="1"/>
    <row r="95" spans="2:11" ht="20.100000000000001" customHeight="1"/>
    <row r="96" spans="2:11" ht="20.100000000000001" customHeight="1"/>
    <row r="97" ht="20.100000000000001" customHeight="1"/>
    <row r="98" ht="20.100000000000001" customHeight="1"/>
    <row r="99" ht="20.100000000000001" customHeight="1"/>
    <row r="100" ht="20.100000000000001" customHeight="1"/>
  </sheetData>
  <mergeCells count="60">
    <mergeCell ref="I55:K55"/>
    <mergeCell ref="I56:J56"/>
    <mergeCell ref="K56:K57"/>
    <mergeCell ref="I84:K84"/>
    <mergeCell ref="I85:J85"/>
    <mergeCell ref="K85:K86"/>
    <mergeCell ref="AV48:AV49"/>
    <mergeCell ref="I47:AV47"/>
    <mergeCell ref="I48:K48"/>
    <mergeCell ref="L48:N48"/>
    <mergeCell ref="O48:Q48"/>
    <mergeCell ref="R48:T48"/>
    <mergeCell ref="U48:W48"/>
    <mergeCell ref="X48:Z48"/>
    <mergeCell ref="AA48:AC48"/>
    <mergeCell ref="AD48:AF48"/>
    <mergeCell ref="AG48:AI48"/>
    <mergeCell ref="AJ48:AL48"/>
    <mergeCell ref="AM48:AO48"/>
    <mergeCell ref="AP48:AR48"/>
    <mergeCell ref="AS48:AS49"/>
    <mergeCell ref="AT48:AU48"/>
    <mergeCell ref="CA34:CA35"/>
    <mergeCell ref="AT34:AV34"/>
    <mergeCell ref="AW34:AY34"/>
    <mergeCell ref="AZ34:BB34"/>
    <mergeCell ref="BC34:BE34"/>
    <mergeCell ref="BF34:BH34"/>
    <mergeCell ref="BI34:BK34"/>
    <mergeCell ref="BL34:BN34"/>
    <mergeCell ref="BO34:BQ34"/>
    <mergeCell ref="BR34:BT34"/>
    <mergeCell ref="BU34:BW34"/>
    <mergeCell ref="BX34:BZ34"/>
    <mergeCell ref="AB34:AD34"/>
    <mergeCell ref="AE34:AG34"/>
    <mergeCell ref="AH34:AJ34"/>
    <mergeCell ref="AK34:AM34"/>
    <mergeCell ref="AN34:AP34"/>
    <mergeCell ref="AQ34:AS34"/>
    <mergeCell ref="T21:T22"/>
    <mergeCell ref="I33:K33"/>
    <mergeCell ref="M33:CA33"/>
    <mergeCell ref="I34:J34"/>
    <mergeCell ref="K34:K35"/>
    <mergeCell ref="M34:O34"/>
    <mergeCell ref="P34:R34"/>
    <mergeCell ref="S34:U34"/>
    <mergeCell ref="V34:X34"/>
    <mergeCell ref="Y34:AA34"/>
    <mergeCell ref="I21:J21"/>
    <mergeCell ref="K21:K22"/>
    <mergeCell ref="M21:O21"/>
    <mergeCell ref="P21:R21"/>
    <mergeCell ref="S21:S22"/>
    <mergeCell ref="C3:D3"/>
    <mergeCell ref="F3:G3"/>
    <mergeCell ref="I3:J3"/>
    <mergeCell ref="I20:K20"/>
    <mergeCell ref="M20:T20"/>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2">
    <tabColor theme="0" tint="-0.14999847407452621"/>
  </sheetPr>
  <dimension ref="B1:AW55"/>
  <sheetViews>
    <sheetView showGridLines="0" topLeftCell="A10" zoomScale="145" zoomScaleNormal="145" workbookViewId="0">
      <selection activeCell="B15" sqref="B15"/>
    </sheetView>
  </sheetViews>
  <sheetFormatPr baseColWidth="10" defaultRowHeight="12.75"/>
  <cols>
    <col min="1" max="1" width="2" style="136" customWidth="1"/>
    <col min="2" max="2" width="49.5703125" style="136" customWidth="1"/>
    <col min="3" max="3" width="9.5703125" style="136" bestFit="1" customWidth="1"/>
    <col min="4" max="4" width="10.85546875" style="136" bestFit="1" customWidth="1"/>
    <col min="5" max="5" width="2" style="135" customWidth="1"/>
    <col min="6" max="6" width="10.7109375" style="135" customWidth="1"/>
    <col min="7" max="7" width="11.42578125" style="136"/>
    <col min="8" max="8" width="2.85546875" style="136" customWidth="1"/>
    <col min="9" max="11" width="11.42578125" style="136"/>
    <col min="12" max="12" width="10.7109375" style="136" customWidth="1"/>
    <col min="13" max="59" width="11.42578125" style="136"/>
    <col min="60" max="60" width="11.42578125" style="136" customWidth="1"/>
    <col min="61" max="16384" width="11.42578125" style="136"/>
  </cols>
  <sheetData>
    <row r="1" spans="2:49" ht="20.100000000000001" customHeight="1">
      <c r="B1" s="133" t="s">
        <v>33</v>
      </c>
      <c r="C1" s="133" t="s">
        <v>34</v>
      </c>
      <c r="D1" s="134">
        <v>87</v>
      </c>
    </row>
    <row r="2" spans="2:49" ht="20.100000000000001" customHeight="1">
      <c r="B2" s="185"/>
      <c r="C2" s="153"/>
      <c r="D2" s="154"/>
      <c r="G2" s="165"/>
      <c r="H2" s="165"/>
      <c r="I2" s="955" t="s">
        <v>195</v>
      </c>
      <c r="J2" s="948"/>
      <c r="K2" s="948"/>
      <c r="L2" s="948"/>
      <c r="M2" s="948"/>
      <c r="N2" s="948"/>
      <c r="O2" s="948"/>
      <c r="P2" s="948"/>
      <c r="Q2" s="948"/>
      <c r="R2" s="948"/>
      <c r="S2" s="948"/>
      <c r="T2" s="948"/>
      <c r="U2" s="948"/>
      <c r="V2" s="948"/>
      <c r="W2" s="948"/>
      <c r="X2" s="948"/>
      <c r="Y2" s="948"/>
      <c r="Z2" s="948"/>
      <c r="AA2" s="948"/>
      <c r="AB2" s="948"/>
      <c r="AC2" s="948"/>
      <c r="AD2" s="948"/>
      <c r="AE2" s="948"/>
      <c r="AF2" s="948"/>
      <c r="AG2" s="948"/>
      <c r="AH2" s="948"/>
      <c r="AI2" s="948"/>
      <c r="AJ2" s="948"/>
      <c r="AK2" s="948"/>
      <c r="AL2" s="948"/>
      <c r="AM2" s="948"/>
      <c r="AN2" s="948"/>
      <c r="AO2" s="948"/>
      <c r="AP2" s="948"/>
      <c r="AQ2" s="948"/>
      <c r="AR2" s="948"/>
      <c r="AS2" s="948"/>
      <c r="AT2" s="948"/>
      <c r="AU2" s="948"/>
      <c r="AV2" s="948"/>
    </row>
    <row r="3" spans="2:49" ht="20.100000000000001" customHeight="1">
      <c r="B3" s="185"/>
      <c r="C3" s="153"/>
      <c r="D3" s="154"/>
      <c r="G3" s="165"/>
      <c r="H3" s="165"/>
      <c r="I3" s="944" t="s">
        <v>196</v>
      </c>
      <c r="J3" s="949"/>
      <c r="K3" s="945"/>
      <c r="L3" s="944" t="s">
        <v>197</v>
      </c>
      <c r="M3" s="949"/>
      <c r="N3" s="945"/>
      <c r="O3" s="944" t="s">
        <v>198</v>
      </c>
      <c r="P3" s="949"/>
      <c r="Q3" s="945"/>
      <c r="R3" s="944" t="s">
        <v>199</v>
      </c>
      <c r="S3" s="949"/>
      <c r="T3" s="945"/>
      <c r="U3" s="944" t="s">
        <v>200</v>
      </c>
      <c r="V3" s="949"/>
      <c r="W3" s="945"/>
      <c r="X3" s="944" t="s">
        <v>201</v>
      </c>
      <c r="Y3" s="949"/>
      <c r="Z3" s="945"/>
      <c r="AA3" s="944" t="s">
        <v>202</v>
      </c>
      <c r="AB3" s="949"/>
      <c r="AC3" s="945"/>
      <c r="AD3" s="944" t="s">
        <v>203</v>
      </c>
      <c r="AE3" s="949"/>
      <c r="AF3" s="945"/>
      <c r="AG3" s="944" t="s">
        <v>204</v>
      </c>
      <c r="AH3" s="949"/>
      <c r="AI3" s="945"/>
      <c r="AJ3" s="944" t="s">
        <v>205</v>
      </c>
      <c r="AK3" s="949"/>
      <c r="AL3" s="945"/>
      <c r="AM3" s="944" t="s">
        <v>206</v>
      </c>
      <c r="AN3" s="949"/>
      <c r="AO3" s="945"/>
      <c r="AP3" s="944" t="s">
        <v>207</v>
      </c>
      <c r="AQ3" s="949"/>
      <c r="AR3" s="945"/>
      <c r="AS3" s="952" t="s">
        <v>208</v>
      </c>
      <c r="AT3" s="946" t="s">
        <v>65</v>
      </c>
      <c r="AU3" s="947"/>
      <c r="AV3" s="952" t="s">
        <v>75</v>
      </c>
    </row>
    <row r="4" spans="2:49" ht="39.950000000000003" customHeight="1">
      <c r="B4" s="155" t="s">
        <v>209</v>
      </c>
      <c r="C4" s="189" t="s">
        <v>36</v>
      </c>
      <c r="D4" s="189" t="s">
        <v>37</v>
      </c>
      <c r="F4" s="141" t="s">
        <v>60</v>
      </c>
      <c r="G4" s="141" t="s">
        <v>61</v>
      </c>
      <c r="H4" s="166"/>
      <c r="I4" s="212" t="s">
        <v>1</v>
      </c>
      <c r="J4" s="168" t="s">
        <v>162</v>
      </c>
      <c r="K4" s="141" t="s">
        <v>210</v>
      </c>
      <c r="L4" s="212" t="s">
        <v>1</v>
      </c>
      <c r="M4" s="168" t="s">
        <v>162</v>
      </c>
      <c r="N4" s="141" t="s">
        <v>210</v>
      </c>
      <c r="O4" s="212" t="s">
        <v>1</v>
      </c>
      <c r="P4" s="168" t="s">
        <v>162</v>
      </c>
      <c r="Q4" s="141"/>
      <c r="R4" s="212" t="s">
        <v>1</v>
      </c>
      <c r="S4" s="168" t="s">
        <v>162</v>
      </c>
      <c r="T4" s="141" t="s">
        <v>210</v>
      </c>
      <c r="U4" s="212" t="s">
        <v>1</v>
      </c>
      <c r="V4" s="168" t="s">
        <v>162</v>
      </c>
      <c r="W4" s="141" t="s">
        <v>210</v>
      </c>
      <c r="X4" s="212" t="s">
        <v>1</v>
      </c>
      <c r="Y4" s="168" t="s">
        <v>162</v>
      </c>
      <c r="Z4" s="141" t="s">
        <v>210</v>
      </c>
      <c r="AA4" s="212" t="s">
        <v>1</v>
      </c>
      <c r="AB4" s="168" t="s">
        <v>162</v>
      </c>
      <c r="AC4" s="141" t="s">
        <v>210</v>
      </c>
      <c r="AD4" s="212" t="s">
        <v>1</v>
      </c>
      <c r="AE4" s="168" t="s">
        <v>162</v>
      </c>
      <c r="AF4" s="141" t="s">
        <v>210</v>
      </c>
      <c r="AG4" s="212" t="s">
        <v>1</v>
      </c>
      <c r="AH4" s="168" t="s">
        <v>162</v>
      </c>
      <c r="AI4" s="141" t="s">
        <v>210</v>
      </c>
      <c r="AJ4" s="212" t="s">
        <v>1</v>
      </c>
      <c r="AK4" s="168" t="s">
        <v>162</v>
      </c>
      <c r="AL4" s="141" t="s">
        <v>210</v>
      </c>
      <c r="AM4" s="212" t="s">
        <v>1</v>
      </c>
      <c r="AN4" s="168" t="s">
        <v>162</v>
      </c>
      <c r="AO4" s="141" t="s">
        <v>210</v>
      </c>
      <c r="AP4" s="212" t="s">
        <v>1</v>
      </c>
      <c r="AQ4" s="168" t="s">
        <v>162</v>
      </c>
      <c r="AR4" s="141" t="s">
        <v>210</v>
      </c>
      <c r="AS4" s="951"/>
      <c r="AT4" s="167" t="s">
        <v>76</v>
      </c>
      <c r="AU4" s="168" t="s">
        <v>63</v>
      </c>
      <c r="AV4" s="951"/>
    </row>
    <row r="5" spans="2:49" ht="20.100000000000001" customHeight="1">
      <c r="B5" s="213" t="s">
        <v>211</v>
      </c>
      <c r="C5" s="145">
        <f>D5/$D$1</f>
        <v>9.4955411877394642</v>
      </c>
      <c r="D5" s="146">
        <f>AV5</f>
        <v>826.11208333333332</v>
      </c>
      <c r="F5" s="145">
        <f>G5/$D$1</f>
        <v>227.8929885057471</v>
      </c>
      <c r="G5" s="146">
        <f>AS5</f>
        <v>19826.689999999999</v>
      </c>
      <c r="H5" s="154"/>
      <c r="I5" s="207">
        <v>6</v>
      </c>
      <c r="J5" s="207">
        <f>VLOOKUP(I$3,[48]A_C!B5:F385,5,FALSE)</f>
        <v>317.59000000000003</v>
      </c>
      <c r="K5" s="207">
        <f>I5*J5</f>
        <v>1905.5400000000002</v>
      </c>
      <c r="L5" s="207">
        <v>2</v>
      </c>
      <c r="M5" s="207">
        <f>VLOOKUP(L$3,[48]A_C!B5:F385,5,FALSE)</f>
        <v>622.96499999999992</v>
      </c>
      <c r="N5" s="207">
        <f>L5*M5</f>
        <v>1245.9299999999998</v>
      </c>
      <c r="O5" s="207">
        <v>2</v>
      </c>
      <c r="P5" s="207">
        <f>VLOOKUP(O$3,[48]A_C!B5:F385,5,FALSE)</f>
        <v>989.41499999999996</v>
      </c>
      <c r="Q5" s="207">
        <f>O5*P5</f>
        <v>1978.83</v>
      </c>
      <c r="R5" s="207">
        <v>2</v>
      </c>
      <c r="S5" s="207">
        <f>VLOOKUP(R$3,[48]A_C!B5:F385,5,FALSE)</f>
        <v>911.76249999999993</v>
      </c>
      <c r="T5" s="207">
        <f>R5*S5</f>
        <v>1823.5249999999999</v>
      </c>
      <c r="U5" s="207">
        <v>8</v>
      </c>
      <c r="V5" s="207">
        <f>VLOOKUP(U$3,[48]A_C!B5:F385,5,FALSE)</f>
        <v>149.19749999999999</v>
      </c>
      <c r="W5" s="207">
        <f>U5*V5</f>
        <v>1193.58</v>
      </c>
      <c r="X5" s="207">
        <v>8</v>
      </c>
      <c r="Y5" s="207">
        <f>VLOOKUP(X$3,[48]A_C!B5:F385,5,FALSE)</f>
        <v>318.46249999999998</v>
      </c>
      <c r="Z5" s="207">
        <f>X5*Y5</f>
        <v>2547.6999999999998</v>
      </c>
      <c r="AA5" s="207">
        <v>1</v>
      </c>
      <c r="AB5" s="207">
        <f>VLOOKUP($AA$3,[48]A_C!B5:F385,5,FALSE)</f>
        <v>3402.75</v>
      </c>
      <c r="AC5" s="207">
        <f>AA5*AB5</f>
        <v>3402.75</v>
      </c>
      <c r="AD5" s="207">
        <v>0</v>
      </c>
      <c r="AE5" s="207">
        <v>0</v>
      </c>
      <c r="AF5" s="207">
        <f>AD5*AE5</f>
        <v>0</v>
      </c>
      <c r="AG5" s="207">
        <v>1</v>
      </c>
      <c r="AH5" s="207">
        <f>VLOOKUP(AG$3,[48]A_C!B5:F385,5,FALSE)</f>
        <v>5033.4524999999994</v>
      </c>
      <c r="AI5" s="207">
        <f>AG5*AH5</f>
        <v>5033.4524999999994</v>
      </c>
      <c r="AJ5" s="207">
        <v>1</v>
      </c>
      <c r="AK5" s="207">
        <f>VLOOKUP(AJ$3,[48]A_C!B5:F385,5,FALSE)</f>
        <v>508.66750000000002</v>
      </c>
      <c r="AL5" s="207">
        <f>AJ5*AK5</f>
        <v>508.66750000000002</v>
      </c>
      <c r="AM5" s="207">
        <v>1</v>
      </c>
      <c r="AN5" s="207">
        <f>VLOOKUP(AM$3,[48]A_C!B5:F385,5,FALSE)</f>
        <v>186.715</v>
      </c>
      <c r="AO5" s="207">
        <f>AM5*AN5</f>
        <v>186.715</v>
      </c>
      <c r="AP5" s="207"/>
      <c r="AQ5" s="207">
        <f>VLOOKUP(AP$3,[48]A_C!B5:F385,5,FALSE)</f>
        <v>146.57999999999998</v>
      </c>
      <c r="AR5" s="207">
        <f>AP5*AQ5</f>
        <v>0</v>
      </c>
      <c r="AS5" s="174">
        <f>K5+N5+Q5+T5+W5+Z5+AC5+AF5+AI5+AL5+AO5+AR5</f>
        <v>19826.689999999999</v>
      </c>
      <c r="AT5" s="172">
        <v>0</v>
      </c>
      <c r="AU5" s="173">
        <v>24</v>
      </c>
      <c r="AV5" s="174">
        <f>(AS5*(1-AT5))/AU5</f>
        <v>826.11208333333332</v>
      </c>
    </row>
    <row r="6" spans="2:49" ht="20.100000000000001" customHeight="1">
      <c r="B6" s="213" t="s">
        <v>212</v>
      </c>
      <c r="C6" s="145">
        <f>D6/$D$1</f>
        <v>10.4081561302682</v>
      </c>
      <c r="D6" s="146">
        <f>AV6</f>
        <v>905.50958333333335</v>
      </c>
      <c r="F6" s="145">
        <f>G6/$D$1</f>
        <v>249.79574712643677</v>
      </c>
      <c r="G6" s="146">
        <f>AS6</f>
        <v>21732.23</v>
      </c>
      <c r="H6" s="154"/>
      <c r="I6" s="207">
        <v>12</v>
      </c>
      <c r="J6" s="207">
        <f>VLOOKUP(I$3,[48]A_C!B6:F386,5,FALSE)</f>
        <v>317.59000000000003</v>
      </c>
      <c r="K6" s="207">
        <f>I6*J6</f>
        <v>3811.0800000000004</v>
      </c>
      <c r="L6" s="207">
        <v>2</v>
      </c>
      <c r="M6" s="207">
        <f>VLOOKUP(L$3,[48]A_C!B6:F386,5,FALSE)</f>
        <v>622.96499999999992</v>
      </c>
      <c r="N6" s="207">
        <f>L6*M6</f>
        <v>1245.9299999999998</v>
      </c>
      <c r="O6" s="207">
        <v>2</v>
      </c>
      <c r="P6" s="207">
        <f>VLOOKUP(O$3,[48]A_C!B6:F386,5,FALSE)</f>
        <v>989.41499999999996</v>
      </c>
      <c r="Q6" s="207">
        <f>O6*P6</f>
        <v>1978.83</v>
      </c>
      <c r="R6" s="207">
        <v>2</v>
      </c>
      <c r="S6" s="207">
        <f>VLOOKUP(R$3,[48]A_C!B6:F386,5,FALSE)</f>
        <v>911.76249999999993</v>
      </c>
      <c r="T6" s="207">
        <f>R6*S6</f>
        <v>1823.5249999999999</v>
      </c>
      <c r="U6" s="207">
        <v>8</v>
      </c>
      <c r="V6" s="207">
        <f>VLOOKUP(U$3,[48]A_C!B6:F386,5,FALSE)</f>
        <v>149.19749999999999</v>
      </c>
      <c r="W6" s="207">
        <f>U6*V6</f>
        <v>1193.58</v>
      </c>
      <c r="X6" s="207">
        <v>8</v>
      </c>
      <c r="Y6" s="207">
        <f>VLOOKUP(X$3,[48]A_C!B6:F386,5,FALSE)</f>
        <v>318.46249999999998</v>
      </c>
      <c r="Z6" s="207">
        <f>X6*Y6</f>
        <v>2547.6999999999998</v>
      </c>
      <c r="AA6" s="207">
        <v>1</v>
      </c>
      <c r="AB6" s="207">
        <f>VLOOKUP($AA$3,[48]A_C!B6:F386,5,FALSE)</f>
        <v>3402.75</v>
      </c>
      <c r="AC6" s="207">
        <f>AA6*AB6</f>
        <v>3402.75</v>
      </c>
      <c r="AD6" s="207">
        <v>0</v>
      </c>
      <c r="AE6" s="207">
        <v>0</v>
      </c>
      <c r="AF6" s="207">
        <f>AD6*AE6</f>
        <v>0</v>
      </c>
      <c r="AG6" s="207">
        <v>1</v>
      </c>
      <c r="AH6" s="207">
        <f>VLOOKUP(AG$3,[48]A_C!B6:F386,5,FALSE)</f>
        <v>5033.4524999999994</v>
      </c>
      <c r="AI6" s="207">
        <f>AG6*AH6</f>
        <v>5033.4524999999994</v>
      </c>
      <c r="AJ6" s="207">
        <v>1</v>
      </c>
      <c r="AK6" s="207">
        <f>VLOOKUP(AJ$3,[48]A_C!B6:F386,5,FALSE)</f>
        <v>508.66750000000002</v>
      </c>
      <c r="AL6" s="207">
        <f>AJ6*AK6</f>
        <v>508.66750000000002</v>
      </c>
      <c r="AM6" s="207">
        <v>1</v>
      </c>
      <c r="AN6" s="207">
        <f>VLOOKUP(AM$3,[48]A_C!B6:F386,5,FALSE)</f>
        <v>186.715</v>
      </c>
      <c r="AO6" s="207">
        <f>AM6*AN6</f>
        <v>186.715</v>
      </c>
      <c r="AP6" s="207"/>
      <c r="AQ6" s="207">
        <f>VLOOKUP(AP$3,[48]A_C!B6:F386,5,FALSE)</f>
        <v>146.57999999999998</v>
      </c>
      <c r="AR6" s="207">
        <f>AP6*AQ6</f>
        <v>0</v>
      </c>
      <c r="AS6" s="174">
        <f>K6+N6+Q6+T6+W6+Z6+AC6+AF6+AI6+AL6+AO6+AR6</f>
        <v>21732.23</v>
      </c>
      <c r="AT6" s="172">
        <v>0</v>
      </c>
      <c r="AU6" s="173">
        <v>24</v>
      </c>
      <c r="AV6" s="174">
        <f>(AS6*(1-AT6))/AU6</f>
        <v>905.50958333333335</v>
      </c>
    </row>
    <row r="7" spans="2:49" ht="20.100000000000001" customHeight="1">
      <c r="B7" s="213" t="s">
        <v>213</v>
      </c>
      <c r="C7" s="145">
        <f>D7/$D$1</f>
        <v>6.3958261494252868</v>
      </c>
      <c r="D7" s="146">
        <f>AV7</f>
        <v>556.43687499999999</v>
      </c>
      <c r="F7" s="145">
        <f>G7/$D$1</f>
        <v>153.49982758620689</v>
      </c>
      <c r="G7" s="146">
        <f>AS7</f>
        <v>13354.485000000001</v>
      </c>
      <c r="H7" s="154"/>
      <c r="I7" s="207">
        <v>6</v>
      </c>
      <c r="J7" s="207">
        <f>VLOOKUP(I$3,[48]A_C!B7:F387,5,FALSE)</f>
        <v>317.59000000000003</v>
      </c>
      <c r="K7" s="207">
        <f>I7*J7</f>
        <v>1905.5400000000002</v>
      </c>
      <c r="L7" s="207">
        <v>2</v>
      </c>
      <c r="M7" s="207">
        <f>VLOOKUP(L$3,[48]A_C!B7:F387,5,FALSE)</f>
        <v>622.96499999999992</v>
      </c>
      <c r="N7" s="207">
        <f>L7*M7</f>
        <v>1245.9299999999998</v>
      </c>
      <c r="O7" s="207">
        <v>1</v>
      </c>
      <c r="P7" s="207">
        <f>VLOOKUP(O$3,[48]A_C!B7:F387,5,FALSE)</f>
        <v>989.41499999999996</v>
      </c>
      <c r="Q7" s="207">
        <f>O7*P7</f>
        <v>989.41499999999996</v>
      </c>
      <c r="R7" s="207">
        <v>1</v>
      </c>
      <c r="S7" s="207">
        <f>VLOOKUP(R$3,[48]A_C!B7:F387,5,FALSE)</f>
        <v>911.76249999999993</v>
      </c>
      <c r="T7" s="207">
        <f>R7*S7</f>
        <v>911.76249999999993</v>
      </c>
      <c r="U7" s="207">
        <v>5</v>
      </c>
      <c r="V7" s="207">
        <f>VLOOKUP(U$3,[48]A_C!B7:F387,5,FALSE)</f>
        <v>149.19749999999999</v>
      </c>
      <c r="W7" s="207">
        <f>U7*V7</f>
        <v>745.98749999999995</v>
      </c>
      <c r="X7" s="207">
        <v>5</v>
      </c>
      <c r="Y7" s="207">
        <f>VLOOKUP(X$3,[48]A_C!B7:F387,5,FALSE)</f>
        <v>318.46249999999998</v>
      </c>
      <c r="Z7" s="207">
        <f>X7*Y7</f>
        <v>1592.3125</v>
      </c>
      <c r="AA7" s="207">
        <v>1</v>
      </c>
      <c r="AB7" s="207">
        <f>VLOOKUP($AA$3,[48]A_C!B7:F387,5,FALSE)</f>
        <v>3402.75</v>
      </c>
      <c r="AC7" s="207">
        <f>AA7*AB7</f>
        <v>3402.75</v>
      </c>
      <c r="AD7" s="207">
        <v>0</v>
      </c>
      <c r="AE7" s="207">
        <v>0</v>
      </c>
      <c r="AF7" s="207">
        <f>AD7*AE7</f>
        <v>0</v>
      </c>
      <c r="AG7" s="207">
        <v>0</v>
      </c>
      <c r="AH7" s="207">
        <f>VLOOKUP(AG$3,[48]A_C!B7:F387,5,FALSE)</f>
        <v>5033.4524999999994</v>
      </c>
      <c r="AI7" s="207">
        <f>AG7*AH7</f>
        <v>0</v>
      </c>
      <c r="AJ7" s="207">
        <v>1</v>
      </c>
      <c r="AK7" s="207">
        <f>VLOOKUP(AJ$3,[48]A_C!B7:F387,5,FALSE)</f>
        <v>508.66750000000002</v>
      </c>
      <c r="AL7" s="207">
        <f>AJ7*AK7</f>
        <v>508.66750000000002</v>
      </c>
      <c r="AM7" s="207">
        <v>0</v>
      </c>
      <c r="AN7" s="207">
        <f>VLOOKUP(AM$3,[48]A_C!B7:F387,5,FALSE)</f>
        <v>186.715</v>
      </c>
      <c r="AO7" s="207">
        <f>AM7*AN7</f>
        <v>0</v>
      </c>
      <c r="AP7" s="207">
        <v>14</v>
      </c>
      <c r="AQ7" s="207">
        <f>VLOOKUP(AP$3,[48]A_C!B7:F387,5,FALSE)</f>
        <v>146.57999999999998</v>
      </c>
      <c r="AR7" s="207">
        <f>AP7*AQ7</f>
        <v>2052.12</v>
      </c>
      <c r="AS7" s="174">
        <f>K7+N7+Q7+T7+W7+Z7+AC7+AF7+AI7+AL7+AO7+AR7</f>
        <v>13354.485000000001</v>
      </c>
      <c r="AT7" s="172">
        <v>0</v>
      </c>
      <c r="AU7" s="173">
        <v>24</v>
      </c>
      <c r="AV7" s="174">
        <f>(AS7*(1-AT7))/AU7</f>
        <v>556.43687499999999</v>
      </c>
    </row>
    <row r="8" spans="2:49" ht="20.100000000000001" customHeight="1">
      <c r="B8" s="213" t="s">
        <v>214</v>
      </c>
      <c r="C8" s="145">
        <f>D8/$D$1</f>
        <v>8.9652717911877389</v>
      </c>
      <c r="D8" s="146">
        <f>AV8</f>
        <v>779.9786458333333</v>
      </c>
      <c r="F8" s="145">
        <f>G8/$D$1</f>
        <v>215.16652298850573</v>
      </c>
      <c r="G8" s="146">
        <f>AS8</f>
        <v>18719.487499999999</v>
      </c>
      <c r="H8" s="154"/>
      <c r="I8" s="207">
        <v>12</v>
      </c>
      <c r="J8" s="207">
        <f>VLOOKUP(I$3,[48]A_C!B8:F388,5,FALSE)</f>
        <v>317.59000000000003</v>
      </c>
      <c r="K8" s="207">
        <f>I8*J8</f>
        <v>3811.0800000000004</v>
      </c>
      <c r="L8" s="207">
        <v>2</v>
      </c>
      <c r="M8" s="207">
        <f>VLOOKUP(L$3,[48]A_C!B8:F388,5,FALSE)</f>
        <v>622.96499999999992</v>
      </c>
      <c r="N8" s="207">
        <f>L8*M8</f>
        <v>1245.9299999999998</v>
      </c>
      <c r="O8" s="207">
        <v>1</v>
      </c>
      <c r="P8" s="207">
        <f>VLOOKUP(O$3,[48]A_C!B8:F388,5,FALSE)</f>
        <v>989.41499999999996</v>
      </c>
      <c r="Q8" s="207">
        <f>O8*P8</f>
        <v>989.41499999999996</v>
      </c>
      <c r="R8" s="207">
        <v>2</v>
      </c>
      <c r="S8" s="207">
        <f>VLOOKUP(R$3,[48]A_C!B8:F388,5,FALSE)</f>
        <v>911.76249999999993</v>
      </c>
      <c r="T8" s="207">
        <f>R8*S8</f>
        <v>1823.5249999999999</v>
      </c>
      <c r="U8" s="207">
        <v>7</v>
      </c>
      <c r="V8" s="207">
        <f>VLOOKUP(U$3,[48]A_C!B8:F388,5,FALSE)</f>
        <v>149.19749999999999</v>
      </c>
      <c r="W8" s="207">
        <f>U8*V8</f>
        <v>1044.3824999999999</v>
      </c>
      <c r="X8" s="207">
        <v>7</v>
      </c>
      <c r="Y8" s="207">
        <f>VLOOKUP(X$3,[48]A_C!B8:F388,5,FALSE)</f>
        <v>318.46249999999998</v>
      </c>
      <c r="Z8" s="207">
        <f>X8*Y8</f>
        <v>2229.2374999999997</v>
      </c>
      <c r="AA8" s="207">
        <v>1</v>
      </c>
      <c r="AB8" s="207">
        <f>VLOOKUP($AA$3,[48]A_C!B8:F388,5,FALSE)</f>
        <v>3402.75</v>
      </c>
      <c r="AC8" s="207">
        <f>AA8*AB8</f>
        <v>3402.75</v>
      </c>
      <c r="AD8" s="207">
        <v>0</v>
      </c>
      <c r="AE8" s="207">
        <v>0</v>
      </c>
      <c r="AF8" s="207">
        <f>AD8*AE8</f>
        <v>0</v>
      </c>
      <c r="AG8" s="207">
        <v>0</v>
      </c>
      <c r="AH8" s="207">
        <f>VLOOKUP(AG$3,[48]A_C!B8:F388,5,FALSE)</f>
        <v>5033.4524999999994</v>
      </c>
      <c r="AI8" s="207">
        <f>AG8*AH8</f>
        <v>0</v>
      </c>
      <c r="AJ8" s="207">
        <v>1</v>
      </c>
      <c r="AK8" s="207">
        <f>VLOOKUP(AJ$3,[48]A_C!B8:F388,5,FALSE)</f>
        <v>508.66750000000002</v>
      </c>
      <c r="AL8" s="207">
        <f>AJ8*AK8</f>
        <v>508.66750000000002</v>
      </c>
      <c r="AM8" s="207">
        <v>0</v>
      </c>
      <c r="AN8" s="207">
        <f>VLOOKUP(AM$3,[48]A_C!B8:F388,5,FALSE)</f>
        <v>186.715</v>
      </c>
      <c r="AO8" s="207">
        <f>AM8*AN8</f>
        <v>0</v>
      </c>
      <c r="AP8" s="207">
        <v>25</v>
      </c>
      <c r="AQ8" s="207">
        <f>VLOOKUP(AP$3,[48]A_C!B8:F388,5,FALSE)</f>
        <v>146.57999999999998</v>
      </c>
      <c r="AR8" s="207">
        <f>AP8*AQ8</f>
        <v>3664.4999999999995</v>
      </c>
      <c r="AS8" s="174">
        <f>K8+N8+Q8+T8+W8+Z8+AC8+AF8+AI8+AL8+AO8+AR8</f>
        <v>18719.487499999999</v>
      </c>
      <c r="AT8" s="172">
        <v>0</v>
      </c>
      <c r="AU8" s="173">
        <v>24</v>
      </c>
      <c r="AV8" s="174">
        <f>(AS8*(1-AT8))/AU8</f>
        <v>779.9786458333333</v>
      </c>
    </row>
    <row r="9" spans="2:49" ht="20.100000000000001" customHeight="1">
      <c r="B9" s="185"/>
      <c r="F9" s="211"/>
    </row>
    <row r="10" spans="2:49" ht="20.100000000000001" customHeight="1">
      <c r="B10" s="185"/>
      <c r="C10" s="153"/>
      <c r="D10" s="154"/>
      <c r="G10" s="165"/>
      <c r="H10" s="165"/>
      <c r="I10" s="946" t="s">
        <v>57</v>
      </c>
      <c r="J10" s="946"/>
      <c r="K10" s="947"/>
    </row>
    <row r="11" spans="2:49" ht="20.100000000000001" customHeight="1">
      <c r="B11" s="185"/>
      <c r="C11" s="153"/>
      <c r="D11" s="154"/>
      <c r="G11" s="165"/>
      <c r="H11" s="165"/>
      <c r="I11" s="946" t="s">
        <v>65</v>
      </c>
      <c r="J11" s="947"/>
      <c r="K11" s="952" t="s">
        <v>75</v>
      </c>
    </row>
    <row r="12" spans="2:49" ht="39.950000000000003" customHeight="1">
      <c r="B12" s="155" t="s">
        <v>215</v>
      </c>
      <c r="C12" s="189" t="s">
        <v>36</v>
      </c>
      <c r="D12" s="189" t="s">
        <v>37</v>
      </c>
      <c r="F12" s="141" t="s">
        <v>60</v>
      </c>
      <c r="G12" s="141" t="s">
        <v>61</v>
      </c>
      <c r="H12" s="166"/>
      <c r="I12" s="167" t="s">
        <v>76</v>
      </c>
      <c r="J12" s="168" t="s">
        <v>63</v>
      </c>
      <c r="K12" s="951"/>
    </row>
    <row r="13" spans="2:49" ht="20.100000000000001" customHeight="1">
      <c r="B13" s="214" t="s">
        <v>216</v>
      </c>
      <c r="C13" s="215">
        <f t="shared" ref="C13:C37" si="0">D13/$D$1</f>
        <v>1.4367816091954022</v>
      </c>
      <c r="D13" s="216">
        <f t="shared" ref="D13:D37" si="1">K13</f>
        <v>125</v>
      </c>
      <c r="F13" s="215">
        <f t="shared" ref="F13:F37" si="2">G13/$D$1</f>
        <v>51.724137931034484</v>
      </c>
      <c r="G13" s="146">
        <f>VLOOKUP(B13,[48]A_C!B7:F385,5,FALSE)</f>
        <v>4500</v>
      </c>
      <c r="H13" s="154"/>
      <c r="I13" s="217">
        <v>0</v>
      </c>
      <c r="J13" s="218">
        <v>36</v>
      </c>
      <c r="K13" s="219">
        <f t="shared" ref="K13:K37" si="3">G13*(1-I13)/J13</f>
        <v>125</v>
      </c>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1"/>
    </row>
    <row r="14" spans="2:49" ht="20.100000000000001" customHeight="1">
      <c r="B14" s="222" t="s">
        <v>217</v>
      </c>
      <c r="C14" s="145">
        <f t="shared" si="0"/>
        <v>0.70522030651340994</v>
      </c>
      <c r="D14" s="146">
        <f t="shared" si="1"/>
        <v>61.354166666666664</v>
      </c>
      <c r="F14" s="145">
        <f t="shared" si="2"/>
        <v>25.387931034482758</v>
      </c>
      <c r="G14" s="146">
        <f>VLOOKUP(B14,[48]A_C!B8:F386,5,FALSE)</f>
        <v>2208.75</v>
      </c>
      <c r="H14" s="154"/>
      <c r="I14" s="172">
        <v>0</v>
      </c>
      <c r="J14" s="173">
        <v>36</v>
      </c>
      <c r="K14" s="174">
        <f t="shared" si="3"/>
        <v>61.354166666666664</v>
      </c>
      <c r="M14" s="220"/>
      <c r="N14" s="220"/>
      <c r="O14" s="220"/>
      <c r="P14" s="220"/>
      <c r="Q14" s="220"/>
      <c r="R14" s="220"/>
      <c r="S14" s="220"/>
      <c r="T14" s="220"/>
      <c r="U14" s="220"/>
      <c r="V14" s="220"/>
      <c r="W14" s="220"/>
      <c r="X14" s="220"/>
      <c r="Y14" s="220"/>
      <c r="Z14" s="220"/>
      <c r="AA14" s="220"/>
      <c r="AB14" s="220"/>
      <c r="AC14" s="220"/>
      <c r="AD14" s="220"/>
      <c r="AE14" s="220"/>
      <c r="AF14" s="220"/>
      <c r="AG14" s="220"/>
      <c r="AH14" s="220"/>
      <c r="AI14" s="220"/>
      <c r="AJ14" s="220"/>
      <c r="AK14" s="220"/>
      <c r="AL14" s="220"/>
      <c r="AM14" s="220"/>
      <c r="AN14" s="220"/>
      <c r="AO14" s="220"/>
      <c r="AP14" s="220"/>
      <c r="AQ14" s="220"/>
      <c r="AR14" s="220"/>
      <c r="AS14" s="220"/>
      <c r="AT14" s="220"/>
      <c r="AU14" s="220"/>
      <c r="AV14" s="220"/>
      <c r="AW14" s="221"/>
    </row>
    <row r="15" spans="2:49" ht="20.100000000000001" customHeight="1">
      <c r="B15" s="222" t="s">
        <v>218</v>
      </c>
      <c r="C15" s="145">
        <f t="shared" si="0"/>
        <v>1.8882503192848019</v>
      </c>
      <c r="D15" s="146">
        <f t="shared" si="1"/>
        <v>164.27777777777777</v>
      </c>
      <c r="F15" s="145">
        <f t="shared" si="2"/>
        <v>67.977011494252878</v>
      </c>
      <c r="G15" s="146">
        <f>VLOOKUP(B15,[48]A_C!B9:F387,5,FALSE)</f>
        <v>5914</v>
      </c>
      <c r="H15" s="154"/>
      <c r="I15" s="172">
        <v>0</v>
      </c>
      <c r="J15" s="173">
        <v>36</v>
      </c>
      <c r="K15" s="174">
        <f t="shared" si="3"/>
        <v>164.27777777777777</v>
      </c>
      <c r="M15" s="220"/>
      <c r="N15" s="220"/>
      <c r="O15" s="220"/>
      <c r="P15" s="220"/>
      <c r="Q15" s="220"/>
      <c r="R15" s="220"/>
      <c r="S15" s="220"/>
      <c r="T15" s="220"/>
      <c r="U15" s="220"/>
      <c r="V15" s="220"/>
      <c r="W15" s="220"/>
      <c r="X15" s="220"/>
      <c r="Y15" s="220"/>
      <c r="Z15" s="220"/>
      <c r="AA15" s="220"/>
      <c r="AB15" s="220"/>
      <c r="AC15" s="220"/>
      <c r="AD15" s="220"/>
      <c r="AE15" s="220"/>
      <c r="AF15" s="220"/>
      <c r="AG15" s="220"/>
      <c r="AH15" s="220"/>
      <c r="AI15" s="220"/>
      <c r="AJ15" s="220"/>
      <c r="AK15" s="220"/>
      <c r="AL15" s="220"/>
      <c r="AM15" s="220"/>
      <c r="AN15" s="220"/>
      <c r="AO15" s="220"/>
      <c r="AP15" s="220"/>
      <c r="AQ15" s="220"/>
      <c r="AR15" s="220"/>
      <c r="AS15" s="220"/>
      <c r="AT15" s="220"/>
      <c r="AU15" s="220"/>
      <c r="AV15" s="220"/>
      <c r="AW15" s="221"/>
    </row>
    <row r="16" spans="2:49" ht="20.100000000000001" customHeight="1">
      <c r="B16" s="222" t="s">
        <v>219</v>
      </c>
      <c r="C16" s="145">
        <f t="shared" si="0"/>
        <v>0.63856960408684549</v>
      </c>
      <c r="D16" s="146">
        <f t="shared" si="1"/>
        <v>55.555555555555557</v>
      </c>
      <c r="F16" s="145">
        <f t="shared" si="2"/>
        <v>22.988505747126435</v>
      </c>
      <c r="G16" s="146">
        <f>VLOOKUP(B16,[48]A_C!B10:F388,5,FALSE)</f>
        <v>2000</v>
      </c>
      <c r="H16" s="154"/>
      <c r="I16" s="172">
        <v>0</v>
      </c>
      <c r="J16" s="173">
        <v>36</v>
      </c>
      <c r="K16" s="174">
        <f t="shared" si="3"/>
        <v>55.555555555555557</v>
      </c>
    </row>
    <row r="17" spans="2:11" ht="20.100000000000001" customHeight="1">
      <c r="B17" s="222" t="s">
        <v>220</v>
      </c>
      <c r="C17" s="145">
        <f t="shared" si="0"/>
        <v>1.2132822477650065</v>
      </c>
      <c r="D17" s="146">
        <f t="shared" si="1"/>
        <v>105.55555555555556</v>
      </c>
      <c r="F17" s="145">
        <f t="shared" si="2"/>
        <v>43.678160919540232</v>
      </c>
      <c r="G17" s="146">
        <f>VLOOKUP(B17,[48]A_C!B11:F389,5,FALSE)</f>
        <v>3800</v>
      </c>
      <c r="H17" s="154"/>
      <c r="I17" s="172">
        <v>0</v>
      </c>
      <c r="J17" s="173">
        <v>36</v>
      </c>
      <c r="K17" s="174">
        <f t="shared" si="3"/>
        <v>105.55555555555556</v>
      </c>
    </row>
    <row r="18" spans="2:11" ht="20.100000000000001" customHeight="1">
      <c r="B18" s="213" t="s">
        <v>221</v>
      </c>
      <c r="C18" s="145">
        <f t="shared" si="0"/>
        <v>1.8837803320561941</v>
      </c>
      <c r="D18" s="146">
        <f t="shared" si="1"/>
        <v>163.88888888888889</v>
      </c>
      <c r="F18" s="145">
        <f t="shared" si="2"/>
        <v>67.816091954022994</v>
      </c>
      <c r="G18" s="146">
        <f>VLOOKUP(B18,[48]A_C!B12:F390,5,FALSE)</f>
        <v>5900</v>
      </c>
      <c r="H18" s="154"/>
      <c r="I18" s="172">
        <v>0</v>
      </c>
      <c r="J18" s="173">
        <v>36</v>
      </c>
      <c r="K18" s="174">
        <f t="shared" si="3"/>
        <v>163.88888888888889</v>
      </c>
    </row>
    <row r="19" spans="2:11" ht="20.100000000000001" customHeight="1">
      <c r="B19" s="213" t="s">
        <v>222</v>
      </c>
      <c r="C19" s="145">
        <f t="shared" si="0"/>
        <v>0.26404853128991057</v>
      </c>
      <c r="D19" s="146">
        <f t="shared" si="1"/>
        <v>22.972222222222221</v>
      </c>
      <c r="F19" s="145">
        <f t="shared" si="2"/>
        <v>9.5057471264367823</v>
      </c>
      <c r="G19" s="146">
        <f>VLOOKUP(B19,[48]A_C!B13:F391,5,FALSE)</f>
        <v>827</v>
      </c>
      <c r="H19" s="154"/>
      <c r="I19" s="172">
        <v>0</v>
      </c>
      <c r="J19" s="173">
        <v>36</v>
      </c>
      <c r="K19" s="174">
        <f t="shared" si="3"/>
        <v>22.972222222222221</v>
      </c>
    </row>
    <row r="20" spans="2:11" ht="20.100000000000001" customHeight="1">
      <c r="B20" s="213" t="s">
        <v>223</v>
      </c>
      <c r="C20" s="145">
        <f t="shared" si="0"/>
        <v>8.7751436781609193</v>
      </c>
      <c r="D20" s="146">
        <f t="shared" si="1"/>
        <v>763.4375</v>
      </c>
      <c r="F20" s="145">
        <f t="shared" si="2"/>
        <v>315.90517241379308</v>
      </c>
      <c r="G20" s="146">
        <f>VLOOKUP(B20,[48]A_C!B14:F392,5,FALSE)</f>
        <v>27483.75</v>
      </c>
      <c r="H20" s="154"/>
      <c r="I20" s="172">
        <v>0</v>
      </c>
      <c r="J20" s="173">
        <v>36</v>
      </c>
      <c r="K20" s="174">
        <f t="shared" si="3"/>
        <v>763.4375</v>
      </c>
    </row>
    <row r="21" spans="2:11" ht="20.100000000000001" customHeight="1">
      <c r="B21" s="213" t="s">
        <v>224</v>
      </c>
      <c r="C21" s="145">
        <f t="shared" si="0"/>
        <v>1.2923140166028098</v>
      </c>
      <c r="D21" s="146">
        <f t="shared" si="1"/>
        <v>112.43131944444445</v>
      </c>
      <c r="F21" s="145">
        <f t="shared" si="2"/>
        <v>46.523304597701149</v>
      </c>
      <c r="G21" s="146">
        <f>VLOOKUP(B21,[48]A_C!B15:F393,5,FALSE)</f>
        <v>4047.5275000000001</v>
      </c>
      <c r="H21" s="154"/>
      <c r="I21" s="172">
        <v>0</v>
      </c>
      <c r="J21" s="173">
        <v>36</v>
      </c>
      <c r="K21" s="174">
        <f t="shared" si="3"/>
        <v>112.43131944444445</v>
      </c>
    </row>
    <row r="22" spans="2:11" ht="20.100000000000001" customHeight="1">
      <c r="B22" s="213" t="str">
        <f>[48]A_C!B204</f>
        <v>VÁLVULA DE RETENCIÓN ABAC 1/4".</v>
      </c>
      <c r="C22" s="145">
        <f t="shared" si="0"/>
        <v>1.0864463601532566</v>
      </c>
      <c r="D22" s="146">
        <f t="shared" si="1"/>
        <v>94.520833333333329</v>
      </c>
      <c r="F22" s="145">
        <f t="shared" si="2"/>
        <v>39.112068965517238</v>
      </c>
      <c r="G22" s="146">
        <f>VLOOKUP(B22,[48]A_C!B16:F394,5,FALSE)</f>
        <v>3402.75</v>
      </c>
      <c r="H22" s="154"/>
      <c r="I22" s="172">
        <v>0</v>
      </c>
      <c r="J22" s="173">
        <v>36</v>
      </c>
      <c r="K22" s="174">
        <f t="shared" si="3"/>
        <v>94.520833333333329</v>
      </c>
    </row>
    <row r="23" spans="2:11" ht="20.100000000000001" customHeight="1">
      <c r="B23" s="213" t="str">
        <f>[48]A_C!B206</f>
        <v>VÁLVULA DE RETENCIÓN ABAC 1/2".</v>
      </c>
      <c r="C23" s="145">
        <f t="shared" si="0"/>
        <v>1.5700542784163474</v>
      </c>
      <c r="D23" s="146">
        <f t="shared" si="1"/>
        <v>136.59472222222223</v>
      </c>
      <c r="F23" s="145">
        <f t="shared" si="2"/>
        <v>56.521954022988503</v>
      </c>
      <c r="G23" s="146">
        <f>VLOOKUP(B23,[48]A_C!B17:F395,5,FALSE)</f>
        <v>4917.41</v>
      </c>
      <c r="H23" s="154"/>
      <c r="I23" s="172">
        <v>0</v>
      </c>
      <c r="J23" s="173">
        <v>36</v>
      </c>
      <c r="K23" s="174">
        <f t="shared" si="3"/>
        <v>136.59472222222223</v>
      </c>
    </row>
    <row r="24" spans="2:11" ht="20.100000000000001" customHeight="1">
      <c r="B24" s="213" t="s">
        <v>225</v>
      </c>
      <c r="C24" s="145">
        <f t="shared" si="0"/>
        <v>2.4835049489144319</v>
      </c>
      <c r="D24" s="146">
        <f t="shared" si="1"/>
        <v>216.06493055555558</v>
      </c>
      <c r="F24" s="145">
        <f t="shared" si="2"/>
        <v>89.406178160919552</v>
      </c>
      <c r="G24" s="146">
        <f>VLOOKUP(B24,[48]A_C!B19:F397,5,FALSE)</f>
        <v>7778.3375000000005</v>
      </c>
      <c r="H24" s="154"/>
      <c r="I24" s="172">
        <v>0</v>
      </c>
      <c r="J24" s="173">
        <v>36</v>
      </c>
      <c r="K24" s="174">
        <f t="shared" si="3"/>
        <v>216.06493055555558</v>
      </c>
    </row>
    <row r="25" spans="2:11" ht="20.100000000000001" customHeight="1">
      <c r="B25" s="213" t="s">
        <v>226</v>
      </c>
      <c r="C25" s="145" t="e">
        <f t="shared" si="0"/>
        <v>#N/A</v>
      </c>
      <c r="D25" s="146" t="e">
        <f t="shared" si="1"/>
        <v>#N/A</v>
      </c>
      <c r="F25" s="145" t="e">
        <f t="shared" si="2"/>
        <v>#N/A</v>
      </c>
      <c r="G25" s="146" t="e">
        <f>VLOOKUP(B25,[48]A_C!B20:F398,5,FALSE)</f>
        <v>#N/A</v>
      </c>
      <c r="H25" s="154"/>
      <c r="I25" s="172">
        <v>0</v>
      </c>
      <c r="J25" s="173">
        <v>36</v>
      </c>
      <c r="K25" s="174" t="e">
        <f t="shared" si="3"/>
        <v>#N/A</v>
      </c>
    </row>
    <row r="26" spans="2:11" ht="20.100000000000001" customHeight="1">
      <c r="B26" s="213" t="s">
        <v>227</v>
      </c>
      <c r="C26" s="145">
        <f t="shared" si="0"/>
        <v>1.5625</v>
      </c>
      <c r="D26" s="146">
        <f t="shared" si="1"/>
        <v>135.9375</v>
      </c>
      <c r="F26" s="145">
        <f t="shared" si="2"/>
        <v>56.25</v>
      </c>
      <c r="G26" s="146">
        <f>VLOOKUP(B26,[48]A_C!B21:F399,5,FALSE)</f>
        <v>4893.75</v>
      </c>
      <c r="H26" s="154"/>
      <c r="I26" s="172">
        <v>0</v>
      </c>
      <c r="J26" s="173">
        <v>36</v>
      </c>
      <c r="K26" s="174">
        <f t="shared" si="3"/>
        <v>135.9375</v>
      </c>
    </row>
    <row r="27" spans="2:11" ht="20.100000000000001" customHeight="1">
      <c r="B27" s="213" t="s">
        <v>228</v>
      </c>
      <c r="C27" s="145">
        <f t="shared" si="0"/>
        <v>1.5878831417624522</v>
      </c>
      <c r="D27" s="146">
        <f t="shared" si="1"/>
        <v>138.14583333333334</v>
      </c>
      <c r="F27" s="145">
        <f t="shared" si="2"/>
        <v>57.163793103448278</v>
      </c>
      <c r="G27" s="146">
        <f>VLOOKUP(B27,[48]A_C!B22:F400,5,FALSE)</f>
        <v>4973.25</v>
      </c>
      <c r="H27" s="154"/>
      <c r="I27" s="172">
        <v>0</v>
      </c>
      <c r="J27" s="173">
        <v>36</v>
      </c>
      <c r="K27" s="174">
        <f t="shared" si="3"/>
        <v>138.14583333333334</v>
      </c>
    </row>
    <row r="28" spans="2:11" ht="20.100000000000001" customHeight="1">
      <c r="B28" s="213" t="s">
        <v>229</v>
      </c>
      <c r="C28" s="145">
        <f t="shared" si="0"/>
        <v>4.4778304597701153</v>
      </c>
      <c r="D28" s="146">
        <f t="shared" si="1"/>
        <v>389.57125000000002</v>
      </c>
      <c r="F28" s="145">
        <f t="shared" si="2"/>
        <v>161.20189655172413</v>
      </c>
      <c r="G28" s="146">
        <f>VLOOKUP(B28,[48]A_C!B23:F401,5,FALSE)</f>
        <v>14024.565000000001</v>
      </c>
      <c r="H28" s="154"/>
      <c r="I28" s="172">
        <v>0</v>
      </c>
      <c r="J28" s="173">
        <v>36</v>
      </c>
      <c r="K28" s="174">
        <f t="shared" si="3"/>
        <v>389.57125000000002</v>
      </c>
    </row>
    <row r="29" spans="2:11" ht="20.100000000000001" customHeight="1">
      <c r="B29" s="213" t="s">
        <v>230</v>
      </c>
      <c r="C29" s="145">
        <f t="shared" si="0"/>
        <v>4.9631098339719033</v>
      </c>
      <c r="D29" s="146">
        <f t="shared" si="1"/>
        <v>431.79055555555556</v>
      </c>
      <c r="F29" s="145">
        <f t="shared" si="2"/>
        <v>178.6719540229885</v>
      </c>
      <c r="G29" s="146">
        <f>VLOOKUP(B29,[48]A_C!B24:F402,5,FALSE)</f>
        <v>15544.46</v>
      </c>
      <c r="H29" s="154"/>
      <c r="I29" s="172">
        <v>0</v>
      </c>
      <c r="J29" s="173">
        <v>36</v>
      </c>
      <c r="K29" s="174">
        <f t="shared" si="3"/>
        <v>431.79055555555556</v>
      </c>
    </row>
    <row r="30" spans="2:11" ht="20.100000000000001" customHeight="1">
      <c r="B30" s="213" t="s">
        <v>231</v>
      </c>
      <c r="C30" s="145">
        <f t="shared" si="0"/>
        <v>1.4611310664112387</v>
      </c>
      <c r="D30" s="146">
        <f t="shared" si="1"/>
        <v>127.11840277777777</v>
      </c>
      <c r="F30" s="145">
        <f t="shared" si="2"/>
        <v>52.600718390804595</v>
      </c>
      <c r="G30" s="146">
        <f>VLOOKUP(B30,[48]A_C!B25:F403,5,FALSE)</f>
        <v>4576.2624999999998</v>
      </c>
      <c r="H30" s="154"/>
      <c r="I30" s="172">
        <v>0</v>
      </c>
      <c r="J30" s="173">
        <v>36</v>
      </c>
      <c r="K30" s="174">
        <f t="shared" si="3"/>
        <v>127.11840277777777</v>
      </c>
    </row>
    <row r="31" spans="2:11" ht="20.100000000000001" customHeight="1">
      <c r="B31" s="213" t="s">
        <v>232</v>
      </c>
      <c r="C31" s="145">
        <f t="shared" si="0"/>
        <v>1.7756433588761178</v>
      </c>
      <c r="D31" s="146">
        <f t="shared" si="1"/>
        <v>154.48097222222225</v>
      </c>
      <c r="F31" s="145">
        <f t="shared" si="2"/>
        <v>63.923160919540237</v>
      </c>
      <c r="G31" s="146">
        <f>VLOOKUP(B31,[48]A_C!B26:F404,5,FALSE)</f>
        <v>5561.3150000000005</v>
      </c>
      <c r="H31" s="154"/>
      <c r="I31" s="172">
        <v>0</v>
      </c>
      <c r="J31" s="173">
        <v>36</v>
      </c>
      <c r="K31" s="174">
        <f t="shared" si="3"/>
        <v>154.48097222222225</v>
      </c>
    </row>
    <row r="32" spans="2:11" ht="20.100000000000001" customHeight="1">
      <c r="B32" s="213" t="s">
        <v>233</v>
      </c>
      <c r="C32" s="145">
        <f t="shared" si="0"/>
        <v>1.8987739463601532</v>
      </c>
      <c r="D32" s="146">
        <f t="shared" si="1"/>
        <v>165.19333333333333</v>
      </c>
      <c r="F32" s="145">
        <f t="shared" si="2"/>
        <v>68.355862068965521</v>
      </c>
      <c r="G32" s="146">
        <f>VLOOKUP(B32,[48]A_C!B27:F405,5,FALSE)</f>
        <v>5946.96</v>
      </c>
      <c r="H32" s="154"/>
      <c r="I32" s="172">
        <v>0</v>
      </c>
      <c r="J32" s="173">
        <v>36</v>
      </c>
      <c r="K32" s="174">
        <f t="shared" si="3"/>
        <v>165.19333333333333</v>
      </c>
    </row>
    <row r="33" spans="2:11" ht="20.100000000000001" customHeight="1">
      <c r="B33" s="213" t="s">
        <v>234</v>
      </c>
      <c r="C33" s="145">
        <f t="shared" si="0"/>
        <v>1.9542105683269479</v>
      </c>
      <c r="D33" s="146">
        <f t="shared" si="1"/>
        <v>170.01631944444446</v>
      </c>
      <c r="F33" s="145">
        <f t="shared" si="2"/>
        <v>70.351580459770119</v>
      </c>
      <c r="G33" s="146">
        <f>VLOOKUP(B33,[48]A_C!B28:F406,5,FALSE)</f>
        <v>6120.5875000000005</v>
      </c>
      <c r="H33" s="154"/>
      <c r="I33" s="172">
        <v>0</v>
      </c>
      <c r="J33" s="173">
        <v>36</v>
      </c>
      <c r="K33" s="174">
        <f t="shared" si="3"/>
        <v>170.01631944444446</v>
      </c>
    </row>
    <row r="34" spans="2:11" ht="20.100000000000001" customHeight="1">
      <c r="B34" s="213" t="s">
        <v>235</v>
      </c>
      <c r="C34" s="145">
        <f t="shared" si="0"/>
        <v>24.458971902937421</v>
      </c>
      <c r="D34" s="146">
        <f t="shared" si="1"/>
        <v>2127.9305555555557</v>
      </c>
      <c r="F34" s="145">
        <f t="shared" si="2"/>
        <v>880.52298850574709</v>
      </c>
      <c r="G34" s="146">
        <f>VLOOKUP(B34,[48]A_C!B29:F407,5,FALSE)</f>
        <v>76605.5</v>
      </c>
      <c r="H34" s="154"/>
      <c r="I34" s="172">
        <v>0</v>
      </c>
      <c r="J34" s="173">
        <v>36</v>
      </c>
      <c r="K34" s="174">
        <f t="shared" si="3"/>
        <v>2127.9305555555557</v>
      </c>
    </row>
    <row r="35" spans="2:11" ht="20.100000000000001" customHeight="1">
      <c r="B35" s="213" t="s">
        <v>236</v>
      </c>
      <c r="C35" s="145">
        <f t="shared" si="0"/>
        <v>5.8222381864623243</v>
      </c>
      <c r="D35" s="146">
        <f t="shared" si="1"/>
        <v>506.53472222222223</v>
      </c>
      <c r="F35" s="145">
        <f t="shared" si="2"/>
        <v>209.60057471264369</v>
      </c>
      <c r="G35" s="146">
        <f>VLOOKUP(B35,[48]A_C!B29:F408,5,FALSE)</f>
        <v>18235.25</v>
      </c>
      <c r="H35" s="154"/>
      <c r="I35" s="172">
        <v>0</v>
      </c>
      <c r="J35" s="173">
        <v>36</v>
      </c>
      <c r="K35" s="174">
        <f t="shared" si="3"/>
        <v>506.53472222222223</v>
      </c>
    </row>
    <row r="36" spans="2:11" ht="20.100000000000001" customHeight="1">
      <c r="B36" s="213" t="s">
        <v>237</v>
      </c>
      <c r="C36" s="145">
        <f t="shared" si="0"/>
        <v>1.7271711366538953</v>
      </c>
      <c r="D36" s="146">
        <f t="shared" si="1"/>
        <v>150.26388888888889</v>
      </c>
      <c r="F36" s="145">
        <f t="shared" si="2"/>
        <v>62.178160919540232</v>
      </c>
      <c r="G36" s="146">
        <f>VLOOKUP(B36,[48]A_C!B29:F409,5,FALSE)</f>
        <v>5409.5</v>
      </c>
      <c r="H36" s="154"/>
      <c r="I36" s="172">
        <v>0</v>
      </c>
      <c r="J36" s="173">
        <v>36</v>
      </c>
      <c r="K36" s="174">
        <f t="shared" si="3"/>
        <v>150.26388888888889</v>
      </c>
    </row>
    <row r="37" spans="2:11" ht="20.100000000000001" customHeight="1">
      <c r="B37" s="213" t="s">
        <v>238</v>
      </c>
      <c r="C37" s="145">
        <f t="shared" si="0"/>
        <v>0.60185185185185186</v>
      </c>
      <c r="D37" s="146">
        <f t="shared" si="1"/>
        <v>52.361111111111114</v>
      </c>
      <c r="F37" s="145">
        <f t="shared" si="2"/>
        <v>21.666666666666668</v>
      </c>
      <c r="G37" s="146">
        <f>VLOOKUP(B37,[48]A_C!B30:F410,5,FALSE)</f>
        <v>1885</v>
      </c>
      <c r="H37" s="154"/>
      <c r="I37" s="172">
        <v>0</v>
      </c>
      <c r="J37" s="173">
        <v>36</v>
      </c>
      <c r="K37" s="174">
        <f t="shared" si="3"/>
        <v>52.361111111111114</v>
      </c>
    </row>
    <row r="38" spans="2:11">
      <c r="G38" s="135"/>
    </row>
    <row r="39" spans="2:11" ht="20.100000000000001" customHeight="1">
      <c r="B39" s="185"/>
      <c r="C39" s="153"/>
      <c r="D39" s="154"/>
      <c r="G39" s="135"/>
      <c r="H39" s="165"/>
      <c r="I39" s="946" t="s">
        <v>57</v>
      </c>
      <c r="J39" s="946"/>
      <c r="K39" s="947"/>
    </row>
    <row r="40" spans="2:11" ht="20.100000000000001" customHeight="1">
      <c r="B40" s="185"/>
      <c r="C40" s="153"/>
      <c r="D40" s="154"/>
      <c r="G40" s="165"/>
      <c r="H40" s="165"/>
      <c r="I40" s="946" t="s">
        <v>65</v>
      </c>
      <c r="J40" s="947"/>
      <c r="K40" s="952" t="s">
        <v>75</v>
      </c>
    </row>
    <row r="41" spans="2:11" ht="39.950000000000003" customHeight="1">
      <c r="B41" s="155" t="s">
        <v>154</v>
      </c>
      <c r="C41" s="189" t="s">
        <v>36</v>
      </c>
      <c r="D41" s="189" t="s">
        <v>37</v>
      </c>
      <c r="F41" s="141" t="s">
        <v>60</v>
      </c>
      <c r="G41" s="141" t="s">
        <v>61</v>
      </c>
      <c r="H41" s="166"/>
      <c r="I41" s="167" t="s">
        <v>76</v>
      </c>
      <c r="J41" s="168" t="s">
        <v>63</v>
      </c>
      <c r="K41" s="951"/>
    </row>
    <row r="42" spans="2:11" ht="20.100000000000001" customHeight="1">
      <c r="B42" s="214" t="s">
        <v>239</v>
      </c>
      <c r="C42" s="215">
        <f>D42/$D$1</f>
        <v>6.0958812260536401</v>
      </c>
      <c r="D42" s="216">
        <f>K42</f>
        <v>530.3416666666667</v>
      </c>
      <c r="F42" s="215">
        <f>G42/$D$1</f>
        <v>73.150574712643689</v>
      </c>
      <c r="G42" s="146">
        <v>6364.1</v>
      </c>
      <c r="H42" s="154"/>
      <c r="I42" s="217">
        <v>0</v>
      </c>
      <c r="J42" s="218">
        <v>12</v>
      </c>
      <c r="K42" s="219">
        <f>G42*(1-I42)/J42</f>
        <v>530.3416666666667</v>
      </c>
    </row>
    <row r="43" spans="2:11" ht="20.100000000000001" customHeight="1">
      <c r="B43" s="214" t="s">
        <v>240</v>
      </c>
      <c r="C43" s="145">
        <f>D43/$D$1</f>
        <v>17.011494252873565</v>
      </c>
      <c r="D43" s="146">
        <f>K43</f>
        <v>1480</v>
      </c>
      <c r="F43" s="145">
        <f>G43/$D$1</f>
        <v>17.011494252873565</v>
      </c>
      <c r="G43" s="146">
        <v>1480</v>
      </c>
      <c r="H43" s="154"/>
      <c r="I43" s="172">
        <v>0</v>
      </c>
      <c r="J43" s="173">
        <v>1</v>
      </c>
      <c r="K43" s="174">
        <f>G43*(1-I43)/J43</f>
        <v>1480</v>
      </c>
    </row>
    <row r="44" spans="2:11" ht="20.100000000000001" customHeight="1"/>
    <row r="45" spans="2:11" ht="20.100000000000001" customHeight="1"/>
    <row r="46" spans="2:11" ht="20.100000000000001" customHeight="1"/>
    <row r="47" spans="2:11" ht="20.100000000000001" customHeight="1"/>
    <row r="48" spans="2:11" ht="20.100000000000001" customHeight="1"/>
    <row r="49" ht="20.100000000000001" customHeight="1"/>
    <row r="50" ht="20.100000000000001" customHeight="1"/>
    <row r="51" ht="20.100000000000001" customHeight="1"/>
    <row r="52" ht="20.100000000000001" customHeight="1"/>
    <row r="53" ht="20.100000000000001" customHeight="1"/>
    <row r="54" ht="20.100000000000001" customHeight="1"/>
    <row r="55" ht="20.100000000000001" customHeight="1"/>
  </sheetData>
  <mergeCells count="22">
    <mergeCell ref="I10:K10"/>
    <mergeCell ref="I11:J11"/>
    <mergeCell ref="K11:K12"/>
    <mergeCell ref="I39:K39"/>
    <mergeCell ref="I40:J40"/>
    <mergeCell ref="K40:K41"/>
    <mergeCell ref="AV3:AV4"/>
    <mergeCell ref="I2:AV2"/>
    <mergeCell ref="I3:K3"/>
    <mergeCell ref="L3:N3"/>
    <mergeCell ref="O3:Q3"/>
    <mergeCell ref="R3:T3"/>
    <mergeCell ref="U3:W3"/>
    <mergeCell ref="X3:Z3"/>
    <mergeCell ref="AA3:AC3"/>
    <mergeCell ref="AD3:AF3"/>
    <mergeCell ref="AG3:AI3"/>
    <mergeCell ref="AJ3:AL3"/>
    <mergeCell ref="AM3:AO3"/>
    <mergeCell ref="AP3:AR3"/>
    <mergeCell ref="AS3:AS4"/>
    <mergeCell ref="AT3:AU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3">
    <tabColor theme="0" tint="-0.14999847407452621"/>
  </sheetPr>
  <dimension ref="B1:O19"/>
  <sheetViews>
    <sheetView showGridLines="0" topLeftCell="A4" workbookViewId="0">
      <selection activeCell="H7" sqref="H7"/>
    </sheetView>
  </sheetViews>
  <sheetFormatPr baseColWidth="10" defaultColWidth="11.42578125" defaultRowHeight="18.75"/>
  <cols>
    <col min="1" max="1" width="2" style="66" customWidth="1"/>
    <col min="2" max="2" width="57.5703125" style="66" bestFit="1" customWidth="1"/>
    <col min="3" max="3" width="13.7109375" style="66" bestFit="1" customWidth="1"/>
    <col min="4" max="4" width="13.85546875" style="66" bestFit="1" customWidth="1"/>
    <col min="5" max="5" width="2" style="67" customWidth="1"/>
    <col min="6" max="6" width="23.5703125" style="66" bestFit="1" customWidth="1"/>
    <col min="7" max="7" width="9.85546875" style="66" bestFit="1" customWidth="1"/>
    <col min="8" max="8" width="18" style="66" bestFit="1" customWidth="1"/>
    <col min="9" max="9" width="15.85546875" style="66" bestFit="1" customWidth="1"/>
    <col min="10" max="10" width="11.28515625" style="66" bestFit="1" customWidth="1"/>
    <col min="11" max="11" width="9.85546875" style="66" bestFit="1" customWidth="1"/>
    <col min="12" max="12" width="18" style="66" bestFit="1" customWidth="1"/>
    <col min="13" max="13" width="15.85546875" style="66" bestFit="1" customWidth="1"/>
    <col min="14" max="14" width="10.7109375" style="66" bestFit="1" customWidth="1"/>
    <col min="15" max="15" width="28.5703125" style="66" bestFit="1" customWidth="1"/>
    <col min="16" max="16384" width="11.42578125" style="66"/>
  </cols>
  <sheetData>
    <row r="1" spans="2:15">
      <c r="B1" s="95" t="s">
        <v>32</v>
      </c>
    </row>
    <row r="3" spans="2:15" ht="20.100000000000001" customHeight="1">
      <c r="B3" s="68" t="s">
        <v>33</v>
      </c>
      <c r="C3" s="69" t="s">
        <v>34</v>
      </c>
      <c r="D3" s="70">
        <v>87</v>
      </c>
    </row>
    <row r="4" spans="2:15" ht="20.100000000000001" customHeight="1"/>
    <row r="5" spans="2:15" ht="39.950000000000003" customHeight="1">
      <c r="B5" s="71" t="s">
        <v>35</v>
      </c>
      <c r="C5" s="72" t="s">
        <v>36</v>
      </c>
      <c r="D5" s="72" t="s">
        <v>37</v>
      </c>
      <c r="E5" s="73"/>
    </row>
    <row r="6" spans="2:15" ht="20.100000000000001" customHeight="1">
      <c r="B6" s="74" t="s">
        <v>38</v>
      </c>
      <c r="C6" s="75">
        <f>D6/$D$3</f>
        <v>293.5344827586207</v>
      </c>
      <c r="D6" s="76">
        <f>D17</f>
        <v>25537.5</v>
      </c>
      <c r="E6" s="77"/>
    </row>
    <row r="7" spans="2:15" ht="20.100000000000001" customHeight="1">
      <c r="B7" s="74" t="s">
        <v>39</v>
      </c>
      <c r="C7" s="75">
        <f>D7/$D$3</f>
        <v>293.5344827586207</v>
      </c>
      <c r="D7" s="76">
        <f>D17</f>
        <v>25537.5</v>
      </c>
      <c r="E7" s="77"/>
    </row>
    <row r="8" spans="2:15" ht="19.5" customHeight="1">
      <c r="B8" s="74" t="s">
        <v>40</v>
      </c>
      <c r="C8" s="75">
        <f>D8/$D$3</f>
        <v>598.20689655172418</v>
      </c>
      <c r="D8" s="76">
        <f>D18</f>
        <v>52044</v>
      </c>
      <c r="E8" s="77"/>
    </row>
    <row r="9" spans="2:15" ht="20.100000000000001" customHeight="1">
      <c r="B9" s="74" t="s">
        <v>41</v>
      </c>
      <c r="C9" s="75">
        <f>D9/$D$3</f>
        <v>598.20689655172418</v>
      </c>
      <c r="D9" s="76">
        <f>D18</f>
        <v>52044</v>
      </c>
      <c r="E9" s="77"/>
    </row>
    <row r="10" spans="2:15" ht="20.100000000000001" customHeight="1">
      <c r="B10" s="74" t="s">
        <v>42</v>
      </c>
      <c r="C10" s="75">
        <f>D10/$D$3</f>
        <v>4.7413793103448274</v>
      </c>
      <c r="D10" s="76">
        <f>D19</f>
        <v>412.5</v>
      </c>
      <c r="E10" s="77"/>
    </row>
    <row r="11" spans="2:15" ht="20.100000000000001" customHeight="1">
      <c r="B11" s="78"/>
      <c r="C11" s="79"/>
      <c r="D11" s="80"/>
      <c r="E11" s="77"/>
    </row>
    <row r="12" spans="2:15" s="81" customFormat="1" ht="20.100000000000001" customHeight="1">
      <c r="B12" s="82"/>
      <c r="C12" s="83"/>
      <c r="D12" s="84"/>
      <c r="E12" s="85"/>
    </row>
    <row r="13" spans="2:15" ht="20.100000000000001" customHeight="1"/>
    <row r="14" spans="2:15" ht="20.100000000000001" customHeight="1">
      <c r="F14" s="916" t="s">
        <v>43</v>
      </c>
      <c r="G14" s="917"/>
      <c r="H14" s="917"/>
      <c r="I14" s="917"/>
      <c r="J14" s="917"/>
      <c r="K14" s="917"/>
      <c r="L14" s="917"/>
      <c r="M14" s="917"/>
      <c r="N14" s="917"/>
      <c r="O14" s="917"/>
    </row>
    <row r="15" spans="2:15" ht="20.100000000000001" customHeight="1">
      <c r="F15" s="918" t="s">
        <v>44</v>
      </c>
      <c r="G15" s="920" t="s">
        <v>45</v>
      </c>
      <c r="H15" s="921"/>
      <c r="I15" s="921"/>
      <c r="J15" s="922"/>
      <c r="K15" s="923" t="s">
        <v>46</v>
      </c>
      <c r="L15" s="924"/>
      <c r="M15" s="924"/>
      <c r="N15" s="925"/>
      <c r="O15" s="926" t="s">
        <v>47</v>
      </c>
    </row>
    <row r="16" spans="2:15" s="86" customFormat="1" ht="39.950000000000003" customHeight="1">
      <c r="B16" s="71" t="s">
        <v>48</v>
      </c>
      <c r="C16" s="72" t="s">
        <v>36</v>
      </c>
      <c r="D16" s="72" t="s">
        <v>37</v>
      </c>
      <c r="E16" s="73"/>
      <c r="F16" s="919"/>
      <c r="G16" s="87" t="s">
        <v>49</v>
      </c>
      <c r="H16" s="88" t="s">
        <v>50</v>
      </c>
      <c r="I16" s="89" t="s">
        <v>51</v>
      </c>
      <c r="J16" s="90" t="s">
        <v>52</v>
      </c>
      <c r="K16" s="87" t="s">
        <v>49</v>
      </c>
      <c r="L16" s="88" t="s">
        <v>50</v>
      </c>
      <c r="M16" s="89" t="s">
        <v>51</v>
      </c>
      <c r="N16" s="90" t="s">
        <v>52</v>
      </c>
      <c r="O16" s="927"/>
    </row>
    <row r="17" spans="2:15" ht="20.100000000000001" customHeight="1">
      <c r="B17" s="74" t="s">
        <v>53</v>
      </c>
      <c r="C17" s="75">
        <f>D17/$D$3</f>
        <v>293.5344827586207</v>
      </c>
      <c r="D17" s="76">
        <f>O17</f>
        <v>25537.5</v>
      </c>
      <c r="E17" s="77"/>
      <c r="F17" s="91">
        <v>2500</v>
      </c>
      <c r="G17" s="91" t="s">
        <v>3</v>
      </c>
      <c r="H17" s="92">
        <v>68.099999999999994</v>
      </c>
      <c r="I17" s="91">
        <v>0.15</v>
      </c>
      <c r="J17" s="91">
        <f>F17*H17*I17</f>
        <v>25537.5</v>
      </c>
      <c r="K17" s="91" t="s">
        <v>54</v>
      </c>
      <c r="L17" s="92">
        <f>[48]A_C!$F$34</f>
        <v>550</v>
      </c>
      <c r="M17" s="91">
        <v>8.0000000000000004E-4</v>
      </c>
      <c r="N17" s="91">
        <f>F17*L17*M17</f>
        <v>1100</v>
      </c>
      <c r="O17" s="93">
        <f>J17</f>
        <v>25537.5</v>
      </c>
    </row>
    <row r="18" spans="2:15" ht="20.100000000000001" customHeight="1">
      <c r="B18" s="74" t="s">
        <v>55</v>
      </c>
      <c r="C18" s="75">
        <f>D18/$D$3</f>
        <v>598.20689655172418</v>
      </c>
      <c r="D18" s="76">
        <f>O18</f>
        <v>52044</v>
      </c>
      <c r="E18" s="77"/>
      <c r="F18" s="91">
        <v>2000</v>
      </c>
      <c r="G18" s="91" t="s">
        <v>3</v>
      </c>
      <c r="H18" s="92">
        <v>68.099999999999994</v>
      </c>
      <c r="I18" s="91">
        <v>0.37</v>
      </c>
      <c r="J18" s="91">
        <f>F18*H18*I18</f>
        <v>50394</v>
      </c>
      <c r="K18" s="91" t="s">
        <v>54</v>
      </c>
      <c r="L18" s="92">
        <f>[48]A_C!$F$34</f>
        <v>550</v>
      </c>
      <c r="M18" s="91">
        <v>1.5E-3</v>
      </c>
      <c r="N18" s="91">
        <f>F18*L18*M18</f>
        <v>1650</v>
      </c>
      <c r="O18" s="93">
        <f>J18+N18</f>
        <v>52044</v>
      </c>
    </row>
    <row r="19" spans="2:15" ht="20.100000000000001" customHeight="1">
      <c r="B19" s="94" t="s">
        <v>42</v>
      </c>
      <c r="C19" s="75">
        <f>D19/$D$3</f>
        <v>4.7413793103448274</v>
      </c>
      <c r="D19" s="76">
        <f>O19</f>
        <v>412.5</v>
      </c>
      <c r="E19" s="77"/>
      <c r="F19" s="91">
        <v>500</v>
      </c>
      <c r="G19" s="91" t="s">
        <v>3</v>
      </c>
      <c r="H19" s="92"/>
      <c r="I19" s="91">
        <v>0.3</v>
      </c>
      <c r="J19" s="91">
        <f>F19*H19*I19</f>
        <v>0</v>
      </c>
      <c r="K19" s="91" t="s">
        <v>54</v>
      </c>
      <c r="L19" s="92">
        <f>[48]A_C!$F$34</f>
        <v>550</v>
      </c>
      <c r="M19" s="91">
        <v>1.5E-3</v>
      </c>
      <c r="N19" s="91">
        <f>F19*L19*M19</f>
        <v>412.5</v>
      </c>
      <c r="O19" s="93">
        <f>J19+N19</f>
        <v>412.5</v>
      </c>
    </row>
  </sheetData>
  <mergeCells count="5">
    <mergeCell ref="F14:O14"/>
    <mergeCell ref="F15:F16"/>
    <mergeCell ref="G15:J15"/>
    <mergeCell ref="K15:N15"/>
    <mergeCell ref="O15:O16"/>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0de77e2-37bb-4c7a-ab4d-547915d99553" xsi:nil="true"/>
    <lcf76f155ced4ddcb4097134ff3c332f xmlns="730269a7-69c5-483f-a552-e74dab880ae2">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CFAFEA61DE254B44B363149992BD50B3" ma:contentTypeVersion="15" ma:contentTypeDescription="Crear nuevo documento." ma:contentTypeScope="" ma:versionID="a7687b2abb2e5b2b7cbfea3f4e3fb7e1">
  <xsd:schema xmlns:xsd="http://www.w3.org/2001/XMLSchema" xmlns:xs="http://www.w3.org/2001/XMLSchema" xmlns:p="http://schemas.microsoft.com/office/2006/metadata/properties" xmlns:ns2="730269a7-69c5-483f-a552-e74dab880ae2" xmlns:ns3="40de77e2-37bb-4c7a-ab4d-547915d99553" targetNamespace="http://schemas.microsoft.com/office/2006/metadata/properties" ma:root="true" ma:fieldsID="a66b2b815a291b54a697ebfda97dfbb7" ns2:_="" ns3:_="">
    <xsd:import namespace="730269a7-69c5-483f-a552-e74dab880ae2"/>
    <xsd:import namespace="40de77e2-37bb-4c7a-ab4d-547915d99553"/>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30269a7-69c5-483f-a552-e74dab880ae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Etiquetas de imagen" ma:readOnly="false" ma:fieldId="{5cf76f15-5ced-4ddc-b409-7134ff3c332f}" ma:taxonomyMulti="true" ma:sspId="dbf393ec-c584-4b8d-8e77-20dadb2446ee"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0de77e2-37bb-4c7a-ab4d-547915d99553"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24e01dc6-12f5-4119-ba22-46abcd2e9c3e}" ma:internalName="TaxCatchAll" ma:showField="CatchAllData" ma:web="40de77e2-37bb-4c7a-ab4d-547915d99553">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343FC9E-77A0-447A-AC67-14C7393CCDF6}">
  <ds:schemaRefs>
    <ds:schemaRef ds:uri="http://purl.org/dc/dcmitype/"/>
    <ds:schemaRef ds:uri="730269a7-69c5-483f-a552-e74dab880ae2"/>
    <ds:schemaRef ds:uri="http://schemas.microsoft.com/office/2006/documentManagement/types"/>
    <ds:schemaRef ds:uri="40de77e2-37bb-4c7a-ab4d-547915d99553"/>
    <ds:schemaRef ds:uri="http://schemas.microsoft.com/office/2006/metadata/properties"/>
    <ds:schemaRef ds:uri="http://purl.org/dc/elements/1.1/"/>
    <ds:schemaRef ds:uri="http://purl.org/dc/terms/"/>
    <ds:schemaRef ds:uri="http://schemas.openxmlformats.org/package/2006/metadata/core-properties"/>
    <ds:schemaRef ds:uri="http://schemas.microsoft.com/office/infopath/2007/PartnerControls"/>
    <ds:schemaRef ds:uri="http://www.w3.org/XML/1998/namespace"/>
  </ds:schemaRefs>
</ds:datastoreItem>
</file>

<file path=customXml/itemProps2.xml><?xml version="1.0" encoding="utf-8"?>
<ds:datastoreItem xmlns:ds="http://schemas.openxmlformats.org/officeDocument/2006/customXml" ds:itemID="{EDFE38E5-D473-46A0-87BA-D25B727BFB2E}">
  <ds:schemaRefs>
    <ds:schemaRef ds:uri="http://schemas.microsoft.com/sharepoint/v3/contenttype/forms"/>
  </ds:schemaRefs>
</ds:datastoreItem>
</file>

<file path=customXml/itemProps3.xml><?xml version="1.0" encoding="utf-8"?>
<ds:datastoreItem xmlns:ds="http://schemas.openxmlformats.org/officeDocument/2006/customXml" ds:itemID="{9352CC77-1D32-4480-AC47-A4E1A6EC4A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30269a7-69c5-483f-a552-e74dab880ae2"/>
    <ds:schemaRef ds:uri="40de77e2-37bb-4c7a-ab4d-547915d995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26</vt:i4>
      </vt:variant>
      <vt:variant>
        <vt:lpstr>Rangos con nombre</vt:lpstr>
      </vt:variant>
      <vt:variant>
        <vt:i4>5</vt:i4>
      </vt:variant>
    </vt:vector>
  </HeadingPairs>
  <TitlesOfParts>
    <vt:vector size="31" baseType="lpstr">
      <vt:lpstr>EERR</vt:lpstr>
      <vt:lpstr>Planilla A (2022)</vt:lpstr>
      <vt:lpstr>Planilla A</vt:lpstr>
      <vt:lpstr>Hoja1</vt:lpstr>
      <vt:lpstr>Planilla B</vt:lpstr>
      <vt:lpstr>FA</vt:lpstr>
      <vt:lpstr> AjusteK-Scio</vt:lpstr>
      <vt:lpstr>AjusteK-PQ</vt:lpstr>
      <vt:lpstr>CR(borrar)</vt:lpstr>
      <vt:lpstr>Consumos (Q)</vt:lpstr>
      <vt:lpstr>Sensorización</vt:lpstr>
      <vt:lpstr>Penalidades</vt:lpstr>
      <vt:lpstr>Rtas PESA</vt:lpstr>
      <vt:lpstr>Esquema de tratamiento</vt:lpstr>
      <vt:lpstr>1. S</vt:lpstr>
      <vt:lpstr>MO</vt:lpstr>
      <vt:lpstr>2.IER</vt:lpstr>
      <vt:lpstr>3.CLN</vt:lpstr>
      <vt:lpstr>Cantidad</vt:lpstr>
      <vt:lpstr>4.IM</vt:lpstr>
      <vt:lpstr>5.L</vt:lpstr>
      <vt:lpstr>Trailer vestidor</vt:lpstr>
      <vt:lpstr>5.LI</vt:lpstr>
      <vt:lpstr>6.MBD</vt:lpstr>
      <vt:lpstr>7.II</vt:lpstr>
      <vt:lpstr>8.- Servicio contratado</vt:lpstr>
      <vt:lpstr>' AjusteK-Scio'!Área_de_impresión</vt:lpstr>
      <vt:lpstr>'Consumos (Q)'!Área_de_impresión</vt:lpstr>
      <vt:lpstr>'Planilla A'!Área_de_impresión</vt:lpstr>
      <vt:lpstr>'Planilla A (2022)'!Área_de_impresión</vt:lpstr>
      <vt:lpstr>'Planilla B'!Área_de_impresión</vt:lpstr>
    </vt:vector>
  </TitlesOfParts>
  <Manager/>
  <Company>YPF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HOYA, RAMIRO</dc:creator>
  <cp:keywords/>
  <dc:description/>
  <cp:lastModifiedBy>Bergerat, Juan Gabriel</cp:lastModifiedBy>
  <cp:revision/>
  <cp:lastPrinted>2024-05-03T16:10:14Z</cp:lastPrinted>
  <dcterms:created xsi:type="dcterms:W3CDTF">2021-05-18T14:31:33Z</dcterms:created>
  <dcterms:modified xsi:type="dcterms:W3CDTF">2024-05-03T18:28:25Z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0x010100CFAFEA61DE254B44B363149992BD50B3</vt:lpwstr>
  </property>
  <property fmtid="{D5CDD505-2E9C-101B-9397-08002B2CF9AE}" pid="3" name="MSIP_Label_fb622c24-5861-4880-bcaa-37216e265fb3_Enabled">
    <vt:lpwstr>true</vt:lpwstr>
  </property>
  <property fmtid="{D5CDD505-2E9C-101B-9397-08002B2CF9AE}" pid="4" name="MSIP_Label_fb622c24-5861-4880-bcaa-37216e265fb3_SetDate">
    <vt:lpwstr>2022-02-22T01:15:51Z</vt:lpwstr>
  </property>
  <property fmtid="{D5CDD505-2E9C-101B-9397-08002B2CF9AE}" pid="5" name="MSIP_Label_fb622c24-5861-4880-bcaa-37216e265fb3_Method">
    <vt:lpwstr>Privileged</vt:lpwstr>
  </property>
  <property fmtid="{D5CDD505-2E9C-101B-9397-08002B2CF9AE}" pid="6" name="MSIP_Label_fb622c24-5861-4880-bcaa-37216e265fb3_Name">
    <vt:lpwstr>YPF - Publica</vt:lpwstr>
  </property>
  <property fmtid="{D5CDD505-2E9C-101B-9397-08002B2CF9AE}" pid="7" name="MSIP_Label_fb622c24-5861-4880-bcaa-37216e265fb3_SiteId">
    <vt:lpwstr>038018c3-616c-4b46-ad9b-aa9007f701b5</vt:lpwstr>
  </property>
  <property fmtid="{D5CDD505-2E9C-101B-9397-08002B2CF9AE}" pid="8" name="MSIP_Label_fb622c24-5861-4880-bcaa-37216e265fb3_ActionId">
    <vt:lpwstr>ec280857-c4e9-4479-ad03-2006e8388c7e</vt:lpwstr>
  </property>
  <property fmtid="{D5CDD505-2E9C-101B-9397-08002B2CF9AE}" pid="9" name="MSIP_Label_fb622c24-5861-4880-bcaa-37216e265fb3_ContentBits">
    <vt:lpwstr>3</vt:lpwstr>
  </property>
  <property fmtid="{D5CDD505-2E9C-101B-9397-08002B2CF9AE}" pid="10" name="MediaServiceImageTags">
    <vt:lpwstr/>
  </property>
</Properties>
</file>