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13. Total. SB14( MeOH)/"/>
    </mc:Choice>
  </mc:AlternateContent>
  <xr:revisionPtr revIDLastSave="264" documentId="11_53D053E60DAC1A16630E8B5AAF659CA5C0469EB7" xr6:coauthVersionLast="47" xr6:coauthVersionMax="47" xr10:uidLastSave="{DD67B52D-2120-4962-8C1B-BC5146390A63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4" l="1"/>
  <c r="D9" i="14"/>
  <c r="F9" i="14"/>
  <c r="H9" i="14" s="1"/>
  <c r="G9" i="14"/>
  <c r="J9" i="14"/>
  <c r="M9" i="14"/>
  <c r="M7" i="14"/>
  <c r="J7" i="14"/>
  <c r="D7" i="14"/>
  <c r="F7" i="14" s="1"/>
  <c r="J5" i="14"/>
  <c r="J6" i="14"/>
  <c r="J8" i="14"/>
  <c r="J4" i="14"/>
  <c r="F4" i="14"/>
  <c r="G5" i="14"/>
  <c r="K9" i="14" l="1"/>
  <c r="L9" i="14"/>
  <c r="N9" i="14" s="1"/>
  <c r="O9" i="14" s="1"/>
  <c r="G6" i="14"/>
  <c r="G8" i="14" s="1"/>
  <c r="G7" i="14"/>
  <c r="H7" i="14" s="1"/>
  <c r="L7" i="14" l="1"/>
  <c r="N7" i="14" s="1"/>
  <c r="O7" i="14" s="1"/>
  <c r="K7" i="14"/>
  <c r="C5" i="14" l="1"/>
  <c r="D5" i="14"/>
  <c r="E5" i="14"/>
  <c r="E6" i="14"/>
  <c r="C6" i="14"/>
  <c r="D6" i="14"/>
  <c r="F6" i="14" s="1"/>
  <c r="D8" i="14" l="1"/>
  <c r="F5" i="14"/>
  <c r="H5" i="14" s="1"/>
  <c r="L5" i="14" l="1"/>
  <c r="F8" i="14"/>
  <c r="H8" i="14" s="1"/>
  <c r="L8" i="14" l="1"/>
  <c r="H6" i="14"/>
  <c r="L6" i="14" l="1"/>
  <c r="H4" i="14"/>
  <c r="L4" i="14" l="1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4" i="14" l="1"/>
  <c r="M4" i="14"/>
  <c r="N4" i="14" s="1"/>
  <c r="P4" i="14" s="1"/>
  <c r="K8" i="14"/>
  <c r="M8" i="14"/>
  <c r="N8" i="14" s="1"/>
  <c r="O8" i="14" s="1"/>
  <c r="K6" i="14"/>
  <c r="M6" i="14"/>
  <c r="N6" i="14" s="1"/>
  <c r="K5" i="14"/>
  <c r="M5" i="14"/>
  <c r="N5" i="14" s="1"/>
  <c r="Q4" i="14" l="1"/>
  <c r="R4" i="14"/>
  <c r="S4" i="14" s="1"/>
  <c r="O5" i="14"/>
  <c r="P5" i="14"/>
  <c r="O6" i="14"/>
  <c r="P6" i="14"/>
  <c r="O4" i="14"/>
  <c r="Q6" i="14" l="1"/>
  <c r="R6" i="14"/>
  <c r="S6" i="14" s="1"/>
  <c r="R5" i="14"/>
  <c r="S5" i="14" s="1"/>
  <c r="Q5" i="14"/>
</calcChain>
</file>

<file path=xl/sharedStrings.xml><?xml version="1.0" encoding="utf-8"?>
<sst xmlns="http://schemas.openxmlformats.org/spreadsheetml/2006/main" count="226" uniqueCount="97">
  <si>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</si>
  <si>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</si>
  <si>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</si>
  <si>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</si>
  <si>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</si>
  <si>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</si>
  <si>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</si>
  <si>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</si>
  <si>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</si>
  <si>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</si>
  <si>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</si>
  <si>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</si>
  <si>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</si>
  <si>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</si>
  <si>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</si>
  <si>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</si>
  <si>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</si>
  <si>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</si>
  <si>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</si>
  <si>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</si>
  <si>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</si>
  <si>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</si>
  <si>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</si>
  <si>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</si>
  <si>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</si>
  <si>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</si>
  <si>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</si>
  <si>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</si>
  <si>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</si>
  <si>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</si>
  <si>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</si>
  <si>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</si>
  <si>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</si>
  <si>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</si>
  <si>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</si>
  <si>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</si>
  <si>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</si>
  <si>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</si>
  <si>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</si>
  <si>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</si>
  <si>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</si>
  <si>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</si>
  <si>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</si>
  <si>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</si>
  <si>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</si>
  <si>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</si>
  <si>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</si>
  <si>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</si>
  <si>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</si>
  <si>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</si>
  <si>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</si>
  <si>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</si>
  <si>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</si>
  <si>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</si>
  <si>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</si>
  <si>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</si>
  <si>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</si>
  <si>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</si>
  <si>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</si>
  <si>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</si>
  <si>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</si>
  <si>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</si>
  <si>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</si>
  <si>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</si>
  <si>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</si>
  <si>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</si>
  <si>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</si>
  <si>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</si>
  <si>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</si>
  <si>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</si>
  <si>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</si>
  <si>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</si>
  <si>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</si>
  <si>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</si>
  <si>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</si>
  <si>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</si>
  <si>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</si>
  <si>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</si>
  <si>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</si>
  <si>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precio</t>
  </si>
  <si>
    <t>Flete  [USD/Bde]</t>
  </si>
  <si>
    <t>Ref: Cotización Divisas Venta</t>
  </si>
  <si>
    <t>Cantidad [Lts]</t>
  </si>
  <si>
    <t>Referencias</t>
  </si>
  <si>
    <t>CR con flete  [USD/lt]</t>
  </si>
  <si>
    <t>Descripción</t>
  </si>
  <si>
    <t>Oferta Mar-23</t>
  </si>
  <si>
    <t>MeOH</t>
  </si>
  <si>
    <t>SB14</t>
  </si>
  <si>
    <t>MeoH</t>
  </si>
  <si>
    <t>Total-Ene-24</t>
  </si>
  <si>
    <t>Sep-23 SUR</t>
  </si>
  <si>
    <t>Costo Rep [USD/lt] dic-23</t>
  </si>
  <si>
    <t>Imp Pais</t>
  </si>
  <si>
    <t>Total Sep-23</t>
  </si>
  <si>
    <t>Total-Ene-25</t>
  </si>
  <si>
    <t>SB15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</si>
</sst>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  <numFmt numFmtId="171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224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0" fontId="4" fillId="0" borderId="0" xfId="15" applyFont="1" applyAlignment="1">
      <alignment vertical="center" wrapTex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/>
    <xf numFmtId="49" fontId="13" fillId="0" borderId="0" xfId="0" applyNumberFormat="1" applyFont="1"/>
    <xf numFmtId="49" fontId="1" fillId="0" borderId="0" xfId="15" applyNumberFormat="1"/>
    <xf numFmtId="0" fontId="4" fillId="2" borderId="2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169" fontId="4" fillId="2" borderId="22" xfId="13" applyNumberFormat="1" applyFont="1" applyFill="1" applyBorder="1" applyAlignment="1">
      <alignment horizontal="center" vertical="center"/>
    </xf>
    <xf numFmtId="0" fontId="5" fillId="5" borderId="0" xfId="3" applyFont="1" applyFill="1" applyAlignment="1">
      <alignment horizontal="center" vertical="center" wrapText="1"/>
    </xf>
    <xf numFmtId="0" fontId="4" fillId="11" borderId="0" xfId="0" applyFont="1" applyFill="1"/>
    <xf numFmtId="0" fontId="0" fillId="2" borderId="28" xfId="0" applyFill="1" applyBorder="1" applyAlignment="1">
      <alignment horizontal="center" vertical="center" wrapText="1"/>
    </xf>
    <xf numFmtId="3" fontId="0" fillId="9" borderId="29" xfId="0" applyNumberFormat="1" applyFill="1" applyBorder="1" applyAlignment="1">
      <alignment horizontal="center" vertical="center"/>
    </xf>
    <xf numFmtId="9" fontId="0" fillId="9" borderId="29" xfId="13" applyFont="1" applyFill="1" applyBorder="1" applyAlignment="1">
      <alignment horizontal="center" vertical="center"/>
    </xf>
    <xf numFmtId="9" fontId="0" fillId="9" borderId="30" xfId="13" applyFont="1" applyFill="1" applyBorder="1" applyAlignment="1">
      <alignment horizontal="center" vertical="center"/>
    </xf>
    <xf numFmtId="0" fontId="0" fillId="11" borderId="0" xfId="0" applyFill="1"/>
    <xf numFmtId="17" fontId="4" fillId="11" borderId="0" xfId="0" applyNumberFormat="1" applyFont="1" applyFill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4" fontId="0" fillId="2" borderId="32" xfId="0" applyNumberFormat="1" applyFill="1" applyBorder="1" applyAlignment="1">
      <alignment horizontal="center" vertical="center"/>
    </xf>
    <xf numFmtId="3" fontId="0" fillId="2" borderId="32" xfId="0" applyNumberFormat="1" applyFill="1" applyBorder="1" applyAlignment="1">
      <alignment horizontal="center" vertical="center"/>
    </xf>
    <xf numFmtId="2" fontId="0" fillId="2" borderId="32" xfId="0" applyNumberFormat="1" applyFill="1" applyBorder="1" applyAlignment="1">
      <alignment horizontal="center" vertical="center"/>
    </xf>
    <xf numFmtId="2" fontId="15" fillId="9" borderId="32" xfId="0" applyNumberFormat="1" applyFont="1" applyFill="1" applyBorder="1" applyAlignment="1">
      <alignment horizontal="center" vertical="center"/>
    </xf>
    <xf numFmtId="169" fontId="1" fillId="2" borderId="32" xfId="13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4" fontId="0" fillId="2" borderId="25" xfId="0" applyNumberFormat="1" applyFill="1" applyBorder="1" applyAlignment="1">
      <alignment horizontal="center" vertical="center"/>
    </xf>
    <xf numFmtId="3" fontId="0" fillId="2" borderId="25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15" fillId="9" borderId="25" xfId="0" applyNumberFormat="1" applyFont="1" applyFill="1" applyBorder="1" applyAlignment="1">
      <alignment horizontal="center" vertical="center"/>
    </xf>
    <xf numFmtId="169" fontId="1" fillId="2" borderId="25" xfId="13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4" fontId="0" fillId="2" borderId="33" xfId="0" applyNumberFormat="1" applyFill="1" applyBorder="1" applyAlignment="1">
      <alignment horizontal="center" vertical="center"/>
    </xf>
    <xf numFmtId="3" fontId="0" fillId="2" borderId="33" xfId="0" applyNumberFormat="1" applyFill="1" applyBorder="1" applyAlignment="1">
      <alignment horizontal="center" vertical="center"/>
    </xf>
    <xf numFmtId="2" fontId="0" fillId="2" borderId="33" xfId="0" applyNumberFormat="1" applyFill="1" applyBorder="1" applyAlignment="1">
      <alignment horizontal="center" vertical="center"/>
    </xf>
    <xf numFmtId="2" fontId="15" fillId="9" borderId="33" xfId="0" applyNumberFormat="1" applyFont="1" applyFill="1" applyBorder="1" applyAlignment="1">
      <alignment horizontal="center" vertical="center"/>
    </xf>
    <xf numFmtId="169" fontId="1" fillId="2" borderId="33" xfId="13" applyNumberFormat="1" applyFont="1" applyFill="1" applyBorder="1" applyAlignment="1">
      <alignment horizontal="center" vertical="center"/>
    </xf>
    <xf numFmtId="169" fontId="1" fillId="2" borderId="34" xfId="13" applyNumberFormat="1" applyFont="1" applyFill="1" applyBorder="1" applyAlignment="1">
      <alignment horizontal="center" vertical="center"/>
    </xf>
    <xf numFmtId="171" fontId="4" fillId="12" borderId="32" xfId="0" applyNumberFormat="1" applyFont="1" applyFill="1" applyBorder="1" applyAlignment="1">
      <alignment horizontal="center" vertical="center"/>
    </xf>
    <xf numFmtId="171" fontId="4" fillId="12" borderId="33" xfId="0" applyNumberFormat="1" applyFont="1" applyFill="1" applyBorder="1" applyAlignment="1">
      <alignment horizontal="center" vertical="center"/>
    </xf>
    <xf numFmtId="171" fontId="4" fillId="12" borderId="25" xfId="0" applyNumberFormat="1" applyFont="1" applyFill="1" applyBorder="1" applyAlignment="1">
      <alignment horizontal="center" vertical="center"/>
    </xf>
    <xf numFmtId="2" fontId="4" fillId="2" borderId="22" xfId="13" applyNumberFormat="1" applyFont="1" applyFill="1" applyBorder="1" applyAlignment="1">
      <alignment horizontal="center" vertical="center"/>
    </xf>
    <xf numFmtId="3" fontId="0" fillId="9" borderId="27" xfId="0" applyNumberForma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17" fontId="0" fillId="0" borderId="0" xfId="0" applyNumberFormat="1"/>
    <xf numFmtId="0" fontId="14" fillId="10" borderId="28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30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345281</xdr:colOff>
      <xdr:row>39</xdr:row>
      <xdr:rowOff>35719</xdr:rowOff>
    </xdr:from>
    <xdr:to>
      <xdr:col>5</xdr:col>
      <xdr:colOff>191258</xdr:colOff>
      <xdr:row>56</xdr:row>
      <xdr:rowOff>112382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4B11778-CAD1-496E-8BD7-476692AA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" y="9703594"/>
          <a:ext cx="5430008" cy="3315163"/>
        </a:xfrm>
        <a:prstGeom prst="rect">
          <a:avLst/>
        </a:prstGeom>
      </xdr:spPr>
    </xdr:pic>
    <xdr:clientData/>
  </xdr:twoCellAnchor>
  <xdr:twoCellAnchor editAs="oneCell">
    <xdr:from>
      <xdr:col>22</xdr:col>
      <xdr:colOff>202406</xdr:colOff>
      <xdr:row>2</xdr:row>
      <xdr:rowOff>619127</xdr:rowOff>
    </xdr:from>
    <xdr:to>
      <xdr:col>27</xdr:col>
      <xdr:colOff>260096</xdr:colOff>
      <xdr:row>31</xdr:row>
      <xdr:rowOff>22431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7457C2-1D00-D45B-5CDA-09CC534ED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73312" y="1012033"/>
          <a:ext cx="3867690" cy="7154273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309563</xdr:colOff>
      <xdr:row>39</xdr:row>
      <xdr:rowOff>95249</xdr:rowOff>
    </xdr:from>
    <xdr:to>
      <xdr:col>20</xdr:col>
      <xdr:colOff>384345</xdr:colOff>
      <xdr:row>65</xdr:row>
      <xdr:rowOff>10203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A07355-DDB5-19EA-AE2B-5ED029DB5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4188" y="9763124"/>
          <a:ext cx="6897063" cy="4867954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404812</xdr:colOff>
      <xdr:row>14</xdr:row>
      <xdr:rowOff>71437</xdr:rowOff>
    </xdr:from>
    <xdr:to>
      <xdr:col>6</xdr:col>
      <xdr:colOff>129459</xdr:colOff>
      <xdr:row>28</xdr:row>
      <xdr:rowOff>167073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1B7421D-B8CA-BF79-2503-EB97A6292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812" y="4976812"/>
          <a:ext cx="6249272" cy="2762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showGridLines="0" tabSelected="1" zoomScale="80" zoomScaleNormal="80" workbookViewId="0">
      <selection activeCell="G4" sqref="G4"/>
    </sheetView>
  </sheetViews>
  <sheetFormatPr baseColWidth="10" defaultRowHeight="15" x14ac:dyDescent="0.25"/>
  <cols>
    <col min="1" max="2" width="23" customWidth="1"/>
    <col min="3" max="3" width="14.140625" customWidth="1"/>
    <col min="4" max="4" width="13.28515625" customWidth="1"/>
    <col min="5" max="5" width="10.28515625" customWidth="1"/>
    <col min="6" max="6" width="14.140625" customWidth="1"/>
    <col min="7" max="7" width="11.28515625" customWidth="1"/>
    <col min="8" max="8" width="13.28515625" customWidth="1"/>
    <col min="10" max="10" width="11.42578125" customWidth="1"/>
    <col min="11" max="11" width="12.42578125" bestFit="1" customWidth="1"/>
    <col min="12" max="12" width="9.85546875" customWidth="1"/>
    <col min="14" max="14" width="8.7109375" customWidth="1"/>
    <col min="15" max="15" width="9.42578125" bestFit="1" customWidth="1"/>
    <col min="16" max="16" width="7.42578125" hidden="1" customWidth="1"/>
    <col min="17" max="19" width="6.7109375" hidden="1" customWidth="1"/>
    <col min="20" max="20" width="3" customWidth="1"/>
  </cols>
  <sheetData>
    <row r="1" spans="1:19" ht="18" customHeight="1" x14ac:dyDescent="0.25">
      <c r="A1" t="s">
        <v>78</v>
      </c>
      <c r="C1">
        <v>821.9</v>
      </c>
      <c r="D1" s="122">
        <v>45142</v>
      </c>
      <c r="E1" t="s">
        <v>81</v>
      </c>
      <c r="N1" s="213" t="s">
        <v>76</v>
      </c>
      <c r="O1" s="214"/>
      <c r="P1" s="213" t="s">
        <v>77</v>
      </c>
      <c r="Q1" s="214"/>
      <c r="R1" s="211" t="s">
        <v>74</v>
      </c>
      <c r="S1" s="211"/>
    </row>
    <row r="2" spans="1:19" ht="13.5" customHeight="1" x14ac:dyDescent="0.25">
      <c r="N2" s="215">
        <v>5.5E-2</v>
      </c>
      <c r="O2" s="216"/>
      <c r="P2" s="217">
        <v>0.04</v>
      </c>
      <c r="Q2" s="218"/>
      <c r="R2" s="212">
        <v>0.04</v>
      </c>
      <c r="S2" s="212"/>
    </row>
    <row r="3" spans="1:19" ht="56.25" customHeight="1" thickBot="1" x14ac:dyDescent="0.3">
      <c r="A3" s="134" t="s">
        <v>75</v>
      </c>
      <c r="B3" s="168" t="s">
        <v>85</v>
      </c>
      <c r="C3" s="205" t="s">
        <v>70</v>
      </c>
      <c r="D3" s="206" t="s">
        <v>92</v>
      </c>
      <c r="E3" s="206" t="s">
        <v>82</v>
      </c>
      <c r="F3" s="206" t="s">
        <v>93</v>
      </c>
      <c r="G3" s="206" t="s">
        <v>80</v>
      </c>
      <c r="H3" s="206" t="s">
        <v>84</v>
      </c>
      <c r="I3" s="206" t="s">
        <v>67</v>
      </c>
      <c r="J3" s="206" t="s">
        <v>79</v>
      </c>
      <c r="K3" s="206" t="s">
        <v>0</v>
      </c>
      <c r="L3" s="206" t="s">
        <v>68</v>
      </c>
      <c r="M3" s="206" t="s">
        <v>69</v>
      </c>
      <c r="N3" s="133" t="s">
        <v>71</v>
      </c>
      <c r="O3" s="133" t="s">
        <v>71</v>
      </c>
      <c r="P3" s="135" t="s">
        <v>72</v>
      </c>
      <c r="Q3" s="135" t="s">
        <v>72</v>
      </c>
      <c r="R3" s="133" t="s">
        <v>73</v>
      </c>
      <c r="S3" s="133" t="s">
        <v>73</v>
      </c>
    </row>
    <row r="4" spans="1:19" ht="33.75" customHeight="1" thickBot="1" x14ac:dyDescent="0.3">
      <c r="A4" s="191" t="s">
        <v>90</v>
      </c>
      <c r="B4" s="192" t="s">
        <v>87</v>
      </c>
      <c r="C4" s="193" t="s">
        <v>88</v>
      </c>
      <c r="D4" s="194">
        <v>0.94</v>
      </c>
      <c r="E4" s="195">
        <v>10000</v>
      </c>
      <c r="F4" s="194">
        <f>17.5%*D4</f>
        <v>0.16449999999999998</v>
      </c>
      <c r="G4" s="196">
        <f>(843+421+345)/22/C1</f>
        <v>8.8984503755157124E-2</v>
      </c>
      <c r="H4" s="196">
        <f t="shared" ref="H4:H9" si="0">+D4+G4+F4</f>
        <v>1.1934845037551569</v>
      </c>
      <c r="I4" s="197">
        <v>1.72</v>
      </c>
      <c r="J4" s="198">
        <f>+I4/$I$4-1</f>
        <v>0</v>
      </c>
      <c r="K4" s="201">
        <f>+I4/H4</f>
        <v>1.4411582174617472</v>
      </c>
      <c r="L4" s="195">
        <f>E4*H4</f>
        <v>11934.845037551569</v>
      </c>
      <c r="M4" s="195">
        <f>I4*E4</f>
        <v>17200</v>
      </c>
      <c r="N4" s="195">
        <f t="shared" ref="N4:N9" si="1">ROUND(M4-L4-$N$2*M4,0)</f>
        <v>4319</v>
      </c>
      <c r="O4" s="199">
        <f t="shared" ref="O4:O9" si="2">+N4/M4</f>
        <v>0.25110465116279068</v>
      </c>
      <c r="P4" s="204">
        <f>+N4-$P$2*M4</f>
        <v>3631</v>
      </c>
      <c r="Q4" s="137">
        <f>+P4/M4</f>
        <v>0.2111046511627907</v>
      </c>
      <c r="R4" s="136">
        <f>+P4-$R$2*M4</f>
        <v>2943</v>
      </c>
      <c r="S4" s="137">
        <f>+R4/M4</f>
        <v>0.17110465116279069</v>
      </c>
    </row>
    <row r="5" spans="1:19" ht="33.75" customHeight="1" x14ac:dyDescent="0.25">
      <c r="A5" s="183" t="s">
        <v>90</v>
      </c>
      <c r="B5" s="184" t="s">
        <v>89</v>
      </c>
      <c r="C5" s="185" t="str">
        <f>+C4</f>
        <v>SB14</v>
      </c>
      <c r="D5" s="186">
        <f>+D4</f>
        <v>0.94</v>
      </c>
      <c r="E5" s="187">
        <f>+E4</f>
        <v>10000</v>
      </c>
      <c r="F5" s="186">
        <f t="shared" ref="F5:F8" si="3">17.5%*D5</f>
        <v>0.16449999999999998</v>
      </c>
      <c r="G5" s="188">
        <f>+G4</f>
        <v>8.8984503755157124E-2</v>
      </c>
      <c r="H5" s="188">
        <f t="shared" si="0"/>
        <v>1.1934845037551569</v>
      </c>
      <c r="I5" s="189">
        <v>1.75</v>
      </c>
      <c r="J5" s="190">
        <f t="shared" ref="J5:J9" si="4">+I5/$I$4-1</f>
        <v>1.744186046511631E-2</v>
      </c>
      <c r="K5" s="202">
        <f t="shared" ref="K5:K8" si="5">+I5/H5</f>
        <v>1.4662946979988709</v>
      </c>
      <c r="L5" s="187">
        <f t="shared" ref="L5:L8" si="6">E5*H5</f>
        <v>11934.845037551569</v>
      </c>
      <c r="M5" s="187">
        <f t="shared" ref="M5:M8" si="7">I5*E5</f>
        <v>17500</v>
      </c>
      <c r="N5" s="187">
        <f t="shared" si="1"/>
        <v>4603</v>
      </c>
      <c r="O5" s="190">
        <f t="shared" si="2"/>
        <v>0.26302857142857144</v>
      </c>
      <c r="P5" s="136">
        <f>+N5-$P$2*M5</f>
        <v>3903</v>
      </c>
      <c r="Q5" s="137">
        <f>+P5/M5</f>
        <v>0.22302857142857144</v>
      </c>
      <c r="R5" s="136">
        <f>+P5-$R$2*M5</f>
        <v>3203</v>
      </c>
      <c r="S5" s="137">
        <f>+R5/M5</f>
        <v>0.18302857142857143</v>
      </c>
    </row>
    <row r="6" spans="1:19" ht="33.75" customHeight="1" thickBot="1" x14ac:dyDescent="0.3">
      <c r="A6" s="170" t="s">
        <v>90</v>
      </c>
      <c r="B6" s="176" t="s">
        <v>89</v>
      </c>
      <c r="C6" s="177" t="str">
        <f>+C4</f>
        <v>SB14</v>
      </c>
      <c r="D6" s="178">
        <f>+D4</f>
        <v>0.94</v>
      </c>
      <c r="E6" s="179">
        <f>+E4</f>
        <v>10000</v>
      </c>
      <c r="F6" s="178">
        <f t="shared" si="3"/>
        <v>0.16449999999999998</v>
      </c>
      <c r="G6" s="180">
        <f>+G5</f>
        <v>8.8984503755157124E-2</v>
      </c>
      <c r="H6" s="180">
        <f t="shared" si="0"/>
        <v>1.1934845037551569</v>
      </c>
      <c r="I6" s="181">
        <v>1.8</v>
      </c>
      <c r="J6" s="182">
        <f t="shared" si="4"/>
        <v>4.6511627906976827E-2</v>
      </c>
      <c r="K6" s="200">
        <f t="shared" si="5"/>
        <v>1.50818883222741</v>
      </c>
      <c r="L6" s="179">
        <f t="shared" si="6"/>
        <v>11934.845037551569</v>
      </c>
      <c r="M6" s="179">
        <f t="shared" si="7"/>
        <v>18000</v>
      </c>
      <c r="N6" s="179">
        <f t="shared" si="1"/>
        <v>5075</v>
      </c>
      <c r="O6" s="182">
        <f t="shared" si="2"/>
        <v>0.28194444444444444</v>
      </c>
      <c r="P6" s="136">
        <f>+N6-$P$2*M6</f>
        <v>4355</v>
      </c>
      <c r="Q6" s="137">
        <f>+P6/M6</f>
        <v>0.24194444444444443</v>
      </c>
      <c r="R6" s="136">
        <f>+P6-$R$2*M6</f>
        <v>3635</v>
      </c>
      <c r="S6" s="137">
        <f>+R6/M6</f>
        <v>0.20194444444444445</v>
      </c>
    </row>
    <row r="7" spans="1:19" ht="33.75" customHeight="1" thickBot="1" x14ac:dyDescent="0.3">
      <c r="A7" s="191" t="s">
        <v>90</v>
      </c>
      <c r="B7" s="192" t="s">
        <v>87</v>
      </c>
      <c r="C7" s="193" t="s">
        <v>88</v>
      </c>
      <c r="D7" s="194">
        <f>+D4</f>
        <v>0.94</v>
      </c>
      <c r="E7" s="195">
        <v>10000</v>
      </c>
      <c r="F7" s="194">
        <f t="shared" ref="F7" si="8">17.5%*D7</f>
        <v>0.16449999999999998</v>
      </c>
      <c r="G7" s="196">
        <f>+G5</f>
        <v>8.8984503755157124E-2</v>
      </c>
      <c r="H7" s="196">
        <f t="shared" si="0"/>
        <v>1.1934845037551569</v>
      </c>
      <c r="I7" s="197">
        <v>1.85</v>
      </c>
      <c r="J7" s="198">
        <f t="shared" si="4"/>
        <v>7.5581395348837344E-2</v>
      </c>
      <c r="K7" s="201">
        <f t="shared" ref="K7" si="9">+I7/H7</f>
        <v>1.5500829664559492</v>
      </c>
      <c r="L7" s="195">
        <f t="shared" ref="L7" si="10">E7*H7</f>
        <v>11934.845037551569</v>
      </c>
      <c r="M7" s="195">
        <f t="shared" ref="M7" si="11">I7*E7</f>
        <v>18500</v>
      </c>
      <c r="N7" s="195">
        <f t="shared" si="1"/>
        <v>5548</v>
      </c>
      <c r="O7" s="199">
        <f t="shared" si="2"/>
        <v>0.29989189189189192</v>
      </c>
      <c r="P7" s="171"/>
      <c r="Q7" s="172"/>
      <c r="R7" s="171"/>
      <c r="S7" s="173"/>
    </row>
    <row r="8" spans="1:19" ht="33.75" customHeight="1" x14ac:dyDescent="0.25">
      <c r="A8" s="183" t="s">
        <v>90</v>
      </c>
      <c r="B8" s="184" t="s">
        <v>87</v>
      </c>
      <c r="C8" s="185" t="s">
        <v>88</v>
      </c>
      <c r="D8" s="186">
        <f>+D5</f>
        <v>0.94</v>
      </c>
      <c r="E8" s="187">
        <v>10000</v>
      </c>
      <c r="F8" s="186">
        <f t="shared" si="3"/>
        <v>0.16449999999999998</v>
      </c>
      <c r="G8" s="188">
        <f>+G6</f>
        <v>8.8984503755157124E-2</v>
      </c>
      <c r="H8" s="188">
        <f t="shared" si="0"/>
        <v>1.1934845037551569</v>
      </c>
      <c r="I8" s="189">
        <v>1.9</v>
      </c>
      <c r="J8" s="190">
        <f t="shared" si="4"/>
        <v>0.10465116279069764</v>
      </c>
      <c r="K8" s="202">
        <f t="shared" si="5"/>
        <v>1.5919771006844883</v>
      </c>
      <c r="L8" s="187">
        <f t="shared" si="6"/>
        <v>11934.845037551569</v>
      </c>
      <c r="M8" s="187">
        <f t="shared" si="7"/>
        <v>19000</v>
      </c>
      <c r="N8" s="187">
        <f t="shared" si="1"/>
        <v>6020</v>
      </c>
      <c r="O8" s="190">
        <f t="shared" si="2"/>
        <v>0.31684210526315787</v>
      </c>
      <c r="P8" s="171"/>
      <c r="Q8" s="172"/>
      <c r="R8" s="171"/>
      <c r="S8" s="173"/>
    </row>
    <row r="9" spans="1:19" ht="33.75" customHeight="1" x14ac:dyDescent="0.25">
      <c r="A9" s="183" t="s">
        <v>95</v>
      </c>
      <c r="B9" s="184" t="s">
        <v>87</v>
      </c>
      <c r="C9" s="185" t="s">
        <v>96</v>
      </c>
      <c r="D9" s="186">
        <f>+D6</f>
        <v>0.94</v>
      </c>
      <c r="E9" s="187">
        <v>10001</v>
      </c>
      <c r="F9" s="186">
        <f t="shared" ref="F9" si="12">17.5%*D9</f>
        <v>0.16449999999999998</v>
      </c>
      <c r="G9" s="188">
        <f>+G7</f>
        <v>8.8984503755157124E-2</v>
      </c>
      <c r="H9" s="188">
        <f t="shared" si="0"/>
        <v>1.1934845037551569</v>
      </c>
      <c r="I9" s="189">
        <v>2.02</v>
      </c>
      <c r="J9" s="190">
        <f t="shared" si="4"/>
        <v>0.17441860465116288</v>
      </c>
      <c r="K9" s="202">
        <f t="shared" ref="K9" si="13">+I9/H9</f>
        <v>1.6925230228329824</v>
      </c>
      <c r="L9" s="187">
        <f t="shared" ref="L9" si="14">E9*H9</f>
        <v>11936.038522055323</v>
      </c>
      <c r="M9" s="187">
        <f t="shared" ref="M9" si="15">I9*E9</f>
        <v>20202.02</v>
      </c>
      <c r="N9" s="187">
        <f t="shared" si="1"/>
        <v>7155</v>
      </c>
      <c r="O9" s="190">
        <f t="shared" si="2"/>
        <v>0.35417250354172503</v>
      </c>
      <c r="P9" s="171"/>
      <c r="Q9" s="172"/>
      <c r="R9" s="171"/>
      <c r="S9" s="173"/>
    </row>
    <row r="10" spans="1:19" ht="18" customHeight="1" x14ac:dyDescent="0.25">
      <c r="A10" s="208" t="s">
        <v>83</v>
      </c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10"/>
    </row>
    <row r="11" spans="1:19" ht="33.75" customHeight="1" x14ac:dyDescent="0.25">
      <c r="A11" s="161" t="s">
        <v>94</v>
      </c>
      <c r="B11" s="161" t="s">
        <v>87</v>
      </c>
      <c r="C11" s="162" t="s">
        <v>88</v>
      </c>
      <c r="D11" s="163"/>
      <c r="E11" s="164"/>
      <c r="F11" s="163"/>
      <c r="G11" s="165"/>
      <c r="H11" s="166"/>
      <c r="I11" s="203">
        <v>1.72</v>
      </c>
      <c r="J11" s="167"/>
      <c r="K11" s="166"/>
      <c r="L11" s="164"/>
      <c r="M11" s="164"/>
      <c r="N11" s="164"/>
      <c r="O11" s="167"/>
      <c r="P11" s="136"/>
      <c r="Q11" s="137"/>
      <c r="R11" s="136"/>
      <c r="S11" s="137"/>
    </row>
    <row r="12" spans="1:19" s="76" customFormat="1" ht="15" customHeight="1" x14ac:dyDescent="0.25">
      <c r="A12" s="145"/>
      <c r="B12" s="145"/>
      <c r="C12" s="151"/>
      <c r="D12" s="152"/>
      <c r="E12" s="148"/>
      <c r="F12" s="147"/>
      <c r="G12" s="146"/>
      <c r="H12" s="146"/>
      <c r="I12" s="146"/>
      <c r="J12" s="146"/>
      <c r="K12" s="147"/>
      <c r="L12" s="148"/>
      <c r="M12" s="148"/>
      <c r="N12" s="148"/>
      <c r="O12" s="149"/>
      <c r="P12" s="148"/>
      <c r="Q12" s="150"/>
      <c r="R12" s="148"/>
      <c r="S12" s="150"/>
    </row>
    <row r="13" spans="1:19" s="76" customFormat="1" ht="15" customHeight="1" x14ac:dyDescent="0.25">
      <c r="A13" s="175">
        <v>45170</v>
      </c>
      <c r="B13" s="145"/>
      <c r="C13" s="151"/>
      <c r="D13" s="152"/>
      <c r="E13" s="148"/>
      <c r="F13" s="147"/>
      <c r="G13" s="146"/>
      <c r="H13" s="146"/>
      <c r="I13" s="146"/>
      <c r="J13" s="146"/>
      <c r="K13" s="147"/>
      <c r="L13" s="148"/>
      <c r="M13" s="148"/>
      <c r="N13" s="148"/>
      <c r="O13" s="149"/>
      <c r="P13" s="148"/>
      <c r="Q13" s="150"/>
      <c r="R13" s="148"/>
      <c r="S13" s="150"/>
    </row>
    <row r="14" spans="1:19" s="76" customFormat="1" x14ac:dyDescent="0.25">
      <c r="C14" s="143"/>
      <c r="D14" s="144"/>
      <c r="J14" s="140"/>
      <c r="O14" s="141"/>
      <c r="P14" s="141"/>
      <c r="Q14"/>
    </row>
    <row r="15" spans="1:19" x14ac:dyDescent="0.25">
      <c r="A15" s="139"/>
      <c r="B15" s="139"/>
      <c r="I15" s="154"/>
      <c r="J15" s="155"/>
      <c r="K15" s="156"/>
      <c r="N15" s="207"/>
    </row>
    <row r="16" spans="1:19" x14ac:dyDescent="0.25">
      <c r="I16" s="157"/>
      <c r="J16" s="158"/>
      <c r="K16" s="153"/>
    </row>
    <row r="17" spans="1:12" x14ac:dyDescent="0.25">
      <c r="A17" s="138"/>
      <c r="B17" s="138"/>
      <c r="I17" s="157"/>
      <c r="J17" s="158"/>
      <c r="K17" s="153"/>
    </row>
    <row r="18" spans="1:12" x14ac:dyDescent="0.25">
      <c r="I18" s="157"/>
      <c r="J18" s="159"/>
      <c r="K18" s="153"/>
    </row>
    <row r="19" spans="1:12" x14ac:dyDescent="0.25">
      <c r="I19" s="157"/>
      <c r="J19" s="159"/>
      <c r="K19" s="153"/>
    </row>
    <row r="20" spans="1:12" x14ac:dyDescent="0.25">
      <c r="I20" s="157"/>
      <c r="J20" s="160"/>
      <c r="K20" s="153"/>
    </row>
    <row r="21" spans="1:12" x14ac:dyDescent="0.25">
      <c r="I21" s="157"/>
      <c r="J21" s="160"/>
      <c r="K21" s="153"/>
      <c r="L21" s="142"/>
    </row>
    <row r="22" spans="1:12" x14ac:dyDescent="0.25">
      <c r="I22" s="157"/>
      <c r="J22" s="160"/>
      <c r="K22" s="153"/>
    </row>
    <row r="23" spans="1:12" x14ac:dyDescent="0.25">
      <c r="I23" s="157"/>
      <c r="J23" s="160"/>
      <c r="K23" s="153"/>
    </row>
    <row r="24" spans="1:12" x14ac:dyDescent="0.25">
      <c r="I24" s="157"/>
      <c r="J24" s="160"/>
      <c r="K24" s="153"/>
    </row>
    <row r="25" spans="1:12" x14ac:dyDescent="0.25">
      <c r="I25" s="157"/>
      <c r="J25" s="160"/>
      <c r="K25" s="153"/>
    </row>
    <row r="38" spans="1:8" x14ac:dyDescent="0.25">
      <c r="A38" s="169" t="s">
        <v>86</v>
      </c>
      <c r="H38" s="174" t="s">
        <v>91</v>
      </c>
    </row>
  </sheetData>
  <mergeCells count="7">
    <mergeCell ref="A10:S10"/>
    <mergeCell ref="R1:S1"/>
    <mergeCell ref="R2:S2"/>
    <mergeCell ref="N1:O1"/>
    <mergeCell ref="P1:Q1"/>
    <mergeCell ref="N2:O2"/>
    <mergeCell ref="P2:Q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219"/>
      <c r="F16" s="220"/>
    </row>
    <row r="17" spans="5:6" x14ac:dyDescent="0.25">
      <c r="E17" s="219"/>
      <c r="F17" s="220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221" t="s">
        <v>26</v>
      </c>
      <c r="C1" s="222"/>
      <c r="D1" s="222"/>
      <c r="E1" s="222"/>
      <c r="F1" s="222"/>
      <c r="G1" s="222"/>
      <c r="H1" s="222"/>
      <c r="I1" s="222"/>
      <c r="J1" s="223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2024-02-21T00:38:37Z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