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mos.ARGENTINA\Desktop\Mza2022\Pto Hdez\"/>
    </mc:Choice>
  </mc:AlternateContent>
  <bookViews>
    <workbookView xWindow="-120" yWindow="-120" windowWidth="20730" windowHeight="11160"/>
  </bookViews>
  <sheets>
    <sheet name="Pto Hz" sheetId="1" r:id="rId1"/>
  </sheets>
  <externalReferences>
    <externalReference r:id="rId2"/>
  </externalReferences>
  <definedNames>
    <definedName name="da">[1]CC!#REF!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V13" i="1"/>
  <c r="V14" i="1"/>
  <c r="V15" i="1"/>
  <c r="V16" i="1"/>
  <c r="V17" i="1"/>
  <c r="V18" i="1"/>
  <c r="V19" i="1"/>
  <c r="V20" i="1"/>
  <c r="V21" i="1"/>
  <c r="V22" i="1"/>
  <c r="V12" i="1"/>
  <c r="V23" i="1"/>
  <c r="N37" i="1" l="1"/>
  <c r="E25" i="1" l="1"/>
  <c r="E26" i="1" s="1"/>
  <c r="G12" i="1" l="1"/>
  <c r="H12" i="1" s="1"/>
  <c r="M12" i="1"/>
  <c r="G13" i="1"/>
  <c r="H13" i="1" s="1"/>
  <c r="R13" i="1" s="1"/>
  <c r="K13" i="1"/>
  <c r="K14" i="1" s="1"/>
  <c r="K15" i="1" s="1"/>
  <c r="K16" i="1" s="1"/>
  <c r="K17" i="1" s="1"/>
  <c r="K18" i="1" s="1"/>
  <c r="K19" i="1" s="1"/>
  <c r="K4" i="1" s="1"/>
  <c r="K5" i="1" s="1"/>
  <c r="K20" i="1" s="1"/>
  <c r="G14" i="1"/>
  <c r="H14" i="1" s="1"/>
  <c r="R14" i="1" s="1"/>
  <c r="G15" i="1"/>
  <c r="H15" i="1" s="1"/>
  <c r="G16" i="1"/>
  <c r="H16" i="1" s="1"/>
  <c r="G17" i="1"/>
  <c r="H17" i="1" s="1"/>
  <c r="R17" i="1" s="1"/>
  <c r="G18" i="1"/>
  <c r="H18" i="1" s="1"/>
  <c r="G19" i="1"/>
  <c r="H19" i="1" s="1"/>
  <c r="G3" i="1"/>
  <c r="H3" i="1" s="1"/>
  <c r="G4" i="1"/>
  <c r="H4" i="1" s="1"/>
  <c r="R4" i="1" s="1"/>
  <c r="G5" i="1"/>
  <c r="H5" i="1" s="1"/>
  <c r="G20" i="1"/>
  <c r="H20" i="1" s="1"/>
  <c r="G9" i="1"/>
  <c r="H9" i="1" s="1"/>
  <c r="G7" i="1"/>
  <c r="H7" i="1" s="1"/>
  <c r="R7" i="1" s="1"/>
  <c r="G25" i="1"/>
  <c r="H25" i="1" s="1"/>
  <c r="G21" i="1"/>
  <c r="H21" i="1" s="1"/>
  <c r="G8" i="1"/>
  <c r="H8" i="1" s="1"/>
  <c r="G26" i="1"/>
  <c r="H26" i="1" s="1"/>
  <c r="R26" i="1" s="1"/>
  <c r="G22" i="1"/>
  <c r="H22" i="1" s="1"/>
  <c r="G10" i="1"/>
  <c r="H10" i="1" s="1"/>
  <c r="G24" i="1"/>
  <c r="H24" i="1" s="1"/>
  <c r="M19" i="1" l="1"/>
  <c r="N19" i="1" s="1"/>
  <c r="M17" i="1"/>
  <c r="P17" i="1" s="1"/>
  <c r="M13" i="1"/>
  <c r="P13" i="1" s="1"/>
  <c r="M14" i="1"/>
  <c r="P14" i="1" s="1"/>
  <c r="P4" i="1"/>
  <c r="M15" i="1"/>
  <c r="P15" i="1" s="1"/>
  <c r="M20" i="1"/>
  <c r="N20" i="1" s="1"/>
  <c r="M18" i="1"/>
  <c r="N18" i="1" s="1"/>
  <c r="M16" i="1"/>
  <c r="N16" i="1" s="1"/>
  <c r="N12" i="1"/>
  <c r="O12" i="1"/>
  <c r="R5" i="1"/>
  <c r="R10" i="1"/>
  <c r="R20" i="1"/>
  <c r="R19" i="1"/>
  <c r="R25" i="1"/>
  <c r="R22" i="1"/>
  <c r="R18" i="1"/>
  <c r="R21" i="1"/>
  <c r="R15" i="1"/>
  <c r="P12" i="1"/>
  <c r="R12" i="1"/>
  <c r="R9" i="1"/>
  <c r="R24" i="1"/>
  <c r="R27" i="1" s="1"/>
  <c r="R8" i="1"/>
  <c r="R3" i="1"/>
  <c r="R16" i="1"/>
  <c r="N38" i="1"/>
  <c r="N40" i="1" s="1"/>
  <c r="K7" i="1"/>
  <c r="R11" i="1" l="1"/>
  <c r="R23" i="1"/>
  <c r="R6" i="1"/>
  <c r="O19" i="1"/>
  <c r="N5" i="1"/>
  <c r="O5" i="1"/>
  <c r="O17" i="1"/>
  <c r="N17" i="1"/>
  <c r="P19" i="1"/>
  <c r="P3" i="1"/>
  <c r="O3" i="1"/>
  <c r="N13" i="1"/>
  <c r="O13" i="1"/>
  <c r="O20" i="1"/>
  <c r="O14" i="1"/>
  <c r="N14" i="1"/>
  <c r="P5" i="1"/>
  <c r="O16" i="1"/>
  <c r="P20" i="1"/>
  <c r="O18" i="1"/>
  <c r="P16" i="1"/>
  <c r="N15" i="1"/>
  <c r="P18" i="1"/>
  <c r="O15" i="1"/>
  <c r="N3" i="1"/>
  <c r="K8" i="1"/>
  <c r="K9" i="1" s="1"/>
  <c r="M9" i="1" s="1"/>
  <c r="P9" i="1" s="1"/>
  <c r="M7" i="1"/>
  <c r="N4" i="1"/>
  <c r="O4" i="1"/>
  <c r="N32" i="1" l="1"/>
  <c r="N33" i="1" s="1"/>
  <c r="N45" i="1" s="1"/>
  <c r="P6" i="1"/>
  <c r="O6" i="1" s="1"/>
  <c r="N9" i="1"/>
  <c r="O9" i="1"/>
  <c r="M8" i="1"/>
  <c r="N7" i="1"/>
  <c r="O7" i="1"/>
  <c r="P7" i="1"/>
  <c r="N8" i="1" l="1"/>
  <c r="O8" i="1"/>
  <c r="P8" i="1"/>
  <c r="K10" i="1" l="1"/>
  <c r="M10" i="1" l="1"/>
  <c r="N10" i="1" l="1"/>
  <c r="O10" i="1"/>
  <c r="P10" i="1"/>
  <c r="P11" i="1" s="1"/>
  <c r="O11" i="1" l="1"/>
  <c r="K21" i="1" l="1"/>
  <c r="K22" i="1" s="1"/>
  <c r="M21" i="1" l="1"/>
  <c r="P21" i="1" s="1"/>
  <c r="M22" i="1"/>
  <c r="K24" i="1"/>
  <c r="N21" i="1" l="1"/>
  <c r="O21" i="1"/>
  <c r="O22" i="1"/>
  <c r="N22" i="1"/>
  <c r="P22" i="1"/>
  <c r="P23" i="1" s="1"/>
  <c r="K25" i="1"/>
  <c r="M24" i="1"/>
  <c r="O23" i="1" l="1"/>
  <c r="O24" i="1"/>
  <c r="P24" i="1"/>
  <c r="N24" i="1"/>
  <c r="K26" i="1"/>
  <c r="M26" i="1" s="1"/>
  <c r="M25" i="1"/>
  <c r="P26" i="1" l="1"/>
  <c r="O26" i="1"/>
  <c r="N26" i="1"/>
  <c r="N25" i="1"/>
  <c r="O25" i="1"/>
  <c r="P25" i="1"/>
  <c r="P27" i="1" l="1"/>
  <c r="O27" i="1" l="1"/>
  <c r="M32" i="1"/>
  <c r="M33" i="1" s="1"/>
  <c r="M45" i="1" l="1"/>
  <c r="O45" i="1" s="1"/>
  <c r="O33" i="1"/>
  <c r="P33" i="1"/>
  <c r="Q33" i="1" s="1"/>
  <c r="O32" i="1"/>
  <c r="P32" i="1"/>
  <c r="Q32" i="1" s="1"/>
  <c r="P45" i="1" l="1"/>
  <c r="Q45" i="1" s="1"/>
</calcChain>
</file>

<file path=xl/sharedStrings.xml><?xml version="1.0" encoding="utf-8"?>
<sst xmlns="http://schemas.openxmlformats.org/spreadsheetml/2006/main" count="147" uniqueCount="62">
  <si>
    <t>Total</t>
  </si>
  <si>
    <t>CP (%)</t>
  </si>
  <si>
    <t>CP (USD/mes)</t>
  </si>
  <si>
    <t xml:space="preserve">k </t>
  </si>
  <si>
    <t>Venta (USD/mes)</t>
  </si>
  <si>
    <t>Costo(USD/mes)</t>
  </si>
  <si>
    <t>Tratamiento</t>
  </si>
  <si>
    <t>Dolar TC</t>
  </si>
  <si>
    <t>Total Servicio</t>
  </si>
  <si>
    <t>Precio por punto</t>
  </si>
  <si>
    <t>Puntos dosificacion</t>
  </si>
  <si>
    <t>4 operadores</t>
  </si>
  <si>
    <t>Costo Operador Completo</t>
  </si>
  <si>
    <t>Agua</t>
  </si>
  <si>
    <t>EERR por tratamiento y global</t>
  </si>
  <si>
    <t>Activo</t>
  </si>
  <si>
    <t>PIAD Entrada TK Pulmón</t>
  </si>
  <si>
    <t>Continuo</t>
  </si>
  <si>
    <t>Secuestrante de oxígeno</t>
  </si>
  <si>
    <t>PIAS-2 Entrada SKIMMER</t>
  </si>
  <si>
    <t>FBS2021</t>
  </si>
  <si>
    <t>Clarificante</t>
  </si>
  <si>
    <t>PIAS-2 Entrada TK Pulmón</t>
  </si>
  <si>
    <t>Inhibidor de incrustaciones</t>
  </si>
  <si>
    <t>PIAS-2 UFLO-2</t>
  </si>
  <si>
    <t>FBS1409</t>
  </si>
  <si>
    <t>Floculante</t>
  </si>
  <si>
    <t>PIAS-1 Entrada TK Pulmón</t>
  </si>
  <si>
    <t>PIAS-1 UFLO-4</t>
  </si>
  <si>
    <t>PIAS-1Entrada SKIMMER</t>
  </si>
  <si>
    <t>PTC Entrada Horno</t>
  </si>
  <si>
    <t>Biocida</t>
  </si>
  <si>
    <t>Batería-09 Colector</t>
  </si>
  <si>
    <t>Batería-08 Colector</t>
  </si>
  <si>
    <t>Batería-07 Colector</t>
  </si>
  <si>
    <t>Batería-06 Colector</t>
  </si>
  <si>
    <t>Batería-05 Colector</t>
  </si>
  <si>
    <t>Batería-04 Colector</t>
  </si>
  <si>
    <t>Batería-02 Colector</t>
  </si>
  <si>
    <t>Batería-01 Colector</t>
  </si>
  <si>
    <t>Estado</t>
  </si>
  <si>
    <t>Pto de Aplic.</t>
  </si>
  <si>
    <t>Venta USD/mes</t>
  </si>
  <si>
    <t xml:space="preserve">Precio USD/lt </t>
  </si>
  <si>
    <t>Costo USD/mes</t>
  </si>
  <si>
    <t>k</t>
  </si>
  <si>
    <t>CR Final (USD/L)</t>
  </si>
  <si>
    <t>Impuesto Pais (+7,5%)</t>
  </si>
  <si>
    <t>Costo Transporte (USD/L)</t>
  </si>
  <si>
    <t>CR(USD/L)</t>
  </si>
  <si>
    <t>Cons. Real (Lts)</t>
  </si>
  <si>
    <t>Cons. Teor. (Lts/mes)</t>
  </si>
  <si>
    <t>Cons. (Lts/d) Teorico</t>
  </si>
  <si>
    <t>Dosis (ppm) Teorica Clt</t>
  </si>
  <si>
    <t xml:space="preserve">P Químico </t>
  </si>
  <si>
    <t>Modo Apicac.</t>
  </si>
  <si>
    <t>Tipo de Producto</t>
  </si>
  <si>
    <t>Caudal (m3/d)</t>
  </si>
  <si>
    <t xml:space="preserve">EERR por tratamiento y global - </t>
  </si>
  <si>
    <t>SO4345</t>
  </si>
  <si>
    <t>BX844</t>
  </si>
  <si>
    <t>IC5400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</si>
</sst>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\ * #,##0.00_-;\-&quot;$&quot;\ * #,##0.00_-;_-&quot;$&quot;\ * &quot;-&quot;??_-;_-@_-"/>
    <numFmt numFmtId="165" formatCode="[$USD]\ #,##0"/>
    <numFmt numFmtId="166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 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" fillId="0" borderId="0"/>
  </cellStyleXfs>
  <cellXfs count="134">
    <xf numFmtId="0" fontId="0" fillId="0" borderId="0" xfId="0"/>
    <xf numFmtId="1" fontId="0" fillId="0" borderId="0" xfId="0" applyNumberFormat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8" fillId="3" borderId="10" xfId="3" applyFont="1" applyFill="1" applyBorder="1" applyAlignment="1">
      <alignment horizontal="center" vertical="center" wrapText="1"/>
    </xf>
    <xf numFmtId="0" fontId="8" fillId="3" borderId="12" xfId="3" applyFont="1" applyFill="1" applyBorder="1" applyAlignment="1">
      <alignment horizontal="center" vertical="center" wrapText="1"/>
    </xf>
    <xf numFmtId="1" fontId="9" fillId="3" borderId="13" xfId="0" applyNumberFormat="1" applyFont="1" applyFill="1" applyBorder="1" applyAlignment="1">
      <alignment horizontal="center" vertical="center" wrapText="1"/>
    </xf>
    <xf numFmtId="1" fontId="10" fillId="3" borderId="13" xfId="3" applyNumberFormat="1" applyFont="1" applyFill="1" applyBorder="1" applyAlignment="1">
      <alignment horizontal="center" vertical="center" wrapText="1"/>
    </xf>
    <xf numFmtId="1" fontId="10" fillId="3" borderId="3" xfId="3" applyNumberFormat="1" applyFont="1" applyFill="1" applyBorder="1" applyAlignment="1">
      <alignment horizontal="center" vertical="center" wrapText="1"/>
    </xf>
    <xf numFmtId="1" fontId="10" fillId="3" borderId="12" xfId="3" applyNumberFormat="1" applyFont="1" applyFill="1" applyBorder="1" applyAlignment="1">
      <alignment horizontal="center" vertical="center" wrapText="1"/>
    </xf>
    <xf numFmtId="1" fontId="10" fillId="4" borderId="10" xfId="3" applyNumberFormat="1" applyFont="1" applyFill="1" applyBorder="1" applyAlignment="1">
      <alignment horizontal="center" vertical="center" wrapText="1"/>
    </xf>
    <xf numFmtId="164" fontId="0" fillId="0" borderId="7" xfId="1" applyFont="1" applyBorder="1"/>
    <xf numFmtId="1" fontId="5" fillId="5" borderId="11" xfId="3" applyNumberFormat="1" applyFont="1" applyFill="1" applyBorder="1" applyAlignment="1">
      <alignment horizontal="center" vertical="center"/>
    </xf>
    <xf numFmtId="1" fontId="5" fillId="5" borderId="4" xfId="3" applyNumberFormat="1" applyFont="1" applyFill="1" applyBorder="1" applyAlignment="1">
      <alignment horizontal="center" vertical="center"/>
    </xf>
    <xf numFmtId="1" fontId="1" fillId="5" borderId="4" xfId="0" applyNumberFormat="1" applyFont="1" applyFill="1" applyBorder="1" applyAlignment="1">
      <alignment horizontal="center" vertical="center"/>
    </xf>
    <xf numFmtId="1" fontId="0" fillId="5" borderId="4" xfId="0" applyNumberFormat="1" applyFill="1" applyBorder="1" applyAlignment="1">
      <alignment horizontal="center" vertical="center"/>
    </xf>
    <xf numFmtId="1" fontId="4" fillId="5" borderId="4" xfId="3" applyNumberFormat="1" applyFont="1" applyFill="1" applyBorder="1" applyAlignment="1">
      <alignment horizontal="center" vertical="center"/>
    </xf>
    <xf numFmtId="2" fontId="1" fillId="5" borderId="4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5" fillId="5" borderId="6" xfId="3" applyNumberFormat="1" applyFont="1" applyFill="1" applyBorder="1" applyAlignment="1">
      <alignment horizontal="center" vertical="center"/>
    </xf>
    <xf numFmtId="9" fontId="1" fillId="5" borderId="4" xfId="2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" fontId="5" fillId="6" borderId="6" xfId="3" applyNumberFormat="1" applyFont="1" applyFill="1" applyBorder="1" applyAlignment="1">
      <alignment horizontal="center" vertical="center"/>
    </xf>
    <xf numFmtId="1" fontId="5" fillId="6" borderId="4" xfId="3" applyNumberFormat="1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1" fontId="4" fillId="6" borderId="4" xfId="3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9" fontId="1" fillId="6" borderId="4" xfId="2" applyFon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" fontId="7" fillId="6" borderId="6" xfId="3" applyNumberFormat="1" applyFont="1" applyFill="1" applyBorder="1" applyAlignment="1">
      <alignment horizontal="center" vertical="center"/>
    </xf>
    <xf numFmtId="1" fontId="1" fillId="6" borderId="6" xfId="0" applyNumberFormat="1" applyFont="1" applyFill="1" applyBorder="1" applyAlignment="1">
      <alignment horizontal="center" vertical="center"/>
    </xf>
    <xf numFmtId="1" fontId="1" fillId="7" borderId="6" xfId="0" applyNumberFormat="1" applyFont="1" applyFill="1" applyBorder="1" applyAlignment="1">
      <alignment horizontal="center" vertical="center"/>
    </xf>
    <xf numFmtId="1" fontId="5" fillId="7" borderId="4" xfId="3" applyNumberFormat="1" applyFont="1" applyFill="1" applyBorder="1" applyAlignment="1">
      <alignment horizontal="center" vertical="center"/>
    </xf>
    <xf numFmtId="1" fontId="1" fillId="7" borderId="4" xfId="0" applyNumberFormat="1" applyFont="1" applyFill="1" applyBorder="1" applyAlignment="1">
      <alignment horizontal="center" vertical="center"/>
    </xf>
    <xf numFmtId="1" fontId="0" fillId="7" borderId="4" xfId="0" applyNumberForma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9" fontId="1" fillId="7" borderId="4" xfId="2" applyFon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" fontId="5" fillId="7" borderId="6" xfId="3" applyNumberFormat="1" applyFont="1" applyFill="1" applyBorder="1" applyAlignment="1">
      <alignment horizontal="center" vertical="center"/>
    </xf>
    <xf numFmtId="1" fontId="4" fillId="7" borderId="4" xfId="3" applyNumberFormat="1" applyFont="1" applyFill="1" applyBorder="1" applyAlignment="1">
      <alignment horizontal="center" vertical="center"/>
    </xf>
    <xf numFmtId="1" fontId="1" fillId="7" borderId="4" xfId="4" applyNumberForma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1" fontId="0" fillId="8" borderId="4" xfId="0" applyNumberFormat="1" applyFill="1" applyBorder="1" applyAlignment="1">
      <alignment horizontal="center" vertical="center"/>
    </xf>
    <xf numFmtId="2" fontId="1" fillId="8" borderId="4" xfId="0" applyNumberFormat="1" applyFont="1" applyFill="1" applyBorder="1" applyAlignment="1">
      <alignment horizontal="center" vertical="center"/>
    </xf>
    <xf numFmtId="9" fontId="1" fillId="8" borderId="4" xfId="2" applyFont="1" applyFill="1" applyBorder="1" applyAlignment="1">
      <alignment horizontal="center" vertical="center"/>
    </xf>
    <xf numFmtId="1" fontId="0" fillId="8" borderId="2" xfId="0" applyNumberFormat="1" applyFill="1" applyBorder="1" applyAlignment="1">
      <alignment horizontal="center" vertical="center"/>
    </xf>
    <xf numFmtId="1" fontId="5" fillId="8" borderId="6" xfId="3" applyNumberFormat="1" applyFont="1" applyFill="1" applyBorder="1" applyAlignment="1">
      <alignment horizontal="center" vertical="center"/>
    </xf>
    <xf numFmtId="1" fontId="5" fillId="8" borderId="4" xfId="3" applyNumberFormat="1" applyFont="1" applyFill="1" applyBorder="1" applyAlignment="1">
      <alignment horizontal="center" vertical="center"/>
    </xf>
    <xf numFmtId="1" fontId="4" fillId="8" borderId="4" xfId="3" applyNumberFormat="1" applyFont="1" applyFill="1" applyBorder="1" applyAlignment="1">
      <alignment horizontal="center" vertical="center"/>
    </xf>
    <xf numFmtId="1" fontId="1" fillId="8" borderId="11" xfId="0" applyNumberFormat="1" applyFont="1" applyFill="1" applyBorder="1" applyAlignment="1">
      <alignment horizontal="center" vertical="center"/>
    </xf>
    <xf numFmtId="1" fontId="1" fillId="8" borderId="9" xfId="4" applyNumberFormat="1" applyFill="1" applyBorder="1" applyAlignment="1">
      <alignment horizontal="center" vertical="center"/>
    </xf>
    <xf numFmtId="1" fontId="1" fillId="8" borderId="9" xfId="0" applyNumberFormat="1" applyFont="1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2" fontId="1" fillId="8" borderId="9" xfId="0" applyNumberFormat="1" applyFont="1" applyFill="1" applyBorder="1" applyAlignment="1">
      <alignment horizontal="center" vertical="center"/>
    </xf>
    <xf numFmtId="9" fontId="1" fillId="8" borderId="9" xfId="2" applyFont="1" applyFill="1" applyBorder="1" applyAlignment="1">
      <alignment horizontal="center" vertical="center"/>
    </xf>
    <xf numFmtId="1" fontId="0" fillId="8" borderId="8" xfId="0" applyNumberFormat="1" applyFill="1" applyBorder="1" applyAlignment="1">
      <alignment horizontal="center" vertical="center"/>
    </xf>
    <xf numFmtId="1" fontId="5" fillId="8" borderId="5" xfId="3" applyNumberFormat="1" applyFont="1" applyFill="1" applyBorder="1" applyAlignment="1">
      <alignment horizontal="center" vertical="center"/>
    </xf>
    <xf numFmtId="1" fontId="5" fillId="8" borderId="15" xfId="3" applyNumberFormat="1" applyFont="1" applyFill="1" applyBorder="1" applyAlignment="1">
      <alignment horizontal="center" vertical="center"/>
    </xf>
    <xf numFmtId="1" fontId="1" fillId="8" borderId="15" xfId="0" applyNumberFormat="1" applyFont="1" applyFill="1" applyBorder="1" applyAlignment="1">
      <alignment horizontal="center" vertical="center"/>
    </xf>
    <xf numFmtId="1" fontId="4" fillId="8" borderId="15" xfId="3" applyNumberFormat="1" applyFont="1" applyFill="1" applyBorder="1" applyAlignment="1">
      <alignment horizontal="center" vertical="center"/>
    </xf>
    <xf numFmtId="2" fontId="1" fillId="8" borderId="15" xfId="0" applyNumberFormat="1" applyFont="1" applyFill="1" applyBorder="1" applyAlignment="1">
      <alignment horizontal="center" vertical="center"/>
    </xf>
    <xf numFmtId="1" fontId="0" fillId="8" borderId="16" xfId="0" applyNumberFormat="1" applyFill="1" applyBorder="1" applyAlignment="1">
      <alignment horizontal="center" vertical="center"/>
    </xf>
    <xf numFmtId="1" fontId="5" fillId="6" borderId="9" xfId="3" applyNumberFormat="1" applyFont="1" applyFill="1" applyBorder="1" applyAlignment="1">
      <alignment horizontal="center" vertical="center"/>
    </xf>
    <xf numFmtId="1" fontId="1" fillId="6" borderId="9" xfId="0" applyNumberFormat="1" applyFont="1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2" fontId="1" fillId="6" borderId="9" xfId="0" applyNumberFormat="1" applyFont="1" applyFill="1" applyBorder="1" applyAlignment="1">
      <alignment horizontal="center" vertical="center"/>
    </xf>
    <xf numFmtId="1" fontId="0" fillId="6" borderId="8" xfId="0" applyNumberFormat="1" applyFill="1" applyBorder="1" applyAlignment="1">
      <alignment horizontal="center" vertical="center"/>
    </xf>
    <xf numFmtId="1" fontId="1" fillId="7" borderId="5" xfId="0" applyNumberFormat="1" applyFont="1" applyFill="1" applyBorder="1" applyAlignment="1">
      <alignment horizontal="center" vertical="center"/>
    </xf>
    <xf numFmtId="1" fontId="1" fillId="7" borderId="15" xfId="4" applyNumberFormat="1" applyFill="1" applyBorder="1" applyAlignment="1">
      <alignment horizontal="center" vertical="center"/>
    </xf>
    <xf numFmtId="1" fontId="1" fillId="7" borderId="15" xfId="0" applyNumberFormat="1" applyFont="1" applyFill="1" applyBorder="1" applyAlignment="1">
      <alignment horizontal="center" vertical="center"/>
    </xf>
    <xf numFmtId="1" fontId="0" fillId="7" borderId="15" xfId="0" applyNumberForma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1" fontId="0" fillId="7" borderId="16" xfId="0" applyNumberFormat="1" applyFill="1" applyBorder="1" applyAlignment="1">
      <alignment horizontal="center" vertical="center"/>
    </xf>
    <xf numFmtId="1" fontId="1" fillId="7" borderId="11" xfId="0" applyNumberFormat="1" applyFont="1" applyFill="1" applyBorder="1" applyAlignment="1">
      <alignment horizontal="center" vertical="center"/>
    </xf>
    <xf numFmtId="1" fontId="5" fillId="7" borderId="9" xfId="3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2" fontId="1" fillId="7" borderId="9" xfId="0" applyNumberFormat="1" applyFont="1" applyFill="1" applyBorder="1" applyAlignment="1">
      <alignment horizontal="center" vertical="center"/>
    </xf>
    <xf numFmtId="9" fontId="1" fillId="7" borderId="9" xfId="2" applyFont="1" applyFill="1" applyBorder="1" applyAlignment="1">
      <alignment horizontal="center" vertical="center"/>
    </xf>
    <xf numFmtId="1" fontId="0" fillId="7" borderId="8" xfId="0" applyNumberFormat="1" applyFill="1" applyBorder="1" applyAlignment="1">
      <alignment horizontal="center" vertical="center"/>
    </xf>
    <xf numFmtId="1" fontId="5" fillId="6" borderId="11" xfId="3" applyNumberFormat="1" applyFont="1" applyFill="1" applyBorder="1" applyAlignment="1">
      <alignment horizontal="center" vertical="center"/>
    </xf>
    <xf numFmtId="1" fontId="4" fillId="6" borderId="9" xfId="3" applyNumberFormat="1" applyFont="1" applyFill="1" applyBorder="1" applyAlignment="1">
      <alignment horizontal="center" vertical="center"/>
    </xf>
    <xf numFmtId="9" fontId="1" fillId="6" borderId="9" xfId="2" applyFont="1" applyFill="1" applyBorder="1" applyAlignment="1">
      <alignment horizontal="center" vertical="center"/>
    </xf>
    <xf numFmtId="9" fontId="1" fillId="5" borderId="9" xfId="2" applyFont="1" applyFill="1" applyBorder="1" applyAlignment="1">
      <alignment horizontal="center" vertical="center"/>
    </xf>
    <xf numFmtId="1" fontId="1" fillId="5" borderId="9" xfId="0" applyNumberFormat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vertical="center"/>
    </xf>
    <xf numFmtId="0" fontId="6" fillId="5" borderId="4" xfId="0" applyFont="1" applyFill="1" applyBorder="1" applyAlignment="1">
      <alignment vertical="center"/>
    </xf>
    <xf numFmtId="1" fontId="5" fillId="5" borderId="5" xfId="3" applyNumberFormat="1" applyFont="1" applyFill="1" applyBorder="1" applyAlignment="1">
      <alignment horizontal="center" vertical="center"/>
    </xf>
    <xf numFmtId="1" fontId="5" fillId="5" borderId="15" xfId="3" applyNumberFormat="1" applyFont="1" applyFill="1" applyBorder="1" applyAlignment="1">
      <alignment horizontal="center" vertical="center"/>
    </xf>
    <xf numFmtId="1" fontId="1" fillId="5" borderId="15" xfId="0" applyNumberFormat="1" applyFon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4" fillId="5" borderId="15" xfId="3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vertical="center"/>
    </xf>
    <xf numFmtId="1" fontId="0" fillId="5" borderId="16" xfId="0" applyNumberFormat="1" applyFill="1" applyBorder="1" applyAlignment="1">
      <alignment horizontal="center" vertical="center"/>
    </xf>
    <xf numFmtId="0" fontId="6" fillId="6" borderId="9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1" fontId="1" fillId="6" borderId="5" xfId="0" applyNumberFormat="1" applyFont="1" applyFill="1" applyBorder="1" applyAlignment="1">
      <alignment horizontal="center" vertical="center"/>
    </xf>
    <xf numFmtId="1" fontId="5" fillId="6" borderId="15" xfId="3" applyNumberFormat="1" applyFont="1" applyFill="1" applyBorder="1" applyAlignment="1">
      <alignment horizontal="center" vertical="center"/>
    </xf>
    <xf numFmtId="1" fontId="1" fillId="6" borderId="15" xfId="0" applyNumberFormat="1" applyFont="1" applyFill="1" applyBorder="1" applyAlignment="1">
      <alignment horizontal="center" vertical="center"/>
    </xf>
    <xf numFmtId="1" fontId="0" fillId="6" borderId="15" xfId="0" applyNumberFormat="1" applyFill="1" applyBorder="1" applyAlignment="1">
      <alignment horizontal="center" vertical="center"/>
    </xf>
    <xf numFmtId="2" fontId="1" fillId="6" borderId="15" xfId="0" applyNumberFormat="1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vertical="center"/>
    </xf>
    <xf numFmtId="1" fontId="0" fillId="6" borderId="16" xfId="0" applyNumberFormat="1" applyFill="1" applyBorder="1" applyAlignment="1">
      <alignment horizontal="center" vertical="center"/>
    </xf>
    <xf numFmtId="0" fontId="6" fillId="7" borderId="9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15" xfId="0" applyFont="1" applyFill="1" applyBorder="1" applyAlignment="1">
      <alignment vertical="center"/>
    </xf>
    <xf numFmtId="0" fontId="6" fillId="8" borderId="9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1" fontId="0" fillId="8" borderId="15" xfId="0" applyNumberFormat="1" applyFill="1" applyBorder="1" applyAlignment="1">
      <alignment horizontal="center" vertical="center"/>
    </xf>
    <xf numFmtId="166" fontId="2" fillId="5" borderId="15" xfId="2" applyNumberFormat="1" applyFont="1" applyFill="1" applyBorder="1" applyAlignment="1">
      <alignment horizontal="center" vertical="center"/>
    </xf>
    <xf numFmtId="1" fontId="2" fillId="5" borderId="15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166" fontId="2" fillId="6" borderId="15" xfId="2" applyNumberFormat="1" applyFont="1" applyFill="1" applyBorder="1" applyAlignment="1">
      <alignment horizontal="center" vertical="center"/>
    </xf>
    <xf numFmtId="1" fontId="2" fillId="6" borderId="15" xfId="0" applyNumberFormat="1" applyFont="1" applyFill="1" applyBorder="1" applyAlignment="1">
      <alignment horizontal="center" vertical="center"/>
    </xf>
    <xf numFmtId="2" fontId="2" fillId="6" borderId="15" xfId="0" applyNumberFormat="1" applyFont="1" applyFill="1" applyBorder="1" applyAlignment="1">
      <alignment horizontal="center" vertical="center"/>
    </xf>
    <xf numFmtId="166" fontId="2" fillId="7" borderId="15" xfId="2" applyNumberFormat="1" applyFont="1" applyFill="1" applyBorder="1" applyAlignment="1">
      <alignment horizontal="center" vertical="center"/>
    </xf>
    <xf numFmtId="1" fontId="2" fillId="7" borderId="15" xfId="0" applyNumberFormat="1" applyFont="1" applyFill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166" fontId="2" fillId="8" borderId="15" xfId="2" applyNumberFormat="1" applyFont="1" applyFill="1" applyBorder="1" applyAlignment="1">
      <alignment horizontal="center" vertical="center"/>
    </xf>
    <xf numFmtId="1" fontId="2" fillId="8" borderId="15" xfId="0" applyNumberFormat="1" applyFont="1" applyFill="1" applyBorder="1" applyAlignment="1">
      <alignment horizontal="center" vertical="center"/>
    </xf>
    <xf numFmtId="2" fontId="2" fillId="8" borderId="15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</cellXfs>
  <cellStyles count="5">
    <cellStyle name="Moneda" xfId="1" builtinId="4"/>
    <cellStyle name="Normal" xfId="0" builtinId="0"/>
    <cellStyle name="Normal 2" xfId="3"/>
    <cellStyle name="Normal 2 16" xfId="4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lomf01\jbustos1$\Documents%20and%20Settings\y138299\Local%20Settings\Temp\Tratamientos%20Febrero%2007%20Hierro%20y%20Fosf%20Repso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CC chsn"/>
      <sheetName val="BC chsn"/>
      <sheetName val="CI chsn"/>
      <sheetName val="CC lms"/>
      <sheetName val="BC lms"/>
      <sheetName val="CI lms"/>
      <sheetName val="CC el"/>
      <sheetName val="BC el"/>
      <sheetName val="CI el"/>
      <sheetName val="CC db"/>
      <sheetName val="BC db"/>
      <sheetName val="CI db"/>
      <sheetName val="CC pm"/>
      <sheetName val="BC pm"/>
      <sheetName val="CI pm"/>
      <sheetName val="Bat. Corr. "/>
      <sheetName val="Bat. Incr."/>
      <sheetName val="Otros Bach."/>
      <sheetName val="Parafina"/>
      <sheetName val="CC"/>
      <sheetName val="BC"/>
      <sheetName val="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5"/>
  <sheetViews>
    <sheetView tabSelected="1" workbookViewId="0">
      <pane xSplit="5" ySplit="1" topLeftCell="J2" activePane="bottomRight" state="frozen"/>
      <selection pane="topRight" activeCell="F1" sqref="F1"/>
      <selection pane="bottomLeft" activeCell="A2" sqref="A2"/>
      <selection pane="bottomRight" activeCell="M3" sqref="M3"/>
    </sheetView>
  </sheetViews>
  <sheetFormatPr baseColWidth="10" defaultRowHeight="15"/>
  <cols>
    <col min="1" max="2" width="11.42578125" style="1"/>
    <col min="3" max="3" width="25.28515625" style="1" bestFit="1" customWidth="1"/>
    <col min="4" max="4" width="11.42578125" style="1"/>
    <col min="5" max="5" width="12.7109375" style="1" customWidth="1"/>
    <col min="6" max="10" width="11.42578125" style="1"/>
    <col min="11" max="11" width="18" style="1" customWidth="1"/>
    <col min="12" max="13" width="12.7109375" style="1" customWidth="1"/>
    <col min="14" max="14" width="15.5703125" style="1" bestFit="1" customWidth="1"/>
    <col min="15" max="16" width="12.7109375" style="1" customWidth="1"/>
    <col min="17" max="17" width="11.42578125" style="1"/>
    <col min="18" max="18" width="23.140625" style="1" customWidth="1"/>
    <col min="19" max="19" width="32.85546875" style="1" bestFit="1" customWidth="1"/>
    <col min="20" max="20" width="12.85546875" style="1" bestFit="1" customWidth="1"/>
    <col min="21" max="16384" width="11.42578125" style="1"/>
  </cols>
  <sheetData>
    <row r="1" spans="2:22" ht="15.75" thickBot="1"/>
    <row r="2" spans="2:22" ht="43.5" customHeight="1" thickBot="1">
      <c r="B2" s="18" t="s">
        <v>57</v>
      </c>
      <c r="C2" s="17" t="s">
        <v>56</v>
      </c>
      <c r="D2" s="16" t="s">
        <v>55</v>
      </c>
      <c r="E2" s="15" t="s">
        <v>54</v>
      </c>
      <c r="F2" s="15" t="s">
        <v>53</v>
      </c>
      <c r="G2" s="15" t="s">
        <v>52</v>
      </c>
      <c r="H2" s="15" t="s">
        <v>51</v>
      </c>
      <c r="I2" s="15" t="s">
        <v>50</v>
      </c>
      <c r="J2" s="15" t="s">
        <v>49</v>
      </c>
      <c r="K2" s="15" t="s">
        <v>48</v>
      </c>
      <c r="L2" s="15" t="s">
        <v>47</v>
      </c>
      <c r="M2" s="15" t="s">
        <v>46</v>
      </c>
      <c r="N2" s="15" t="s">
        <v>45</v>
      </c>
      <c r="O2" s="15" t="s">
        <v>1</v>
      </c>
      <c r="P2" s="15" t="s">
        <v>44</v>
      </c>
      <c r="Q2" s="14" t="s">
        <v>43</v>
      </c>
      <c r="R2" s="14" t="s">
        <v>42</v>
      </c>
      <c r="S2" s="13" t="s">
        <v>41</v>
      </c>
      <c r="T2" s="12" t="s">
        <v>40</v>
      </c>
      <c r="U2" s="1" t="s">
        <v>43</v>
      </c>
      <c r="V2" s="14" t="s">
        <v>42</v>
      </c>
    </row>
    <row r="3" spans="2:22">
      <c r="B3" s="20">
        <v>18000</v>
      </c>
      <c r="C3" s="21" t="s">
        <v>31</v>
      </c>
      <c r="D3" s="22" t="s">
        <v>17</v>
      </c>
      <c r="E3" s="23" t="s">
        <v>60</v>
      </c>
      <c r="F3" s="24">
        <v>50</v>
      </c>
      <c r="G3" s="22">
        <f>(F3*B3)/1000</f>
        <v>900</v>
      </c>
      <c r="H3" s="22">
        <f>(G3*30.5)/4</f>
        <v>6862.5</v>
      </c>
      <c r="I3" s="25"/>
      <c r="J3" s="25">
        <v>2.92</v>
      </c>
      <c r="K3" s="26">
        <v>0.19</v>
      </c>
      <c r="L3" s="26"/>
      <c r="M3" s="25">
        <f>L3+K3+J3</f>
        <v>3.11</v>
      </c>
      <c r="N3" s="26">
        <f>Q3/M3</f>
        <v>1.2508038585209005</v>
      </c>
      <c r="O3" s="93">
        <f>(Q3-0.055*Q3-M3)/Q3</f>
        <v>0.14551413881748076</v>
      </c>
      <c r="P3" s="94">
        <f>M3*H3</f>
        <v>21342.375</v>
      </c>
      <c r="Q3" s="26">
        <v>3.89</v>
      </c>
      <c r="R3" s="22">
        <f>H3*Q3</f>
        <v>26695.125</v>
      </c>
      <c r="S3" s="95" t="s">
        <v>27</v>
      </c>
      <c r="T3" s="27" t="s">
        <v>15</v>
      </c>
    </row>
    <row r="4" spans="2:22">
      <c r="B4" s="28">
        <v>12000</v>
      </c>
      <c r="C4" s="21" t="s">
        <v>31</v>
      </c>
      <c r="D4" s="22" t="s">
        <v>17</v>
      </c>
      <c r="E4" s="23" t="s">
        <v>60</v>
      </c>
      <c r="F4" s="24">
        <v>50</v>
      </c>
      <c r="G4" s="22">
        <f>(F4*B4)/1000</f>
        <v>600</v>
      </c>
      <c r="H4" s="22">
        <f>(G4*30.5)/4</f>
        <v>4575</v>
      </c>
      <c r="I4" s="25"/>
      <c r="J4" s="25">
        <v>2.92</v>
      </c>
      <c r="K4" s="25">
        <f>K3</f>
        <v>0.19</v>
      </c>
      <c r="L4" s="25"/>
      <c r="M4" s="25">
        <f>L4+K4+J4</f>
        <v>3.11</v>
      </c>
      <c r="N4" s="25">
        <f>Q4/M4</f>
        <v>1.2508038585209005</v>
      </c>
      <c r="O4" s="29">
        <f>(Q4-0.055*Q4-M4)/Q4</f>
        <v>0.14551413881748076</v>
      </c>
      <c r="P4" s="22">
        <f>M4*H4</f>
        <v>14228.25</v>
      </c>
      <c r="Q4" s="25">
        <v>3.89</v>
      </c>
      <c r="R4" s="22">
        <f>H4*Q4</f>
        <v>17796.75</v>
      </c>
      <c r="S4" s="96" t="s">
        <v>22</v>
      </c>
      <c r="T4" s="30" t="s">
        <v>15</v>
      </c>
    </row>
    <row r="5" spans="2:22">
      <c r="B5" s="28">
        <v>2000</v>
      </c>
      <c r="C5" s="21" t="s">
        <v>31</v>
      </c>
      <c r="D5" s="22" t="s">
        <v>17</v>
      </c>
      <c r="E5" s="23" t="s">
        <v>60</v>
      </c>
      <c r="F5" s="24">
        <v>50</v>
      </c>
      <c r="G5" s="22">
        <f>(F5*B5)/1000</f>
        <v>100</v>
      </c>
      <c r="H5" s="22">
        <f>(G5*30.5)/4</f>
        <v>762.5</v>
      </c>
      <c r="I5" s="25"/>
      <c r="J5" s="25">
        <v>2.92</v>
      </c>
      <c r="K5" s="25">
        <f>K4</f>
        <v>0.19</v>
      </c>
      <c r="L5" s="25"/>
      <c r="M5" s="25">
        <f>L5+K5+J5</f>
        <v>3.11</v>
      </c>
      <c r="N5" s="25">
        <f>Q5/M5</f>
        <v>1.2508038585209005</v>
      </c>
      <c r="O5" s="29">
        <f>(Q5-0.055*Q5-M5)/Q5</f>
        <v>0.14551413881748076</v>
      </c>
      <c r="P5" s="22">
        <f>M5*H5</f>
        <v>2371.375</v>
      </c>
      <c r="Q5" s="25">
        <v>3.89</v>
      </c>
      <c r="R5" s="22">
        <f>H5*Q5</f>
        <v>2966.125</v>
      </c>
      <c r="S5" s="96" t="s">
        <v>16</v>
      </c>
      <c r="T5" s="30" t="s">
        <v>15</v>
      </c>
    </row>
    <row r="6" spans="2:22" ht="15.75" thickBot="1">
      <c r="B6" s="97"/>
      <c r="C6" s="98"/>
      <c r="D6" s="99"/>
      <c r="E6" s="100"/>
      <c r="F6" s="101"/>
      <c r="G6" s="99"/>
      <c r="H6" s="99"/>
      <c r="I6" s="102"/>
      <c r="J6" s="102"/>
      <c r="K6" s="102"/>
      <c r="L6" s="102"/>
      <c r="M6" s="102"/>
      <c r="N6" s="102"/>
      <c r="O6" s="120">
        <f>(R6-P6-0.055*R6)/R6</f>
        <v>0.14551413881748071</v>
      </c>
      <c r="P6" s="121">
        <f>SUM(P3:P5)</f>
        <v>37942</v>
      </c>
      <c r="Q6" s="122"/>
      <c r="R6" s="121">
        <f>SUM(R3:R5)</f>
        <v>47458</v>
      </c>
      <c r="S6" s="103"/>
      <c r="T6" s="104"/>
    </row>
    <row r="7" spans="2:22">
      <c r="B7" s="90">
        <v>18000</v>
      </c>
      <c r="C7" s="72" t="s">
        <v>26</v>
      </c>
      <c r="D7" s="73" t="s">
        <v>17</v>
      </c>
      <c r="E7" s="74" t="s">
        <v>25</v>
      </c>
      <c r="F7" s="91">
        <v>3</v>
      </c>
      <c r="G7" s="73">
        <f>(F7*B7)/1000</f>
        <v>54</v>
      </c>
      <c r="H7" s="73">
        <f>G7*30.5</f>
        <v>1647</v>
      </c>
      <c r="I7" s="75"/>
      <c r="J7" s="75">
        <v>5.0599999999999996</v>
      </c>
      <c r="K7" s="75">
        <f>K4</f>
        <v>0.19</v>
      </c>
      <c r="L7" s="75"/>
      <c r="M7" s="75">
        <f>L7+K7+J7</f>
        <v>5.25</v>
      </c>
      <c r="N7" s="75">
        <f>Q7/M7</f>
        <v>1.5523809523809524</v>
      </c>
      <c r="O7" s="92">
        <f>(Q7-0.055*Q7-M7)/Q7</f>
        <v>0.30082822085889577</v>
      </c>
      <c r="P7" s="73">
        <f>M7*H7</f>
        <v>8646.75</v>
      </c>
      <c r="Q7" s="75">
        <v>8.15</v>
      </c>
      <c r="R7" s="73">
        <f>H7*Q7</f>
        <v>13423.050000000001</v>
      </c>
      <c r="S7" s="105" t="s">
        <v>28</v>
      </c>
      <c r="T7" s="76" t="s">
        <v>15</v>
      </c>
    </row>
    <row r="8" spans="2:22">
      <c r="B8" s="39">
        <v>12000</v>
      </c>
      <c r="C8" s="32" t="s">
        <v>26</v>
      </c>
      <c r="D8" s="33" t="s">
        <v>17</v>
      </c>
      <c r="E8" s="34" t="s">
        <v>25</v>
      </c>
      <c r="F8" s="35">
        <v>3</v>
      </c>
      <c r="G8" s="33">
        <f>(F8*B8)/1000</f>
        <v>36</v>
      </c>
      <c r="H8" s="33">
        <f>G8*30.5</f>
        <v>1098</v>
      </c>
      <c r="I8" s="36"/>
      <c r="J8" s="36">
        <v>5.0599999999999996</v>
      </c>
      <c r="K8" s="36">
        <f>K7</f>
        <v>0.19</v>
      </c>
      <c r="L8" s="36"/>
      <c r="M8" s="36">
        <f>L8+K8+J8</f>
        <v>5.25</v>
      </c>
      <c r="N8" s="36">
        <f>Q8/M8</f>
        <v>1.5523809523809524</v>
      </c>
      <c r="O8" s="37">
        <f>(Q8-0.055*Q8-M8)/Q8</f>
        <v>0.30082822085889577</v>
      </c>
      <c r="P8" s="33">
        <f>M8*H8</f>
        <v>5764.5</v>
      </c>
      <c r="Q8" s="36">
        <v>8.15</v>
      </c>
      <c r="R8" s="33">
        <f>H8*Q8</f>
        <v>8948.7000000000007</v>
      </c>
      <c r="S8" s="106" t="s">
        <v>24</v>
      </c>
      <c r="T8" s="38" t="s">
        <v>15</v>
      </c>
    </row>
    <row r="9" spans="2:22">
      <c r="B9" s="31">
        <v>18000</v>
      </c>
      <c r="C9" s="32" t="s">
        <v>21</v>
      </c>
      <c r="D9" s="33" t="s">
        <v>17</v>
      </c>
      <c r="E9" s="34" t="s">
        <v>20</v>
      </c>
      <c r="F9" s="35">
        <v>10</v>
      </c>
      <c r="G9" s="33">
        <f>(F9*B9)/1000</f>
        <v>180</v>
      </c>
      <c r="H9" s="33">
        <f>G9*30.5</f>
        <v>5490</v>
      </c>
      <c r="I9" s="36"/>
      <c r="J9" s="36">
        <v>1.9</v>
      </c>
      <c r="K9" s="36">
        <f>K8</f>
        <v>0.19</v>
      </c>
      <c r="L9" s="36"/>
      <c r="M9" s="36">
        <f>L9+K9+J9</f>
        <v>2.09</v>
      </c>
      <c r="N9" s="36">
        <f>Q9/M9</f>
        <v>1.6889952153110048</v>
      </c>
      <c r="O9" s="37">
        <f>(Q9-0.055*Q9-M9)/Q9</f>
        <v>0.35293201133144475</v>
      </c>
      <c r="P9" s="33">
        <f>M9*H9</f>
        <v>11474.099999999999</v>
      </c>
      <c r="Q9" s="36">
        <v>3.53</v>
      </c>
      <c r="R9" s="33">
        <f>H9*Q9</f>
        <v>19379.7</v>
      </c>
      <c r="S9" s="106" t="s">
        <v>29</v>
      </c>
      <c r="T9" s="38" t="s">
        <v>15</v>
      </c>
    </row>
    <row r="10" spans="2:22">
      <c r="B10" s="40">
        <v>12000</v>
      </c>
      <c r="C10" s="32" t="s">
        <v>21</v>
      </c>
      <c r="D10" s="33" t="s">
        <v>17</v>
      </c>
      <c r="E10" s="34" t="s">
        <v>20</v>
      </c>
      <c r="F10" s="33">
        <v>10</v>
      </c>
      <c r="G10" s="33">
        <f>(F10*B10)/1000</f>
        <v>120</v>
      </c>
      <c r="H10" s="33">
        <f>G10*30.5</f>
        <v>3660</v>
      </c>
      <c r="I10" s="36"/>
      <c r="J10" s="36">
        <v>1.9</v>
      </c>
      <c r="K10" s="36">
        <f>K9</f>
        <v>0.19</v>
      </c>
      <c r="L10" s="36"/>
      <c r="M10" s="36">
        <f>L10+K10+J10</f>
        <v>2.09</v>
      </c>
      <c r="N10" s="36">
        <f>Q10/M10</f>
        <v>1.6889952153110048</v>
      </c>
      <c r="O10" s="37">
        <f>(Q10-0.055*Q10-M10)/Q10</f>
        <v>0.35293201133144475</v>
      </c>
      <c r="P10" s="33">
        <f>M10*H10</f>
        <v>7649.4</v>
      </c>
      <c r="Q10" s="36">
        <v>3.53</v>
      </c>
      <c r="R10" s="33">
        <f>H10*Q10</f>
        <v>12919.8</v>
      </c>
      <c r="S10" s="106" t="s">
        <v>19</v>
      </c>
      <c r="T10" s="38" t="s">
        <v>15</v>
      </c>
    </row>
    <row r="11" spans="2:22" ht="15.75" thickBot="1">
      <c r="B11" s="107"/>
      <c r="C11" s="108"/>
      <c r="D11" s="109"/>
      <c r="E11" s="110"/>
      <c r="F11" s="109"/>
      <c r="G11" s="109"/>
      <c r="H11" s="109"/>
      <c r="I11" s="111"/>
      <c r="J11" s="111"/>
      <c r="K11" s="111"/>
      <c r="L11" s="111"/>
      <c r="M11" s="111"/>
      <c r="N11" s="111"/>
      <c r="O11" s="123">
        <f>(R11-P11-0.055*R11)/R11</f>
        <v>0.33161087866108785</v>
      </c>
      <c r="P11" s="124">
        <f>SUM(P7:P10)</f>
        <v>33534.75</v>
      </c>
      <c r="Q11" s="125"/>
      <c r="R11" s="124">
        <f>SUM(R7:R10)</f>
        <v>54671.25</v>
      </c>
      <c r="S11" s="112"/>
      <c r="T11" s="113"/>
    </row>
    <row r="12" spans="2:22">
      <c r="B12" s="83">
        <v>6015.28</v>
      </c>
      <c r="C12" s="84" t="s">
        <v>23</v>
      </c>
      <c r="D12" s="85" t="s">
        <v>17</v>
      </c>
      <c r="E12" s="86" t="s">
        <v>61</v>
      </c>
      <c r="F12" s="85">
        <v>5</v>
      </c>
      <c r="G12" s="85">
        <f t="shared" ref="G12:G22" si="0">(F12*B12)/1000</f>
        <v>30.0764</v>
      </c>
      <c r="H12" s="85">
        <f t="shared" ref="H12:H22" si="1">G12*30.5</f>
        <v>917.33019999999999</v>
      </c>
      <c r="I12" s="87"/>
      <c r="J12" s="87">
        <v>1.34</v>
      </c>
      <c r="K12" s="87">
        <v>0.19</v>
      </c>
      <c r="L12" s="87"/>
      <c r="M12" s="87">
        <f t="shared" ref="M12:M22" si="2">L12+K12+J12</f>
        <v>1.53</v>
      </c>
      <c r="N12" s="87">
        <f t="shared" ref="N12:N22" si="3">Q12/M12</f>
        <v>2.65359477124183</v>
      </c>
      <c r="O12" s="88">
        <f t="shared" ref="O12:O22" si="4">(Q12-0.055*Q12-M12)/Q12</f>
        <v>0.56815270935960582</v>
      </c>
      <c r="P12" s="85">
        <f t="shared" ref="P12:P22" si="5">M12*H12</f>
        <v>1403.515206</v>
      </c>
      <c r="Q12" s="87">
        <v>4.0599999999999996</v>
      </c>
      <c r="R12" s="85">
        <f t="shared" ref="R12:R22" si="6">H12*Q12</f>
        <v>3724.3606119999995</v>
      </c>
      <c r="S12" s="114" t="s">
        <v>39</v>
      </c>
      <c r="T12" s="89" t="s">
        <v>15</v>
      </c>
      <c r="U12" s="9">
        <v>4.84</v>
      </c>
      <c r="V12" s="9">
        <f>U12*H12</f>
        <v>4439.8781680000002</v>
      </c>
    </row>
    <row r="13" spans="2:22">
      <c r="B13" s="41">
        <v>3783.49</v>
      </c>
      <c r="C13" s="42" t="s">
        <v>23</v>
      </c>
      <c r="D13" s="43" t="s">
        <v>17</v>
      </c>
      <c r="E13" s="44" t="s">
        <v>61</v>
      </c>
      <c r="F13" s="43">
        <v>5</v>
      </c>
      <c r="G13" s="43">
        <f t="shared" si="0"/>
        <v>18.917449999999999</v>
      </c>
      <c r="H13" s="43">
        <f t="shared" si="1"/>
        <v>576.98222499999997</v>
      </c>
      <c r="I13" s="45"/>
      <c r="J13" s="45">
        <v>1.34</v>
      </c>
      <c r="K13" s="45">
        <f t="shared" ref="K13:K22" si="7">K12</f>
        <v>0.19</v>
      </c>
      <c r="L13" s="45"/>
      <c r="M13" s="45">
        <f t="shared" si="2"/>
        <v>1.53</v>
      </c>
      <c r="N13" s="45">
        <f t="shared" si="3"/>
        <v>2.65359477124183</v>
      </c>
      <c r="O13" s="46">
        <f t="shared" si="4"/>
        <v>0.56815270935960582</v>
      </c>
      <c r="P13" s="43">
        <f t="shared" si="5"/>
        <v>882.78280425000003</v>
      </c>
      <c r="Q13" s="45">
        <v>4.0599999999999996</v>
      </c>
      <c r="R13" s="43">
        <f t="shared" si="6"/>
        <v>2342.5478334999998</v>
      </c>
      <c r="S13" s="115" t="s">
        <v>38</v>
      </c>
      <c r="T13" s="47" t="s">
        <v>15</v>
      </c>
      <c r="U13" s="9">
        <v>4.84</v>
      </c>
      <c r="V13" s="9">
        <f t="shared" ref="V13:V22" si="8">U13*H13</f>
        <v>2792.5939689999996</v>
      </c>
    </row>
    <row r="14" spans="2:22">
      <c r="B14" s="41">
        <v>8047.5</v>
      </c>
      <c r="C14" s="42" t="s">
        <v>23</v>
      </c>
      <c r="D14" s="43" t="s">
        <v>17</v>
      </c>
      <c r="E14" s="44" t="s">
        <v>61</v>
      </c>
      <c r="F14" s="43">
        <v>5</v>
      </c>
      <c r="G14" s="43">
        <f t="shared" si="0"/>
        <v>40.237499999999997</v>
      </c>
      <c r="H14" s="43">
        <f t="shared" si="1"/>
        <v>1227.2437499999999</v>
      </c>
      <c r="I14" s="45"/>
      <c r="J14" s="45">
        <v>1.34</v>
      </c>
      <c r="K14" s="45">
        <f t="shared" si="7"/>
        <v>0.19</v>
      </c>
      <c r="L14" s="45"/>
      <c r="M14" s="45">
        <f t="shared" si="2"/>
        <v>1.53</v>
      </c>
      <c r="N14" s="45">
        <f t="shared" si="3"/>
        <v>2.65359477124183</v>
      </c>
      <c r="O14" s="46">
        <f t="shared" si="4"/>
        <v>0.56815270935960582</v>
      </c>
      <c r="P14" s="43">
        <f t="shared" si="5"/>
        <v>1877.6829374999998</v>
      </c>
      <c r="Q14" s="45">
        <v>4.0599999999999996</v>
      </c>
      <c r="R14" s="43">
        <f t="shared" si="6"/>
        <v>4982.6096249999991</v>
      </c>
      <c r="S14" s="115" t="s">
        <v>37</v>
      </c>
      <c r="T14" s="47" t="s">
        <v>15</v>
      </c>
      <c r="U14" s="9">
        <v>4.84</v>
      </c>
      <c r="V14" s="9">
        <f t="shared" si="8"/>
        <v>5939.8597499999987</v>
      </c>
    </row>
    <row r="15" spans="2:22">
      <c r="B15" s="48">
        <v>5554</v>
      </c>
      <c r="C15" s="42" t="s">
        <v>23</v>
      </c>
      <c r="D15" s="43" t="s">
        <v>17</v>
      </c>
      <c r="E15" s="44" t="s">
        <v>61</v>
      </c>
      <c r="F15" s="43">
        <v>5</v>
      </c>
      <c r="G15" s="43">
        <f t="shared" si="0"/>
        <v>27.77</v>
      </c>
      <c r="H15" s="43">
        <f t="shared" si="1"/>
        <v>846.98500000000001</v>
      </c>
      <c r="I15" s="45"/>
      <c r="J15" s="45">
        <v>1.34</v>
      </c>
      <c r="K15" s="45">
        <f t="shared" si="7"/>
        <v>0.19</v>
      </c>
      <c r="L15" s="45"/>
      <c r="M15" s="45">
        <f t="shared" si="2"/>
        <v>1.53</v>
      </c>
      <c r="N15" s="45">
        <f t="shared" si="3"/>
        <v>2.65359477124183</v>
      </c>
      <c r="O15" s="46">
        <f t="shared" si="4"/>
        <v>0.56815270935960582</v>
      </c>
      <c r="P15" s="43">
        <f t="shared" si="5"/>
        <v>1295.88705</v>
      </c>
      <c r="Q15" s="45">
        <v>4.0599999999999996</v>
      </c>
      <c r="R15" s="43">
        <f t="shared" si="6"/>
        <v>3438.7590999999998</v>
      </c>
      <c r="S15" s="115" t="s">
        <v>36</v>
      </c>
      <c r="T15" s="47" t="s">
        <v>15</v>
      </c>
      <c r="U15" s="9">
        <v>4.84</v>
      </c>
      <c r="V15" s="9">
        <f t="shared" si="8"/>
        <v>4099.4074000000001</v>
      </c>
    </row>
    <row r="16" spans="2:22">
      <c r="B16" s="48">
        <v>1517.43</v>
      </c>
      <c r="C16" s="42" t="s">
        <v>23</v>
      </c>
      <c r="D16" s="43" t="s">
        <v>17</v>
      </c>
      <c r="E16" s="44" t="s">
        <v>61</v>
      </c>
      <c r="F16" s="43">
        <v>5</v>
      </c>
      <c r="G16" s="43">
        <f t="shared" si="0"/>
        <v>7.5871500000000003</v>
      </c>
      <c r="H16" s="43">
        <f t="shared" si="1"/>
        <v>231.408075</v>
      </c>
      <c r="I16" s="45"/>
      <c r="J16" s="45">
        <v>1.34</v>
      </c>
      <c r="K16" s="45">
        <f t="shared" si="7"/>
        <v>0.19</v>
      </c>
      <c r="L16" s="45"/>
      <c r="M16" s="45">
        <f t="shared" si="2"/>
        <v>1.53</v>
      </c>
      <c r="N16" s="45">
        <f t="shared" si="3"/>
        <v>2.65359477124183</v>
      </c>
      <c r="O16" s="46">
        <f t="shared" si="4"/>
        <v>0.56815270935960582</v>
      </c>
      <c r="P16" s="43">
        <f t="shared" si="5"/>
        <v>354.05435475000002</v>
      </c>
      <c r="Q16" s="45">
        <v>4.0599999999999996</v>
      </c>
      <c r="R16" s="43">
        <f t="shared" si="6"/>
        <v>939.51678449999986</v>
      </c>
      <c r="S16" s="115" t="s">
        <v>35</v>
      </c>
      <c r="T16" s="47" t="s">
        <v>15</v>
      </c>
      <c r="U16" s="9">
        <v>4.84</v>
      </c>
      <c r="V16" s="9">
        <f t="shared" si="8"/>
        <v>1120.015083</v>
      </c>
    </row>
    <row r="17" spans="2:22">
      <c r="B17" s="48">
        <v>1128.5899999999999</v>
      </c>
      <c r="C17" s="42" t="s">
        <v>23</v>
      </c>
      <c r="D17" s="43" t="s">
        <v>17</v>
      </c>
      <c r="E17" s="44" t="s">
        <v>61</v>
      </c>
      <c r="F17" s="49">
        <v>5</v>
      </c>
      <c r="G17" s="43">
        <f t="shared" si="0"/>
        <v>5.6429499999999999</v>
      </c>
      <c r="H17" s="43">
        <f t="shared" si="1"/>
        <v>172.10997499999999</v>
      </c>
      <c r="I17" s="45"/>
      <c r="J17" s="45">
        <v>1.34</v>
      </c>
      <c r="K17" s="45">
        <f t="shared" si="7"/>
        <v>0.19</v>
      </c>
      <c r="L17" s="45"/>
      <c r="M17" s="45">
        <f t="shared" si="2"/>
        <v>1.53</v>
      </c>
      <c r="N17" s="45">
        <f t="shared" si="3"/>
        <v>2.65359477124183</v>
      </c>
      <c r="O17" s="46">
        <f t="shared" si="4"/>
        <v>0.56815270935960582</v>
      </c>
      <c r="P17" s="43">
        <f t="shared" si="5"/>
        <v>263.32826174999997</v>
      </c>
      <c r="Q17" s="45">
        <v>4.0599999999999996</v>
      </c>
      <c r="R17" s="43">
        <f t="shared" si="6"/>
        <v>698.7664984999999</v>
      </c>
      <c r="S17" s="115" t="s">
        <v>34</v>
      </c>
      <c r="T17" s="47" t="s">
        <v>15</v>
      </c>
      <c r="U17" s="9">
        <v>4.84</v>
      </c>
      <c r="V17" s="9">
        <f t="shared" si="8"/>
        <v>833.01227899999992</v>
      </c>
    </row>
    <row r="18" spans="2:22">
      <c r="B18" s="48">
        <v>3772</v>
      </c>
      <c r="C18" s="42" t="s">
        <v>23</v>
      </c>
      <c r="D18" s="43" t="s">
        <v>17</v>
      </c>
      <c r="E18" s="44" t="s">
        <v>61</v>
      </c>
      <c r="F18" s="49">
        <v>5</v>
      </c>
      <c r="G18" s="43">
        <f t="shared" si="0"/>
        <v>18.86</v>
      </c>
      <c r="H18" s="43">
        <f t="shared" si="1"/>
        <v>575.23</v>
      </c>
      <c r="I18" s="45"/>
      <c r="J18" s="45">
        <v>1.34</v>
      </c>
      <c r="K18" s="45">
        <f t="shared" si="7"/>
        <v>0.19</v>
      </c>
      <c r="L18" s="45"/>
      <c r="M18" s="45">
        <f t="shared" si="2"/>
        <v>1.53</v>
      </c>
      <c r="N18" s="45">
        <f t="shared" si="3"/>
        <v>2.65359477124183</v>
      </c>
      <c r="O18" s="46">
        <f t="shared" si="4"/>
        <v>0.56815270935960582</v>
      </c>
      <c r="P18" s="43">
        <f t="shared" si="5"/>
        <v>880.1019</v>
      </c>
      <c r="Q18" s="45">
        <v>4.0599999999999996</v>
      </c>
      <c r="R18" s="43">
        <f t="shared" si="6"/>
        <v>2335.4337999999998</v>
      </c>
      <c r="S18" s="115" t="s">
        <v>33</v>
      </c>
      <c r="T18" s="47" t="s">
        <v>15</v>
      </c>
      <c r="U18" s="9">
        <v>4.84</v>
      </c>
      <c r="V18" s="9">
        <f t="shared" si="8"/>
        <v>2784.1131999999998</v>
      </c>
    </row>
    <row r="19" spans="2:22">
      <c r="B19" s="48">
        <v>5240</v>
      </c>
      <c r="C19" s="42" t="s">
        <v>23</v>
      </c>
      <c r="D19" s="43" t="s">
        <v>17</v>
      </c>
      <c r="E19" s="44" t="s">
        <v>61</v>
      </c>
      <c r="F19" s="49">
        <v>5</v>
      </c>
      <c r="G19" s="43">
        <f t="shared" si="0"/>
        <v>26.2</v>
      </c>
      <c r="H19" s="43">
        <f t="shared" si="1"/>
        <v>799.1</v>
      </c>
      <c r="I19" s="45"/>
      <c r="J19" s="45">
        <v>1.34</v>
      </c>
      <c r="K19" s="45">
        <f t="shared" si="7"/>
        <v>0.19</v>
      </c>
      <c r="L19" s="45"/>
      <c r="M19" s="45">
        <f t="shared" si="2"/>
        <v>1.53</v>
      </c>
      <c r="N19" s="45">
        <f t="shared" si="3"/>
        <v>2.65359477124183</v>
      </c>
      <c r="O19" s="46">
        <f t="shared" si="4"/>
        <v>0.56815270935960582</v>
      </c>
      <c r="P19" s="43">
        <f t="shared" si="5"/>
        <v>1222.623</v>
      </c>
      <c r="Q19" s="45">
        <v>4.0599999999999996</v>
      </c>
      <c r="R19" s="43">
        <f t="shared" si="6"/>
        <v>3244.346</v>
      </c>
      <c r="S19" s="115" t="s">
        <v>32</v>
      </c>
      <c r="T19" s="47" t="s">
        <v>15</v>
      </c>
      <c r="U19" s="9">
        <v>4.84</v>
      </c>
      <c r="V19" s="9">
        <f t="shared" si="8"/>
        <v>3867.6439999999998</v>
      </c>
    </row>
    <row r="20" spans="2:22">
      <c r="B20" s="48">
        <v>1000</v>
      </c>
      <c r="C20" s="42" t="s">
        <v>23</v>
      </c>
      <c r="D20" s="43" t="s">
        <v>17</v>
      </c>
      <c r="E20" s="44" t="s">
        <v>61</v>
      </c>
      <c r="F20" s="49">
        <v>15</v>
      </c>
      <c r="G20" s="43">
        <f t="shared" si="0"/>
        <v>15</v>
      </c>
      <c r="H20" s="43">
        <f t="shared" si="1"/>
        <v>457.5</v>
      </c>
      <c r="I20" s="45"/>
      <c r="J20" s="45">
        <v>1.34</v>
      </c>
      <c r="K20" s="45">
        <f t="shared" si="7"/>
        <v>0.19</v>
      </c>
      <c r="L20" s="45"/>
      <c r="M20" s="45">
        <f t="shared" si="2"/>
        <v>1.53</v>
      </c>
      <c r="N20" s="45">
        <f t="shared" si="3"/>
        <v>2.65359477124183</v>
      </c>
      <c r="O20" s="46">
        <f t="shared" si="4"/>
        <v>0.56815270935960582</v>
      </c>
      <c r="P20" s="43">
        <f t="shared" si="5"/>
        <v>699.97500000000002</v>
      </c>
      <c r="Q20" s="45">
        <v>4.0599999999999996</v>
      </c>
      <c r="R20" s="43">
        <f t="shared" si="6"/>
        <v>1857.4499999999998</v>
      </c>
      <c r="S20" s="115" t="s">
        <v>30</v>
      </c>
      <c r="T20" s="47" t="s">
        <v>15</v>
      </c>
      <c r="U20" s="9">
        <v>4.84</v>
      </c>
      <c r="V20" s="9">
        <f t="shared" si="8"/>
        <v>2214.2999999999997</v>
      </c>
    </row>
    <row r="21" spans="2:22">
      <c r="B21" s="48">
        <v>18000</v>
      </c>
      <c r="C21" s="42" t="s">
        <v>23</v>
      </c>
      <c r="D21" s="43" t="s">
        <v>17</v>
      </c>
      <c r="E21" s="44" t="s">
        <v>61</v>
      </c>
      <c r="F21" s="49">
        <v>15</v>
      </c>
      <c r="G21" s="43">
        <f t="shared" si="0"/>
        <v>270</v>
      </c>
      <c r="H21" s="43">
        <f t="shared" si="1"/>
        <v>8235</v>
      </c>
      <c r="I21" s="45"/>
      <c r="J21" s="45">
        <v>1.34</v>
      </c>
      <c r="K21" s="45">
        <f t="shared" si="7"/>
        <v>0.19</v>
      </c>
      <c r="L21" s="45"/>
      <c r="M21" s="45">
        <f t="shared" si="2"/>
        <v>1.53</v>
      </c>
      <c r="N21" s="45">
        <f t="shared" si="3"/>
        <v>2.65359477124183</v>
      </c>
      <c r="O21" s="46">
        <f t="shared" si="4"/>
        <v>0.56815270935960582</v>
      </c>
      <c r="P21" s="43">
        <f t="shared" si="5"/>
        <v>12599.550000000001</v>
      </c>
      <c r="Q21" s="45">
        <v>4.0599999999999996</v>
      </c>
      <c r="R21" s="43">
        <f t="shared" si="6"/>
        <v>33434.1</v>
      </c>
      <c r="S21" s="115" t="s">
        <v>27</v>
      </c>
      <c r="T21" s="47" t="s">
        <v>15</v>
      </c>
      <c r="U21" s="9">
        <v>4.84</v>
      </c>
      <c r="V21" s="9">
        <f t="shared" si="8"/>
        <v>39857.4</v>
      </c>
    </row>
    <row r="22" spans="2:22">
      <c r="B22" s="41">
        <v>12000</v>
      </c>
      <c r="C22" s="50" t="s">
        <v>23</v>
      </c>
      <c r="D22" s="43" t="s">
        <v>17</v>
      </c>
      <c r="E22" s="44" t="s">
        <v>61</v>
      </c>
      <c r="F22" s="43">
        <v>15</v>
      </c>
      <c r="G22" s="43">
        <f t="shared" si="0"/>
        <v>180</v>
      </c>
      <c r="H22" s="43">
        <f t="shared" si="1"/>
        <v>5490</v>
      </c>
      <c r="I22" s="45"/>
      <c r="J22" s="45">
        <v>1.34</v>
      </c>
      <c r="K22" s="45">
        <f t="shared" si="7"/>
        <v>0.19</v>
      </c>
      <c r="L22" s="45"/>
      <c r="M22" s="45">
        <f t="shared" si="2"/>
        <v>1.53</v>
      </c>
      <c r="N22" s="45">
        <f t="shared" si="3"/>
        <v>2.65359477124183</v>
      </c>
      <c r="O22" s="46">
        <f t="shared" si="4"/>
        <v>0.56815270935960582</v>
      </c>
      <c r="P22" s="43">
        <f t="shared" si="5"/>
        <v>8399.7000000000007</v>
      </c>
      <c r="Q22" s="45">
        <v>4.0599999999999996</v>
      </c>
      <c r="R22" s="43">
        <f t="shared" si="6"/>
        <v>22289.399999999998</v>
      </c>
      <c r="S22" s="115" t="s">
        <v>22</v>
      </c>
      <c r="T22" s="47" t="s">
        <v>15</v>
      </c>
      <c r="U22" s="9">
        <v>4.84</v>
      </c>
      <c r="V22" s="9">
        <f t="shared" si="8"/>
        <v>26571.599999999999</v>
      </c>
    </row>
    <row r="23" spans="2:22" ht="15.75" thickBot="1">
      <c r="B23" s="77"/>
      <c r="C23" s="78"/>
      <c r="D23" s="79"/>
      <c r="E23" s="80"/>
      <c r="F23" s="79"/>
      <c r="G23" s="79"/>
      <c r="H23" s="79"/>
      <c r="I23" s="81"/>
      <c r="J23" s="81"/>
      <c r="K23" s="81"/>
      <c r="L23" s="81"/>
      <c r="M23" s="81"/>
      <c r="N23" s="81"/>
      <c r="O23" s="126">
        <f>(R23-P23-0.055*R23)/R23</f>
        <v>0.56815270935960582</v>
      </c>
      <c r="P23" s="127">
        <f>SUM(P12:P22)</f>
        <v>29879.200514250002</v>
      </c>
      <c r="Q23" s="128"/>
      <c r="R23" s="127">
        <f>SUM(R12:R22)</f>
        <v>79287.290253499988</v>
      </c>
      <c r="S23" s="116"/>
      <c r="T23" s="82"/>
      <c r="V23" s="1">
        <f>SUM(V12:V22)</f>
        <v>94519.823849000008</v>
      </c>
    </row>
    <row r="24" spans="2:22">
      <c r="B24" s="59">
        <v>12000</v>
      </c>
      <c r="C24" s="60" t="s">
        <v>18</v>
      </c>
      <c r="D24" s="61" t="s">
        <v>17</v>
      </c>
      <c r="E24" s="62" t="s">
        <v>59</v>
      </c>
      <c r="F24" s="61">
        <v>20</v>
      </c>
      <c r="G24" s="61">
        <f>(F24*B24)/1000</f>
        <v>240</v>
      </c>
      <c r="H24" s="61">
        <f>G24*30.5</f>
        <v>7320</v>
      </c>
      <c r="I24" s="63"/>
      <c r="J24" s="63">
        <v>1.61</v>
      </c>
      <c r="K24" s="63">
        <f>K22</f>
        <v>0.19</v>
      </c>
      <c r="L24" s="63"/>
      <c r="M24" s="63">
        <f>L24+K24+J24</f>
        <v>1.8</v>
      </c>
      <c r="N24" s="63">
        <f>Q24/M24</f>
        <v>1.2833333333333334</v>
      </c>
      <c r="O24" s="64">
        <f>(Q24-0.055*Q24-M24)/Q24</f>
        <v>0.16577922077922072</v>
      </c>
      <c r="P24" s="61">
        <f>M24*H24</f>
        <v>13176</v>
      </c>
      <c r="Q24" s="63">
        <v>2.31</v>
      </c>
      <c r="R24" s="61">
        <f>H24*Q24</f>
        <v>16909.2</v>
      </c>
      <c r="S24" s="117" t="s">
        <v>16</v>
      </c>
      <c r="T24" s="65" t="s">
        <v>15</v>
      </c>
    </row>
    <row r="25" spans="2:22">
      <c r="B25" s="56">
        <v>18000</v>
      </c>
      <c r="C25" s="57" t="s">
        <v>18</v>
      </c>
      <c r="D25" s="51" t="s">
        <v>17</v>
      </c>
      <c r="E25" s="52" t="str">
        <f>E24</f>
        <v>SO4345</v>
      </c>
      <c r="F25" s="58">
        <v>20</v>
      </c>
      <c r="G25" s="51">
        <f>(F25*B25)/1000</f>
        <v>360</v>
      </c>
      <c r="H25" s="51">
        <f>G25*30.5</f>
        <v>10980</v>
      </c>
      <c r="I25" s="53"/>
      <c r="J25" s="53">
        <v>1.61</v>
      </c>
      <c r="K25" s="53">
        <f>K24</f>
        <v>0.19</v>
      </c>
      <c r="L25" s="53"/>
      <c r="M25" s="53">
        <f>L25+K25+J25</f>
        <v>1.8</v>
      </c>
      <c r="N25" s="53">
        <f>Q25/M25</f>
        <v>1.2833333333333334</v>
      </c>
      <c r="O25" s="54">
        <f>(Q25-0.055*Q25-M25)/Q25</f>
        <v>0.16577922077922072</v>
      </c>
      <c r="P25" s="51">
        <f>M25*H25</f>
        <v>19764</v>
      </c>
      <c r="Q25" s="53">
        <v>2.31</v>
      </c>
      <c r="R25" s="51">
        <f>H25*Q25</f>
        <v>25363.8</v>
      </c>
      <c r="S25" s="118" t="s">
        <v>27</v>
      </c>
      <c r="T25" s="55" t="s">
        <v>15</v>
      </c>
    </row>
    <row r="26" spans="2:22">
      <c r="B26" s="56">
        <v>12000</v>
      </c>
      <c r="C26" s="57" t="s">
        <v>18</v>
      </c>
      <c r="D26" s="51" t="s">
        <v>17</v>
      </c>
      <c r="E26" s="52" t="str">
        <f>E25</f>
        <v>SO4345</v>
      </c>
      <c r="F26" s="58">
        <v>20</v>
      </c>
      <c r="G26" s="51">
        <f>(F26*B26)/1000</f>
        <v>240</v>
      </c>
      <c r="H26" s="51">
        <f>G26*30.5</f>
        <v>7320</v>
      </c>
      <c r="I26" s="53"/>
      <c r="J26" s="53">
        <v>1.61</v>
      </c>
      <c r="K26" s="53">
        <f>K25</f>
        <v>0.19</v>
      </c>
      <c r="L26" s="53"/>
      <c r="M26" s="53">
        <f>L26+K26+J26</f>
        <v>1.8</v>
      </c>
      <c r="N26" s="53">
        <f>Q26/M26</f>
        <v>1.2833333333333334</v>
      </c>
      <c r="O26" s="54">
        <f>(Q26-0.055*Q26-M26)/Q26</f>
        <v>0.16577922077922072</v>
      </c>
      <c r="P26" s="51">
        <f>M26*H26</f>
        <v>13176</v>
      </c>
      <c r="Q26" s="53">
        <v>2.31</v>
      </c>
      <c r="R26" s="51">
        <f>H26*Q26</f>
        <v>16909.2</v>
      </c>
      <c r="S26" s="118" t="s">
        <v>22</v>
      </c>
      <c r="T26" s="55" t="s">
        <v>15</v>
      </c>
    </row>
    <row r="27" spans="2:22" ht="15.75" thickBot="1">
      <c r="B27" s="66"/>
      <c r="C27" s="67"/>
      <c r="D27" s="68"/>
      <c r="E27" s="68"/>
      <c r="F27" s="69"/>
      <c r="G27" s="68"/>
      <c r="H27" s="68"/>
      <c r="I27" s="68"/>
      <c r="J27" s="70"/>
      <c r="K27" s="70"/>
      <c r="L27" s="70"/>
      <c r="M27" s="70"/>
      <c r="N27" s="70"/>
      <c r="O27" s="129">
        <f>(R27-P27-0.055*R27)/R27</f>
        <v>0.16577922077922072</v>
      </c>
      <c r="P27" s="130">
        <f>SUM(P24:P26)</f>
        <v>46116</v>
      </c>
      <c r="Q27" s="131"/>
      <c r="R27" s="130">
        <f>SUM(R24:R26)</f>
        <v>59182.2</v>
      </c>
      <c r="S27" s="119"/>
      <c r="T27" s="71"/>
    </row>
    <row r="30" spans="2:22" ht="15.75" thickBot="1">
      <c r="L30" s="132" t="s">
        <v>14</v>
      </c>
      <c r="M30" s="132"/>
      <c r="N30" s="132"/>
      <c r="O30" s="132"/>
      <c r="P30" s="132"/>
      <c r="Q30" s="132"/>
    </row>
    <row r="31" spans="2:22" ht="30" customHeight="1" thickBot="1">
      <c r="L31" s="7" t="s">
        <v>6</v>
      </c>
      <c r="M31" s="7" t="s">
        <v>5</v>
      </c>
      <c r="N31" s="7" t="s">
        <v>4</v>
      </c>
      <c r="O31" s="6" t="s">
        <v>3</v>
      </c>
      <c r="P31" s="7" t="s">
        <v>2</v>
      </c>
      <c r="Q31" s="6" t="s">
        <v>1</v>
      </c>
    </row>
    <row r="32" spans="2:22" ht="15.75" thickBot="1">
      <c r="L32" s="8" t="s">
        <v>13</v>
      </c>
      <c r="M32" s="10">
        <f>P6+P11+P23+P27</f>
        <v>147471.95051425</v>
      </c>
      <c r="N32" s="10">
        <f>R6+R11+R23+R27</f>
        <v>240598.7402535</v>
      </c>
      <c r="O32" s="9">
        <f>N32/M32</f>
        <v>1.6314881536082435</v>
      </c>
      <c r="P32" s="10">
        <f>N32-M32-0.055*N32</f>
        <v>79893.859025307494</v>
      </c>
      <c r="Q32" s="11">
        <f>P32/N32</f>
        <v>0.33206266558640168</v>
      </c>
    </row>
    <row r="33" spans="12:17" ht="15.75" thickBot="1">
      <c r="L33" s="5" t="s">
        <v>0</v>
      </c>
      <c r="M33" s="3">
        <f>SUM(M32:M32)</f>
        <v>147471.95051425</v>
      </c>
      <c r="N33" s="3">
        <f>SUM(N32:N32)</f>
        <v>240598.7402535</v>
      </c>
      <c r="O33" s="4">
        <f>N33/M33</f>
        <v>1.6314881536082435</v>
      </c>
      <c r="P33" s="3">
        <f>N33-M33-0.055*N33</f>
        <v>79893.859025307494</v>
      </c>
      <c r="Q33" s="2">
        <f>P33/N33</f>
        <v>0.33206266558640168</v>
      </c>
    </row>
    <row r="36" spans="12:17">
      <c r="L36" s="132" t="s">
        <v>12</v>
      </c>
      <c r="M36" s="132"/>
      <c r="N36" s="10"/>
    </row>
    <row r="37" spans="12:17">
      <c r="L37" s="132" t="s">
        <v>11</v>
      </c>
      <c r="M37" s="132"/>
      <c r="N37" s="10">
        <f>7500*4/2</f>
        <v>15000</v>
      </c>
    </row>
    <row r="38" spans="12:17">
      <c r="L38" s="132" t="s">
        <v>10</v>
      </c>
      <c r="M38" s="132"/>
      <c r="N38" s="1">
        <f>COUNTIF(H3:H27,"&gt;0")</f>
        <v>21</v>
      </c>
    </row>
    <row r="39" spans="12:17">
      <c r="L39" s="132" t="s">
        <v>9</v>
      </c>
      <c r="M39" s="133"/>
      <c r="N39" s="19">
        <v>292268.84999999998</v>
      </c>
    </row>
    <row r="40" spans="12:17">
      <c r="L40" s="132" t="s">
        <v>8</v>
      </c>
      <c r="M40" s="132"/>
      <c r="N40" s="10">
        <f>N39*N38/N41</f>
        <v>17289.14323943662</v>
      </c>
    </row>
    <row r="41" spans="12:17">
      <c r="L41" s="132" t="s">
        <v>7</v>
      </c>
      <c r="M41" s="132"/>
      <c r="N41" s="9">
        <v>355</v>
      </c>
    </row>
    <row r="43" spans="12:17" ht="15.75" thickBot="1">
      <c r="L43" s="132" t="s">
        <v>58</v>
      </c>
      <c r="M43" s="132"/>
      <c r="N43" s="132"/>
      <c r="O43" s="132"/>
      <c r="P43" s="132"/>
      <c r="Q43" s="132"/>
    </row>
    <row r="44" spans="12:17" ht="30.75" thickBot="1">
      <c r="L44" s="7" t="s">
        <v>6</v>
      </c>
      <c r="M44" s="7" t="s">
        <v>5</v>
      </c>
      <c r="N44" s="7" t="s">
        <v>4</v>
      </c>
      <c r="O44" s="6" t="s">
        <v>3</v>
      </c>
      <c r="P44" s="7" t="s">
        <v>2</v>
      </c>
      <c r="Q44" s="6" t="s">
        <v>1</v>
      </c>
    </row>
    <row r="45" spans="12:17" ht="15.75" thickBot="1">
      <c r="L45" s="5" t="s">
        <v>0</v>
      </c>
      <c r="M45" s="3">
        <f>M33+N37</f>
        <v>162471.95051425</v>
      </c>
      <c r="N45" s="3">
        <f>N33+N40</f>
        <v>257887.88349293661</v>
      </c>
      <c r="O45" s="4">
        <f>N45/M45</f>
        <v>1.5872763432498949</v>
      </c>
      <c r="P45" s="3">
        <f>N45-M45-0.055*N45</f>
        <v>81232.099386575108</v>
      </c>
      <c r="Q45" s="2">
        <f>P45/N45</f>
        <v>0.31498998047653526</v>
      </c>
    </row>
  </sheetData>
  <sortState ref="B3:T26">
    <sortCondition ref="E3:E26"/>
  </sortState>
  <mergeCells count="8">
    <mergeCell ref="L43:Q43"/>
    <mergeCell ref="L30:Q30"/>
    <mergeCell ref="L36:M36"/>
    <mergeCell ref="L37:M37"/>
    <mergeCell ref="L38:M38"/>
    <mergeCell ref="L39:M39"/>
    <mergeCell ref="L40:M40"/>
    <mergeCell ref="L41:M4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Props1.xml><?xml version="1.0" encoding="utf-8"?>
<ds:datastoreItem xmlns:ds="http://schemas.openxmlformats.org/officeDocument/2006/customXml" ds:itemID="{A2897F84-EFE6-4982-89C6-F57FDBF33F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E0B629-4657-4485-8446-EF8A727516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36F326-B72B-458B-B2EB-61ACEC25C79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730269a7-69c5-483f-a552-e74dab880ae2"/>
    <ds:schemaRef ds:uri="http://schemas.microsoft.com/office/infopath/2007/PartnerControls"/>
    <ds:schemaRef ds:uri="http://purl.org/dc/elements/1.1/"/>
    <ds:schemaRef ds:uri="http://schemas.microsoft.com/office/2006/metadata/properties"/>
    <ds:schemaRef ds:uri="40de77e2-37bb-4c7a-ab4d-547915d9955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Pto 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Hermoso, Cristian (NQN-PIN)</dc:creator>
  <cp:lastModifiedBy>Hermoso, Cristian (NQN-PIN)</cp:lastModifiedBy>
  <dcterms:created xsi:type="dcterms:W3CDTF">2024-03-04T19:09:47Z</dcterms:created>
  <dcterms:modified xsi:type="dcterms:W3CDTF">2024-03-25T20:24:35Z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</Properties>
</file>