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"/>
    </mc:Choice>
  </mc:AlternateContent>
  <xr:revisionPtr revIDLastSave="0" documentId="8_{1927A279-7530-4189-8192-4885A9BEE8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ZOS" sheetId="1" r:id="rId1"/>
    <sheet name="A. ECONOM." sheetId="4" r:id="rId2"/>
    <sheet name="IONICOS" sheetId="3" r:id="rId3"/>
  </sheets>
  <definedNames>
    <definedName name="_xlnm._FilterDatabase" localSheetId="2" hidden="1">IONICOS!$A$3:$P$35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4" i="4"/>
  <c r="D13" i="4"/>
  <c r="D12" i="4"/>
  <c r="D10" i="4"/>
  <c r="D9" i="4"/>
  <c r="K11" i="4"/>
  <c r="H19" i="4" l="1"/>
  <c r="F25" i="4"/>
  <c r="K13" i="4"/>
  <c r="H13" i="4"/>
  <c r="D7" i="4" l="1"/>
  <c r="R7" i="1"/>
  <c r="R13" i="1"/>
  <c r="C27" i="4" l="1"/>
  <c r="R18" i="1" l="1"/>
  <c r="R19" i="1"/>
  <c r="R20" i="1"/>
  <c r="R21" i="1"/>
  <c r="R23" i="1"/>
  <c r="R24" i="1"/>
  <c r="R16" i="1" l="1"/>
  <c r="R17" i="1"/>
  <c r="G10" i="4"/>
  <c r="K10" i="4" s="1"/>
  <c r="R10" i="1"/>
  <c r="R11" i="1"/>
  <c r="R12" i="1"/>
  <c r="R9" i="1"/>
  <c r="I20" i="4"/>
  <c r="I21" i="4"/>
  <c r="I19" i="4"/>
  <c r="I14" i="4"/>
  <c r="I15" i="4"/>
  <c r="I13" i="4"/>
  <c r="G21" i="4"/>
  <c r="G19" i="4"/>
  <c r="G20" i="4"/>
  <c r="K9" i="4"/>
  <c r="K8" i="4"/>
  <c r="T7" i="3" l="1"/>
  <c r="T8" i="3"/>
  <c r="T9" i="3"/>
  <c r="S23" i="1" l="1"/>
  <c r="S16" i="1"/>
  <c r="S21" i="1"/>
  <c r="S20" i="1"/>
  <c r="F16" i="3"/>
  <c r="L16" i="3"/>
  <c r="M16" i="3"/>
  <c r="S24" i="1"/>
  <c r="S18" i="1"/>
  <c r="S19" i="1"/>
  <c r="R26" i="1"/>
  <c r="S26" i="1" s="1"/>
  <c r="H14" i="4" l="1"/>
  <c r="S13" i="1"/>
  <c r="K14" i="4" l="1"/>
  <c r="H20" i="4"/>
  <c r="F19" i="3"/>
  <c r="M14" i="3"/>
  <c r="K14" i="3"/>
  <c r="F14" i="3"/>
  <c r="J20" i="4" l="1"/>
  <c r="K20" i="4" s="1"/>
  <c r="M17" i="3"/>
  <c r="F17" i="3"/>
  <c r="M18" i="3"/>
  <c r="F18" i="3"/>
  <c r="S10" i="1" l="1"/>
  <c r="K11" i="3" l="1"/>
  <c r="F8" i="3"/>
  <c r="S17" i="1" l="1"/>
  <c r="R22" i="1"/>
  <c r="S22" i="1" s="1"/>
  <c r="R15" i="1"/>
  <c r="S15" i="1" s="1"/>
  <c r="R25" i="1"/>
  <c r="S25" i="1" s="1"/>
  <c r="S12" i="1"/>
  <c r="R14" i="1"/>
  <c r="S14" i="1" s="1"/>
  <c r="S9" i="1"/>
  <c r="S7" i="1"/>
  <c r="S8" i="1"/>
  <c r="J19" i="4" l="1"/>
  <c r="S11" i="1"/>
  <c r="S27" i="1" s="1"/>
  <c r="K19" i="4" l="1"/>
  <c r="H15" i="4"/>
  <c r="K15" i="4" s="1"/>
  <c r="D8" i="4" s="1"/>
  <c r="K16" i="4" l="1"/>
  <c r="H21" i="4"/>
  <c r="J21" i="4" s="1"/>
  <c r="K21" i="4" l="1"/>
  <c r="K22" i="4" s="1"/>
  <c r="J22" i="4"/>
  <c r="H22" i="4"/>
  <c r="F33" i="4" l="1"/>
  <c r="F34" i="4" s="1"/>
  <c r="D20" i="4"/>
  <c r="E28" i="4" l="1"/>
  <c r="G38" i="4"/>
  <c r="E26" i="4"/>
  <c r="F30" i="4"/>
  <c r="H34" i="4"/>
  <c r="G40" i="4"/>
  <c r="E27" i="4"/>
  <c r="F32" i="4"/>
  <c r="G39" i="4" l="1"/>
  <c r="F26" i="4"/>
  <c r="F29" i="4" s="1"/>
  <c r="F31" i="4" s="1"/>
  <c r="G41" i="4" l="1"/>
  <c r="E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Muñoz, Pablo D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Muñoz, Pablo D:</t>
        </r>
        <r>
          <rPr>
            <sz val="9"/>
            <color indexed="81"/>
            <rFont val="Tahoma"/>
            <family val="2"/>
          </rPr>
          <t xml:space="preserve">
Insertar cantidad de meses para evaluar K.
Mínimo 13 meses para cubrir costos
</t>
        </r>
      </text>
    </comment>
  </commentList>
</comments>
</file>

<file path=xl/sharedStrings.xml><?xml version="1.0" encoding="utf-8"?>
<sst xmlns="http://schemas.openxmlformats.org/spreadsheetml/2006/main" count="405" uniqueCount="202">
  <si>
    <t>YPF</t>
  </si>
  <si>
    <t>EMPRESA</t>
  </si>
  <si>
    <t>YACIMIENTO</t>
  </si>
  <si>
    <t>Pozo</t>
  </si>
  <si>
    <t>Inh. Incrustación</t>
  </si>
  <si>
    <t>Dual (Corr/Incrust)</t>
  </si>
  <si>
    <t>CHLSN1017</t>
  </si>
  <si>
    <t>Inh. Incrustación (Batch)</t>
  </si>
  <si>
    <t>Inh. Corrosión</t>
  </si>
  <si>
    <t>Inh. Corrosión (Batch)</t>
  </si>
  <si>
    <t>Tratamiento Previo</t>
  </si>
  <si>
    <t>PARADO</t>
  </si>
  <si>
    <t>PRODUCIENDO</t>
  </si>
  <si>
    <t>SIN TRATAMIENTO</t>
  </si>
  <si>
    <t>SULFATOS?</t>
  </si>
  <si>
    <t>pH</t>
  </si>
  <si>
    <t>6.98</t>
  </si>
  <si>
    <t>6.87</t>
  </si>
  <si>
    <t>NLLe.x-1</t>
  </si>
  <si>
    <t>C.Am-4a</t>
  </si>
  <si>
    <t>C.Am : Cañadón Amarillo</t>
  </si>
  <si>
    <t>L.Le : La Lechuza</t>
  </si>
  <si>
    <t>BSP: Borde Sur del Payúm</t>
  </si>
  <si>
    <t>EPS: El Pichañar Sur</t>
  </si>
  <si>
    <t>BOMBA /TABLERO DE CLARIANT</t>
  </si>
  <si>
    <t>YPF.Md.NChLSN.IA-1156a</t>
  </si>
  <si>
    <t>CHLSN-1018i</t>
  </si>
  <si>
    <t>CHLSN-1016</t>
  </si>
  <si>
    <t>AS.Md.NChLSS.a-1078[00]a</t>
  </si>
  <si>
    <t>L/DÍA</t>
  </si>
  <si>
    <t>YPF.MdN.CAm.a-0099[00]a</t>
  </si>
  <si>
    <t>YPF.MdN.EPS.a-0004[00]a</t>
  </si>
  <si>
    <t>YPF.Md.NChLSN-1218a</t>
  </si>
  <si>
    <t>YPF.Md.NChLSN-1139a</t>
  </si>
  <si>
    <t>L/Mes</t>
  </si>
  <si>
    <t xml:space="preserve"> </t>
  </si>
  <si>
    <t>ANALISIS IONICOS</t>
  </si>
  <si>
    <t>OLEODUCTO BAT NORTE</t>
  </si>
  <si>
    <t>OLEODUCTO BAT SUR</t>
  </si>
  <si>
    <t>Inh. Incrutación</t>
  </si>
  <si>
    <t>AS.Md.NChLSN.a-1025[01]a</t>
  </si>
  <si>
    <t>Actual</t>
  </si>
  <si>
    <t>Fecha</t>
  </si>
  <si>
    <t>BAT 1 CAM</t>
  </si>
  <si>
    <t>ppm</t>
  </si>
  <si>
    <t>CO3= (carbonatos)</t>
  </si>
  <si>
    <t>SO4= (sulfatos)</t>
  </si>
  <si>
    <t xml:space="preserve"> ppm</t>
  </si>
  <si>
    <t>Cl- (cloruros)</t>
  </si>
  <si>
    <t xml:space="preserve">Dureza Total  </t>
  </si>
  <si>
    <t xml:space="preserve">Ca++ (calcio) </t>
  </si>
  <si>
    <t>Mg++ (magnesio)</t>
  </si>
  <si>
    <t xml:space="preserve">Fe total (hierro) </t>
  </si>
  <si>
    <t xml:space="preserve"> ppm </t>
  </si>
  <si>
    <t xml:space="preserve">Bario </t>
  </si>
  <si>
    <t>(mg/l)</t>
  </si>
  <si>
    <t xml:space="preserve">Fosfonatos </t>
  </si>
  <si>
    <t xml:space="preserve">Residual Aminas </t>
  </si>
  <si>
    <t xml:space="preserve"> (mg/l)</t>
  </si>
  <si>
    <t xml:space="preserve">Sulfuros </t>
  </si>
  <si>
    <t>(mg/L)</t>
  </si>
  <si>
    <t>CO3H- (bicarbonatos)</t>
  </si>
  <si>
    <t>Antecedentes de Corrosión e Incrustación.</t>
  </si>
  <si>
    <t>Tratado por Champion a esa dosis Producto Dual</t>
  </si>
  <si>
    <t>CARBONATOS/CORROSIÓN</t>
  </si>
  <si>
    <t>YPF.Md.NBSP.x-001sa</t>
  </si>
  <si>
    <t>PC.Md.NCAm.x-1001b</t>
  </si>
  <si>
    <t>YPF.Md.NCAm.a-0018a</t>
  </si>
  <si>
    <t>YPF.Md.NCAm-0029a</t>
  </si>
  <si>
    <t>YPF.MdN.CAm-0245[00]a</t>
  </si>
  <si>
    <t>YPF.MdN.CAm-0087[00]a</t>
  </si>
  <si>
    <t>YPF.Md.NCAm.a-0013a</t>
  </si>
  <si>
    <t>YPF.MdN.CAm-0082[00]a</t>
  </si>
  <si>
    <t>YPF.MdN.CAm-0050[00]a</t>
  </si>
  <si>
    <t>IC5087</t>
  </si>
  <si>
    <t>ICS400</t>
  </si>
  <si>
    <t>Estado</t>
  </si>
  <si>
    <t>Bruta</t>
  </si>
  <si>
    <t>Neta</t>
  </si>
  <si>
    <t>%Agua</t>
  </si>
  <si>
    <t>Agua</t>
  </si>
  <si>
    <t>Gas</t>
  </si>
  <si>
    <t>Presión Tubo Alta</t>
  </si>
  <si>
    <t>Presión Tubo Baja</t>
  </si>
  <si>
    <t>Tubin Pinchado</t>
  </si>
  <si>
    <t>CY802</t>
  </si>
  <si>
    <t>Blanquecino interferencia</t>
  </si>
  <si>
    <t>Analista</t>
  </si>
  <si>
    <t>Pablo Muñoz</t>
  </si>
  <si>
    <t>Leonardo Pautasso</t>
  </si>
  <si>
    <t>Pablo Santander</t>
  </si>
  <si>
    <t>CHLS-A.1069</t>
  </si>
  <si>
    <t>YPF.Md.NCAm.a-0024a</t>
  </si>
  <si>
    <t>YPF.MdN.LLe-0015[00]a</t>
  </si>
  <si>
    <t>YPF.MdN.CAm-0194[00]a</t>
  </si>
  <si>
    <t>YPF.Md.NCAm-0043ah</t>
  </si>
  <si>
    <t>YPF.MdN.CAm-0067[00]a</t>
  </si>
  <si>
    <t>YPF.MdN.CAm-0246[00]a</t>
  </si>
  <si>
    <t>YPF.Md.NBSP.e-0004a</t>
  </si>
  <si>
    <t>Observaciones</t>
  </si>
  <si>
    <t>Probabilidad de Formación de Sulfato de Calcio</t>
  </si>
  <si>
    <t>OT(60°)</t>
  </si>
  <si>
    <t>Corrosividad</t>
  </si>
  <si>
    <t>No</t>
  </si>
  <si>
    <t>Leve a 20° C</t>
  </si>
  <si>
    <t>Alta a bajas temp.</t>
  </si>
  <si>
    <t>Improbable</t>
  </si>
  <si>
    <t>Altamente Corrosivo</t>
  </si>
  <si>
    <t>DUAL</t>
  </si>
  <si>
    <t>IC</t>
  </si>
  <si>
    <t>CORROSION</t>
  </si>
  <si>
    <t>CORR e INCRUST</t>
  </si>
  <si>
    <t>TRATAMIENTO</t>
  </si>
  <si>
    <t>Dual (Corr/Incrust)  En trata. Por ChampionX</t>
  </si>
  <si>
    <t>Scortron Gr174</t>
  </si>
  <si>
    <t>BOMBA /TABLERO DE ChampionX</t>
  </si>
  <si>
    <t>Observación Instalación</t>
  </si>
  <si>
    <r>
      <t xml:space="preserve">BOMBA  PECOM / </t>
    </r>
    <r>
      <rPr>
        <sz val="11"/>
        <color rgb="FFFF0000"/>
        <rFont val="Arial"/>
        <family val="2"/>
      </rPr>
      <t>TABLERO DE CLARIANT</t>
    </r>
  </si>
  <si>
    <t>EL PORTON /CHLS/CAM/BSP/EPS</t>
  </si>
  <si>
    <t>Producto Posible</t>
  </si>
  <si>
    <t>Dosis Propuesta ppm</t>
  </si>
  <si>
    <t>Problema Deducido de Análisis</t>
  </si>
  <si>
    <t>Dosis Histórica de ChampionX</t>
  </si>
  <si>
    <t>Observaciones del Tratamiento</t>
  </si>
  <si>
    <t>TOTAL LITROS MES</t>
  </si>
  <si>
    <t>COSTO DE EQUIPOS  DE INYECCIÓN</t>
  </si>
  <si>
    <t>COSTO PRODUCTOS QUIMICOS</t>
  </si>
  <si>
    <t>CANTIDAD</t>
  </si>
  <si>
    <t>ITEM</t>
  </si>
  <si>
    <t>UNITARIO</t>
  </si>
  <si>
    <t>Cotización 2INFLOW</t>
  </si>
  <si>
    <t>COSTO SKID DE INYECCIÓN</t>
  </si>
  <si>
    <t>TOTAL</t>
  </si>
  <si>
    <t>MESES</t>
  </si>
  <si>
    <t>VENTA</t>
  </si>
  <si>
    <t>DOSISUR</t>
  </si>
  <si>
    <t>VENTA PRODUCTOS QUIMICOS</t>
  </si>
  <si>
    <t>CANTIDAD / MES</t>
  </si>
  <si>
    <t>LITROS</t>
  </si>
  <si>
    <t>MONTO</t>
  </si>
  <si>
    <t>COSTOS</t>
  </si>
  <si>
    <t>FiTTING (20% Sobre Bomba)</t>
  </si>
  <si>
    <t>TOTAL VENTA</t>
  </si>
  <si>
    <t>DÓLAR</t>
  </si>
  <si>
    <t>Prob. SO4Ca2.</t>
  </si>
  <si>
    <t>Prob. SO4Ca2. Incrust. Leve</t>
  </si>
  <si>
    <t>Corrosiv. Severa a Baja T° - SO4Ca2</t>
  </si>
  <si>
    <t>Prob.  Carbonato.  Corrosiv. Leve</t>
  </si>
  <si>
    <t>Carbonatos</t>
  </si>
  <si>
    <t>Prob. Sulfatos</t>
  </si>
  <si>
    <t>Prob. Carbonato.  Sulfato Leve</t>
  </si>
  <si>
    <t>Prob.  Sulfato alta. Corros. Leve</t>
  </si>
  <si>
    <t>Corrosividad Leve.</t>
  </si>
  <si>
    <t>Corrosividad por H2S . Incr. Leve Sulfato.</t>
  </si>
  <si>
    <t>RESUMEN  ANALISIS ECONOMICO</t>
  </si>
  <si>
    <t>TOTAL COSTO DE EQUIPOS</t>
  </si>
  <si>
    <t>DETALLE</t>
  </si>
  <si>
    <t>FECHA</t>
  </si>
  <si>
    <t>EQUIPOS</t>
  </si>
  <si>
    <t>PRODUCTOS</t>
  </si>
  <si>
    <t>TOTAL COSTOS PRODUCTOS</t>
  </si>
  <si>
    <t>TOTAL VENTA PRODUCTOS</t>
  </si>
  <si>
    <t>USD</t>
  </si>
  <si>
    <t>COSTO SERVICIO</t>
  </si>
  <si>
    <t>VENTA SERVICIO</t>
  </si>
  <si>
    <t>VENTA PRODUCTO</t>
  </si>
  <si>
    <t xml:space="preserve">ANALISIS PARA </t>
  </si>
  <si>
    <t>Tasa Desposición SO4Ba  (mg/l)</t>
  </si>
  <si>
    <t>NOMB. COMERC.</t>
  </si>
  <si>
    <t>Posible necesidad de Producto para H2S.</t>
  </si>
  <si>
    <t>l/mes</t>
  </si>
  <si>
    <t>TENDENCIA A FORMAR CARBONATOS</t>
  </si>
  <si>
    <t>Alto Hierro</t>
  </si>
  <si>
    <t>Incrustaciones/DUAL</t>
  </si>
  <si>
    <t>CY802/DUAL/BSH970</t>
  </si>
  <si>
    <t>IC087</t>
  </si>
  <si>
    <t>El pozo posee tendencia Corrosiva. No incrustante</t>
  </si>
  <si>
    <t xml:space="preserve">Prob. Carbonato.  </t>
  </si>
  <si>
    <t>LISTADO DE POZOS "CRITICOS"</t>
  </si>
  <si>
    <t>Presenta tendencia a incrustación. Producto Dual</t>
  </si>
  <si>
    <t>Incrustación.</t>
  </si>
  <si>
    <t>COSTO ANTES DE IMPUESTOS</t>
  </si>
  <si>
    <t>IMPUESTOS</t>
  </si>
  <si>
    <t>Ingresos Brutos</t>
  </si>
  <si>
    <t>Impuesto Sellos</t>
  </si>
  <si>
    <t>Impuesto Cheque</t>
  </si>
  <si>
    <t xml:space="preserve">SUBTOTAL </t>
  </si>
  <si>
    <t>Overhead</t>
  </si>
  <si>
    <t>Beneficio</t>
  </si>
  <si>
    <t>COSTO FINANCIERO</t>
  </si>
  <si>
    <t>PRECIO PESOS</t>
  </si>
  <si>
    <t>PRECIO DOLARES</t>
  </si>
  <si>
    <t>CTRIB. MARGINAL  U$S</t>
  </si>
  <si>
    <t>Contribución Marginal (%)</t>
  </si>
  <si>
    <t>K GLOBAL</t>
  </si>
  <si>
    <t>BENEFICIO U$S</t>
  </si>
  <si>
    <t>* Costo de Servicio tomtado como 75% de la venta.</t>
  </si>
  <si>
    <t>CONTRIBUCION</t>
  </si>
  <si>
    <t>K</t>
  </si>
  <si>
    <t>TOAL COSTOS</t>
  </si>
  <si>
    <t>Bach Semanal de 50 litros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</si>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</sst>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  <numFmt numFmtId="167" formatCode="General_)"/>
    <numFmt numFmtId="168" formatCode="&quot;$&quot;\ #,##0.00;&quot;$&quot;\ \-#,##0.00"/>
    <numFmt numFmtId="169" formatCode="0.0%"/>
    <numFmt numFmtId="170" formatCode="_(* #,##0.00_);_(* \(#,##0.00\);_(* &quot;-&quot;_);_(@_)"/>
    <numFmt numFmtId="171" formatCode="[$$-2C0A]\ #,##0.00"/>
    <numFmt numFmtId="172" formatCode="[$USD]\ #,##0.00;\-[$USD]\ #,##0.00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5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26" fillId="0" borderId="0"/>
  </cellStyleXfs>
  <cellXfs count="27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/>
    <xf numFmtId="0" fontId="3" fillId="0" borderId="6" xfId="0" applyFont="1" applyBorder="1" applyAlignment="1">
      <alignment horizontal="center" vertical="center" wrapText="1"/>
    </xf>
    <xf numFmtId="14" fontId="0" fillId="0" borderId="4" xfId="0" applyNumberForma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4" fillId="0" borderId="2" xfId="0" applyFont="1" applyBorder="1" applyAlignment="1">
      <alignment horizontal="center" vertical="center" wrapText="1"/>
    </xf>
    <xf numFmtId="14" fontId="0" fillId="0" borderId="5" xfId="0" applyNumberFormat="1" applyBorder="1"/>
    <xf numFmtId="0" fontId="0" fillId="0" borderId="9" xfId="0" applyBorder="1"/>
    <xf numFmtId="0" fontId="4" fillId="0" borderId="11" xfId="0" applyFont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1" xfId="0" applyBorder="1"/>
    <xf numFmtId="0" fontId="0" fillId="0" borderId="13" xfId="0" applyBorder="1"/>
    <xf numFmtId="14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0" fillId="2" borderId="1" xfId="0" applyFill="1" applyBorder="1"/>
    <xf numFmtId="0" fontId="0" fillId="2" borderId="4" xfId="0" applyFill="1" applyBorder="1"/>
    <xf numFmtId="165" fontId="0" fillId="0" borderId="0" xfId="1" applyNumberFormat="1" applyFont="1"/>
    <xf numFmtId="0" fontId="2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7" xfId="0" applyFont="1" applyBorder="1"/>
    <xf numFmtId="164" fontId="0" fillId="0" borderId="0" xfId="1" applyNumberFormat="1" applyFont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/>
    <xf numFmtId="0" fontId="3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3" borderId="2" xfId="0" applyFill="1" applyBorder="1"/>
    <xf numFmtId="165" fontId="0" fillId="0" borderId="5" xfId="1" applyNumberFormat="1" applyFont="1" applyBorder="1"/>
    <xf numFmtId="164" fontId="0" fillId="0" borderId="2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5" fontId="0" fillId="0" borderId="12" xfId="1" applyNumberFormat="1" applyFont="1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7" xfId="0" applyBorder="1"/>
    <xf numFmtId="0" fontId="0" fillId="0" borderId="19" xfId="0" applyBorder="1"/>
    <xf numFmtId="0" fontId="0" fillId="2" borderId="1" xfId="0" applyFill="1" applyBorder="1" applyAlignment="1">
      <alignment vertical="center"/>
    </xf>
    <xf numFmtId="0" fontId="12" fillId="0" borderId="0" xfId="0" applyFont="1" applyAlignment="1">
      <alignment horizontal="left" vertical="top"/>
    </xf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65" fontId="5" fillId="5" borderId="7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6" fillId="5" borderId="4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5" borderId="2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5" fontId="0" fillId="0" borderId="4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11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top"/>
    </xf>
    <xf numFmtId="43" fontId="1" fillId="0" borderId="3" xfId="1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17" fontId="2" fillId="0" borderId="3" xfId="0" applyNumberFormat="1" applyFont="1" applyBorder="1" applyAlignment="1">
      <alignment horizontal="center"/>
    </xf>
    <xf numFmtId="3" fontId="0" fillId="0" borderId="3" xfId="0" applyNumberFormat="1" applyBorder="1"/>
    <xf numFmtId="0" fontId="2" fillId="5" borderId="24" xfId="0" applyFont="1" applyFill="1" applyBorder="1"/>
    <xf numFmtId="0" fontId="1" fillId="0" borderId="3" xfId="0" applyFont="1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3" fontId="1" fillId="0" borderId="3" xfId="0" applyNumberFormat="1" applyFont="1" applyBorder="1"/>
    <xf numFmtId="3" fontId="0" fillId="0" borderId="3" xfId="0" applyNumberForma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26" xfId="0" applyFont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4" fontId="2" fillId="0" borderId="26" xfId="0" applyNumberFormat="1" applyFont="1" applyBorder="1" applyAlignment="1">
      <alignment horizontal="center"/>
    </xf>
    <xf numFmtId="43" fontId="0" fillId="0" borderId="26" xfId="1" applyFont="1" applyBorder="1" applyAlignment="1">
      <alignment horizontal="center"/>
    </xf>
    <xf numFmtId="0" fontId="0" fillId="0" borderId="26" xfId="0" applyBorder="1"/>
    <xf numFmtId="0" fontId="1" fillId="0" borderId="26" xfId="0" applyFont="1" applyBorder="1"/>
    <xf numFmtId="3" fontId="0" fillId="0" borderId="26" xfId="0" applyNumberFormat="1" applyBorder="1"/>
    <xf numFmtId="0" fontId="0" fillId="0" borderId="26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3" borderId="3" xfId="0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17" fontId="2" fillId="7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3" fontId="0" fillId="7" borderId="3" xfId="0" applyNumberFormat="1" applyFill="1" applyBorder="1"/>
    <xf numFmtId="0" fontId="2" fillId="7" borderId="3" xfId="0" applyFont="1" applyFill="1" applyBorder="1" applyAlignment="1">
      <alignment horizontal="left"/>
    </xf>
    <xf numFmtId="0" fontId="1" fillId="7" borderId="3" xfId="0" applyFont="1" applyFill="1" applyBorder="1"/>
    <xf numFmtId="0" fontId="1" fillId="0" borderId="5" xfId="0" applyFont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164" fontId="0" fillId="0" borderId="20" xfId="1" applyNumberFormat="1" applyFont="1" applyBorder="1" applyAlignment="1">
      <alignment horizontal="center"/>
    </xf>
    <xf numFmtId="165" fontId="0" fillId="0" borderId="3" xfId="1" applyNumberFormat="1" applyFont="1" applyBorder="1"/>
    <xf numFmtId="165" fontId="1" fillId="0" borderId="3" xfId="1" applyNumberFormat="1" applyFont="1" applyBorder="1"/>
    <xf numFmtId="0" fontId="2" fillId="0" borderId="29" xfId="0" applyFont="1" applyBorder="1"/>
    <xf numFmtId="0" fontId="2" fillId="0" borderId="33" xfId="0" applyFont="1" applyBorder="1"/>
    <xf numFmtId="165" fontId="2" fillId="0" borderId="34" xfId="1" applyNumberFormat="1" applyFont="1" applyBorder="1"/>
    <xf numFmtId="165" fontId="0" fillId="0" borderId="3" xfId="0" applyNumberFormat="1" applyBorder="1"/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/>
    </xf>
    <xf numFmtId="0" fontId="0" fillId="0" borderId="22" xfId="0" applyBorder="1"/>
    <xf numFmtId="0" fontId="0" fillId="0" borderId="14" xfId="0" applyBorder="1"/>
    <xf numFmtId="0" fontId="0" fillId="0" borderId="27" xfId="0" applyBorder="1"/>
    <xf numFmtId="2" fontId="0" fillId="0" borderId="0" xfId="0" applyNumberFormat="1"/>
    <xf numFmtId="0" fontId="0" fillId="0" borderId="28" xfId="0" applyBorder="1"/>
    <xf numFmtId="0" fontId="2" fillId="10" borderId="7" xfId="0" applyFont="1" applyFill="1" applyBorder="1"/>
    <xf numFmtId="0" fontId="2" fillId="10" borderId="4" xfId="0" applyFont="1" applyFill="1" applyBorder="1"/>
    <xf numFmtId="165" fontId="2" fillId="10" borderId="20" xfId="0" applyNumberFormat="1" applyFont="1" applyFill="1" applyBorder="1"/>
    <xf numFmtId="0" fontId="2" fillId="9" borderId="36" xfId="0" applyFont="1" applyFill="1" applyBorder="1"/>
    <xf numFmtId="0" fontId="2" fillId="9" borderId="37" xfId="0" applyFont="1" applyFill="1" applyBorder="1"/>
    <xf numFmtId="0" fontId="2" fillId="9" borderId="4" xfId="0" applyFont="1" applyFill="1" applyBorder="1"/>
    <xf numFmtId="165" fontId="2" fillId="9" borderId="38" xfId="1" applyNumberFormat="1" applyFont="1" applyFill="1" applyBorder="1"/>
    <xf numFmtId="166" fontId="0" fillId="0" borderId="0" xfId="0" applyNumberFormat="1"/>
    <xf numFmtId="1" fontId="0" fillId="6" borderId="1" xfId="0" applyNumberFormat="1" applyFill="1" applyBorder="1"/>
    <xf numFmtId="164" fontId="0" fillId="6" borderId="1" xfId="0" applyNumberFormat="1" applyFill="1" applyBorder="1"/>
    <xf numFmtId="164" fontId="0" fillId="6" borderId="1" xfId="1" applyNumberFormat="1" applyFont="1" applyFill="1" applyBorder="1"/>
    <xf numFmtId="0" fontId="0" fillId="0" borderId="20" xfId="0" applyBorder="1"/>
    <xf numFmtId="0" fontId="2" fillId="5" borderId="22" xfId="0" applyFont="1" applyFill="1" applyBorder="1" applyAlignment="1">
      <alignment horizontal="center" vertical="top"/>
    </xf>
    <xf numFmtId="0" fontId="2" fillId="5" borderId="18" xfId="0" applyFont="1" applyFill="1" applyBorder="1" applyAlignment="1">
      <alignment vertical="top"/>
    </xf>
    <xf numFmtId="0" fontId="2" fillId="5" borderId="23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14" fillId="0" borderId="3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left"/>
    </xf>
    <xf numFmtId="0" fontId="15" fillId="7" borderId="3" xfId="0" applyFont="1" applyFill="1" applyBorder="1" applyAlignment="1">
      <alignment horizontal="left"/>
    </xf>
    <xf numFmtId="0" fontId="15" fillId="7" borderId="3" xfId="0" applyFont="1" applyFill="1" applyBorder="1" applyAlignment="1">
      <alignment horizontal="left" vertical="top"/>
    </xf>
    <xf numFmtId="0" fontId="15" fillId="0" borderId="0" xfId="0" applyFont="1"/>
    <xf numFmtId="0" fontId="17" fillId="0" borderId="3" xfId="0" applyFont="1" applyBorder="1" applyAlignment="1">
      <alignment horizontal="left"/>
    </xf>
    <xf numFmtId="43" fontId="0" fillId="6" borderId="3" xfId="1" applyFont="1" applyFill="1" applyBorder="1" applyAlignment="1">
      <alignment horizontal="center"/>
    </xf>
    <xf numFmtId="43" fontId="0" fillId="0" borderId="3" xfId="1" applyFont="1" applyBorder="1"/>
    <xf numFmtId="0" fontId="0" fillId="6" borderId="3" xfId="0" applyFill="1" applyBorder="1"/>
    <xf numFmtId="164" fontId="0" fillId="0" borderId="4" xfId="1" applyNumberFormat="1" applyFont="1" applyBorder="1" applyAlignment="1">
      <alignment vertical="center"/>
    </xf>
    <xf numFmtId="10" fontId="22" fillId="0" borderId="3" xfId="0" applyNumberFormat="1" applyFont="1" applyBorder="1" applyAlignment="1" applyProtection="1">
      <alignment horizontal="right" vertical="center" wrapText="1"/>
      <protection locked="0"/>
    </xf>
    <xf numFmtId="167" fontId="22" fillId="0" borderId="3" xfId="0" applyNumberFormat="1" applyFont="1" applyBorder="1" applyAlignment="1">
      <alignment vertical="center"/>
    </xf>
    <xf numFmtId="170" fontId="20" fillId="0" borderId="3" xfId="3" applyNumberFormat="1" applyFont="1" applyFill="1" applyBorder="1" applyAlignment="1">
      <alignment vertical="center"/>
    </xf>
    <xf numFmtId="10" fontId="22" fillId="0" borderId="28" xfId="0" applyNumberFormat="1" applyFont="1" applyBorder="1" applyAlignment="1" applyProtection="1">
      <alignment horizontal="right" vertical="center" wrapText="1"/>
      <protection locked="0"/>
    </xf>
    <xf numFmtId="167" fontId="22" fillId="0" borderId="28" xfId="0" applyNumberFormat="1" applyFont="1" applyBorder="1" applyAlignment="1">
      <alignment vertical="center"/>
    </xf>
    <xf numFmtId="170" fontId="20" fillId="0" borderId="28" xfId="3" applyNumberFormat="1" applyFont="1" applyFill="1" applyBorder="1" applyAlignment="1">
      <alignment vertical="center"/>
    </xf>
    <xf numFmtId="169" fontId="20" fillId="0" borderId="3" xfId="2" applyNumberFormat="1" applyFont="1" applyFill="1" applyBorder="1" applyAlignment="1">
      <alignment vertical="center"/>
    </xf>
    <xf numFmtId="169" fontId="20" fillId="6" borderId="3" xfId="2" applyNumberFormat="1" applyFont="1" applyFill="1" applyBorder="1" applyAlignment="1">
      <alignment vertical="center"/>
    </xf>
    <xf numFmtId="167" fontId="18" fillId="0" borderId="47" xfId="0" applyNumberFormat="1" applyFont="1" applyBorder="1" applyAlignment="1">
      <alignment vertical="center"/>
    </xf>
    <xf numFmtId="167" fontId="18" fillId="0" borderId="48" xfId="0" applyNumberFormat="1" applyFont="1" applyBorder="1" applyAlignment="1">
      <alignment vertical="center"/>
    </xf>
    <xf numFmtId="169" fontId="20" fillId="0" borderId="48" xfId="0" applyNumberFormat="1" applyFont="1" applyBorder="1" applyAlignment="1">
      <alignment vertical="center"/>
    </xf>
    <xf numFmtId="167" fontId="23" fillId="0" borderId="53" xfId="0" applyNumberFormat="1" applyFont="1" applyBorder="1" applyAlignment="1">
      <alignment vertical="center"/>
    </xf>
    <xf numFmtId="10" fontId="24" fillId="0" borderId="54" xfId="0" applyNumberFormat="1" applyFont="1" applyBorder="1" applyAlignment="1">
      <alignment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4" fillId="0" borderId="0" xfId="0" applyNumberFormat="1" applyFont="1" applyAlignment="1">
      <alignment vertical="center"/>
    </xf>
    <xf numFmtId="10" fontId="24" fillId="0" borderId="0" xfId="0" applyNumberFormat="1" applyFont="1" applyAlignment="1">
      <alignment vertical="center"/>
    </xf>
    <xf numFmtId="167" fontId="24" fillId="0" borderId="0" xfId="0" applyNumberFormat="1" applyFont="1" applyAlignment="1">
      <alignment horizontal="center" vertical="center"/>
    </xf>
    <xf numFmtId="167" fontId="25" fillId="6" borderId="18" xfId="0" applyNumberFormat="1" applyFont="1" applyFill="1" applyBorder="1" applyAlignment="1">
      <alignment vertical="center"/>
    </xf>
    <xf numFmtId="167" fontId="24" fillId="6" borderId="57" xfId="0" applyNumberFormat="1" applyFont="1" applyFill="1" applyBorder="1" applyAlignment="1">
      <alignment vertical="center"/>
    </xf>
    <xf numFmtId="167" fontId="24" fillId="6" borderId="57" xfId="4" applyNumberFormat="1" applyFont="1" applyFill="1" applyBorder="1" applyAlignment="1">
      <alignment vertical="center"/>
    </xf>
    <xf numFmtId="3" fontId="25" fillId="6" borderId="58" xfId="4" applyNumberFormat="1" applyFont="1" applyFill="1" applyBorder="1" applyAlignment="1">
      <alignment vertical="center"/>
    </xf>
    <xf numFmtId="167" fontId="24" fillId="0" borderId="0" xfId="4" applyNumberFormat="1" applyFont="1" applyAlignment="1">
      <alignment horizontal="center" vertical="center"/>
    </xf>
    <xf numFmtId="167" fontId="25" fillId="6" borderId="59" xfId="0" applyNumberFormat="1" applyFont="1" applyFill="1" applyBorder="1" applyAlignment="1">
      <alignment vertical="center"/>
    </xf>
    <xf numFmtId="167" fontId="25" fillId="6" borderId="3" xfId="0" applyNumberFormat="1" applyFont="1" applyFill="1" applyBorder="1" applyAlignment="1">
      <alignment vertical="center"/>
    </xf>
    <xf numFmtId="169" fontId="25" fillId="6" borderId="60" xfId="2" applyNumberFormat="1" applyFont="1" applyFill="1" applyBorder="1" applyAlignment="1">
      <alignment vertical="center"/>
    </xf>
    <xf numFmtId="10" fontId="25" fillId="6" borderId="59" xfId="0" applyNumberFormat="1" applyFont="1" applyFill="1" applyBorder="1" applyAlignment="1">
      <alignment vertical="center"/>
    </xf>
    <xf numFmtId="10" fontId="24" fillId="6" borderId="3" xfId="0" applyNumberFormat="1" applyFont="1" applyFill="1" applyBorder="1" applyAlignment="1">
      <alignment vertical="center"/>
    </xf>
    <xf numFmtId="2" fontId="25" fillId="6" borderId="60" xfId="2" applyNumberFormat="1" applyFont="1" applyFill="1" applyBorder="1" applyAlignment="1">
      <alignment vertical="center"/>
    </xf>
    <xf numFmtId="0" fontId="25" fillId="6" borderId="61" xfId="0" applyFont="1" applyFill="1" applyBorder="1"/>
    <xf numFmtId="0" fontId="19" fillId="6" borderId="62" xfId="0" applyFont="1" applyFill="1" applyBorder="1"/>
    <xf numFmtId="0" fontId="0" fillId="6" borderId="62" xfId="0" applyFill="1" applyBorder="1"/>
    <xf numFmtId="3" fontId="27" fillId="6" borderId="63" xfId="0" applyNumberFormat="1" applyFont="1" applyFill="1" applyBorder="1"/>
    <xf numFmtId="0" fontId="1" fillId="0" borderId="0" xfId="0" applyFont="1"/>
    <xf numFmtId="165" fontId="0" fillId="0" borderId="0" xfId="0" applyNumberFormat="1"/>
    <xf numFmtId="9" fontId="0" fillId="0" borderId="3" xfId="2" applyFont="1" applyBorder="1"/>
    <xf numFmtId="0" fontId="2" fillId="8" borderId="18" xfId="0" applyFont="1" applyFill="1" applyBorder="1"/>
    <xf numFmtId="0" fontId="2" fillId="0" borderId="57" xfId="0" applyFont="1" applyBorder="1"/>
    <xf numFmtId="0" fontId="2" fillId="0" borderId="58" xfId="0" applyFont="1" applyBorder="1"/>
    <xf numFmtId="0" fontId="0" fillId="0" borderId="59" xfId="0" applyBorder="1"/>
    <xf numFmtId="0" fontId="0" fillId="6" borderId="30" xfId="0" applyFill="1" applyBorder="1"/>
    <xf numFmtId="0" fontId="0" fillId="6" borderId="65" xfId="0" applyFill="1" applyBorder="1"/>
    <xf numFmtId="0" fontId="0" fillId="8" borderId="18" xfId="0" applyFill="1" applyBorder="1"/>
    <xf numFmtId="0" fontId="0" fillId="0" borderId="57" xfId="0" applyBorder="1"/>
    <xf numFmtId="0" fontId="0" fillId="0" borderId="57" xfId="0" applyBorder="1" applyAlignment="1">
      <alignment horizontal="center"/>
    </xf>
    <xf numFmtId="165" fontId="0" fillId="0" borderId="58" xfId="1" applyNumberFormat="1" applyFont="1" applyBorder="1"/>
    <xf numFmtId="165" fontId="0" fillId="0" borderId="60" xfId="1" applyNumberFormat="1" applyFont="1" applyBorder="1"/>
    <xf numFmtId="0" fontId="0" fillId="0" borderId="24" xfId="0" applyBorder="1"/>
    <xf numFmtId="165" fontId="0" fillId="0" borderId="64" xfId="1" applyNumberFormat="1" applyFont="1" applyBorder="1"/>
    <xf numFmtId="0" fontId="2" fillId="0" borderId="18" xfId="0" applyFont="1" applyBorder="1"/>
    <xf numFmtId="0" fontId="2" fillId="0" borderId="5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9" borderId="3" xfId="1" applyNumberFormat="1" applyFont="1" applyFill="1" applyBorder="1"/>
    <xf numFmtId="165" fontId="0" fillId="6" borderId="3" xfId="1" applyNumberFormat="1" applyFont="1" applyFill="1" applyBorder="1"/>
    <xf numFmtId="167" fontId="18" fillId="0" borderId="39" xfId="0" applyNumberFormat="1" applyFont="1" applyBorder="1" applyAlignment="1">
      <alignment vertical="center"/>
    </xf>
    <xf numFmtId="167" fontId="18" fillId="0" borderId="3" xfId="0" applyNumberFormat="1" applyFont="1" applyBorder="1" applyAlignment="1">
      <alignment vertical="center"/>
    </xf>
    <xf numFmtId="168" fontId="19" fillId="0" borderId="3" xfId="0" applyNumberFormat="1" applyFont="1" applyBorder="1" applyAlignment="1">
      <alignment horizontal="right" vertical="center" indent="1"/>
    </xf>
    <xf numFmtId="0" fontId="21" fillId="0" borderId="42" xfId="0" applyFont="1" applyBorder="1" applyAlignment="1">
      <alignment horizontal="center" vertical="center" textRotation="255" wrapText="1"/>
    </xf>
    <xf numFmtId="0" fontId="21" fillId="0" borderId="45" xfId="0" applyFont="1" applyBorder="1" applyAlignment="1">
      <alignment horizontal="center" vertical="center" textRotation="255" wrapText="1"/>
    </xf>
    <xf numFmtId="168" fontId="23" fillId="0" borderId="43" xfId="0" applyNumberFormat="1" applyFont="1" applyBorder="1" applyAlignment="1">
      <alignment horizontal="right" vertical="center" indent="1"/>
    </xf>
    <xf numFmtId="168" fontId="23" fillId="0" borderId="44" xfId="0" applyNumberFormat="1" applyFont="1" applyBorder="1" applyAlignment="1">
      <alignment horizontal="right" vertical="center" indent="1"/>
    </xf>
    <xf numFmtId="168" fontId="23" fillId="0" borderId="40" xfId="0" applyNumberFormat="1" applyFont="1" applyBorder="1" applyAlignment="1">
      <alignment horizontal="right" vertical="center" indent="1"/>
    </xf>
    <xf numFmtId="168" fontId="23" fillId="0" borderId="41" xfId="0" applyNumberFormat="1" applyFont="1" applyBorder="1" applyAlignment="1">
      <alignment horizontal="right" vertical="center" indent="1"/>
    </xf>
    <xf numFmtId="167" fontId="18" fillId="0" borderId="46" xfId="0" applyNumberFormat="1" applyFont="1" applyBorder="1" applyAlignment="1">
      <alignment horizontal="left" vertical="center"/>
    </xf>
    <xf numFmtId="167" fontId="18" fillId="0" borderId="33" xfId="0" applyNumberFormat="1" applyFont="1" applyBorder="1" applyAlignment="1">
      <alignment horizontal="left" vertical="center"/>
    </xf>
    <xf numFmtId="167" fontId="18" fillId="0" borderId="34" xfId="0" applyNumberFormat="1" applyFont="1" applyBorder="1" applyAlignment="1">
      <alignment horizontal="left" vertical="center"/>
    </xf>
    <xf numFmtId="172" fontId="25" fillId="11" borderId="56" xfId="1" applyNumberFormat="1" applyFont="1" applyFill="1" applyBorder="1" applyAlignment="1">
      <alignment horizontal="right" vertical="center" indent="1"/>
    </xf>
    <xf numFmtId="10" fontId="19" fillId="0" borderId="46" xfId="0" applyNumberFormat="1" applyFont="1" applyBorder="1" applyAlignment="1">
      <alignment horizontal="left" vertical="center" wrapText="1"/>
    </xf>
    <xf numFmtId="10" fontId="19" fillId="0" borderId="33" xfId="0" applyNumberFormat="1" applyFont="1" applyBorder="1" applyAlignment="1">
      <alignment horizontal="left" vertical="center" wrapText="1"/>
    </xf>
    <xf numFmtId="168" fontId="23" fillId="0" borderId="29" xfId="0" applyNumberFormat="1" applyFont="1" applyBorder="1" applyAlignment="1">
      <alignment horizontal="right" vertical="center" indent="1"/>
    </xf>
    <xf numFmtId="168" fontId="23" fillId="0" borderId="34" xfId="0" applyNumberFormat="1" applyFont="1" applyBorder="1" applyAlignment="1">
      <alignment horizontal="right" vertical="center" indent="1"/>
    </xf>
    <xf numFmtId="168" fontId="23" fillId="0" borderId="48" xfId="0" applyNumberFormat="1" applyFont="1" applyBorder="1" applyAlignment="1">
      <alignment horizontal="right" vertical="center" indent="1"/>
    </xf>
    <xf numFmtId="167" fontId="19" fillId="0" borderId="49" xfId="0" applyNumberFormat="1" applyFont="1" applyBorder="1" applyAlignment="1">
      <alignment vertical="center"/>
    </xf>
    <xf numFmtId="167" fontId="19" fillId="0" borderId="50" xfId="0" applyNumberFormat="1" applyFont="1" applyBorder="1" applyAlignment="1">
      <alignment vertical="center"/>
    </xf>
    <xf numFmtId="167" fontId="19" fillId="0" borderId="51" xfId="0" applyNumberFormat="1" applyFont="1" applyBorder="1" applyAlignment="1">
      <alignment vertical="center"/>
    </xf>
    <xf numFmtId="171" fontId="19" fillId="0" borderId="52" xfId="0" applyNumberFormat="1" applyFont="1" applyBorder="1" applyAlignment="1">
      <alignment horizontal="right" vertical="center" indent="1"/>
    </xf>
    <xf numFmtId="171" fontId="19" fillId="0" borderId="51" xfId="0" applyNumberFormat="1" applyFont="1" applyBorder="1" applyAlignment="1">
      <alignment horizontal="right" vertical="center" indent="1"/>
    </xf>
    <xf numFmtId="0" fontId="0" fillId="12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165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28" xfId="1" applyNumberFormat="1" applyFont="1" applyBorder="1" applyAlignment="1">
      <alignment horizontal="center" vertical="center"/>
    </xf>
    <xf numFmtId="165" fontId="0" fillId="0" borderId="60" xfId="1" applyNumberFormat="1" applyFont="1" applyBorder="1" applyAlignment="1">
      <alignment horizontal="center"/>
    </xf>
    <xf numFmtId="165" fontId="0" fillId="0" borderId="6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60" xfId="1" applyNumberFormat="1" applyFont="1" applyBorder="1" applyAlignment="1">
      <alignment horizontal="center"/>
    </xf>
    <xf numFmtId="164" fontId="0" fillId="0" borderId="28" xfId="1" applyNumberFormat="1" applyFont="1" applyBorder="1" applyAlignment="1">
      <alignment horizontal="center"/>
    </xf>
    <xf numFmtId="164" fontId="0" fillId="0" borderId="64" xfId="1" applyNumberFormat="1" applyFont="1" applyBorder="1" applyAlignment="1">
      <alignment horizontal="center"/>
    </xf>
  </cellXfs>
  <cellStyles count="5">
    <cellStyle name="Millares" xfId="1" builtinId="3"/>
    <cellStyle name="Millares [0]" xfId="3" builtinId="6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742950</xdr:colOff>
      <xdr:row>5</xdr:row>
      <xdr:rowOff>190499</xdr:rowOff>
    </xdr:from>
    <xdr:to>
      <xdr:col>15</xdr:col>
      <xdr:colOff>723039</xdr:colOff>
      <xdr:row>11</xdr:row>
      <xdr:rowOff>28287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ABB1C0-653F-482F-B0D1-1066067E0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771524"/>
          <a:ext cx="3028089" cy="10093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95249</xdr:colOff>
      <xdr:row>13</xdr:row>
      <xdr:rowOff>47625</xdr:rowOff>
    </xdr:from>
    <xdr:to>
      <xdr:col>18</xdr:col>
      <xdr:colOff>581025</xdr:colOff>
      <xdr:row>17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88770B-D94E-4422-BCDC-ABA0D7396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91974" y="2171700"/>
          <a:ext cx="5057776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7"/>
  <sheetViews>
    <sheetView zoomScale="78" zoomScaleNormal="78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P7" sqref="P7:P11"/>
    </sheetView>
  </sheetViews>
  <sheetFormatPr baseColWidth="10" defaultRowHeight="15" x14ac:dyDescent="0.25"/>
  <cols>
    <col min="1" max="1" width="6.7109375" bestFit="1" customWidth="1"/>
    <col min="2" max="2" width="37.85546875" customWidth="1"/>
    <col min="3" max="3" width="43.5703125" customWidth="1"/>
    <col min="4" max="4" width="20.5703125" customWidth="1"/>
    <col min="5" max="5" width="29.28515625" customWidth="1"/>
    <col min="6" max="6" width="9.28515625" bestFit="1" customWidth="1"/>
    <col min="7" max="7" width="19.28515625" customWidth="1"/>
    <col min="15" max="15" width="36.42578125" customWidth="1"/>
    <col min="16" max="16" width="17.140625" customWidth="1"/>
    <col min="17" max="17" width="12.28515625" bestFit="1" customWidth="1"/>
    <col min="18" max="18" width="8.5703125" style="27" bestFit="1" customWidth="1"/>
    <col min="19" max="19" width="14.7109375" style="32" customWidth="1"/>
    <col min="20" max="20" width="44.140625" bestFit="1" customWidth="1"/>
  </cols>
  <sheetData>
    <row r="2" spans="1:20" ht="18.75" x14ac:dyDescent="0.3">
      <c r="B2" s="23" t="s">
        <v>1</v>
      </c>
      <c r="C2" s="23" t="s">
        <v>0</v>
      </c>
      <c r="D2" s="23"/>
    </row>
    <row r="3" spans="1:20" ht="18.75" x14ac:dyDescent="0.3">
      <c r="B3" s="23" t="s">
        <v>2</v>
      </c>
      <c r="C3" s="23" t="s">
        <v>118</v>
      </c>
      <c r="D3" s="23"/>
    </row>
    <row r="4" spans="1:20" ht="23.25" x14ac:dyDescent="0.3">
      <c r="B4" s="65" t="s">
        <v>178</v>
      </c>
      <c r="C4" s="24"/>
      <c r="D4" s="24"/>
    </row>
    <row r="5" spans="1:20" ht="15.75" thickBot="1" x14ac:dyDescent="0.3"/>
    <row r="6" spans="1:20" ht="48" thickBot="1" x14ac:dyDescent="0.3">
      <c r="A6" s="130" t="s">
        <v>128</v>
      </c>
      <c r="B6" s="66" t="s">
        <v>3</v>
      </c>
      <c r="C6" s="66" t="s">
        <v>10</v>
      </c>
      <c r="D6" s="67" t="s">
        <v>41</v>
      </c>
      <c r="E6" s="66" t="s">
        <v>116</v>
      </c>
      <c r="F6" s="71" t="s">
        <v>42</v>
      </c>
      <c r="G6" s="72" t="s">
        <v>76</v>
      </c>
      <c r="H6" s="66" t="s">
        <v>77</v>
      </c>
      <c r="I6" s="67" t="s">
        <v>78</v>
      </c>
      <c r="J6" s="66" t="s">
        <v>79</v>
      </c>
      <c r="K6" s="67" t="s">
        <v>80</v>
      </c>
      <c r="L6" s="66" t="s">
        <v>81</v>
      </c>
      <c r="M6" s="67" t="s">
        <v>82</v>
      </c>
      <c r="N6" s="66" t="s">
        <v>83</v>
      </c>
      <c r="O6" s="66" t="s">
        <v>121</v>
      </c>
      <c r="P6" s="74" t="s">
        <v>119</v>
      </c>
      <c r="Q6" s="67" t="s">
        <v>120</v>
      </c>
      <c r="R6" s="68" t="s">
        <v>29</v>
      </c>
      <c r="S6" s="69" t="s">
        <v>34</v>
      </c>
      <c r="T6" s="130" t="s">
        <v>123</v>
      </c>
    </row>
    <row r="7" spans="1:20" ht="30" customHeight="1" thickBot="1" x14ac:dyDescent="0.3">
      <c r="A7" s="144">
        <v>1</v>
      </c>
      <c r="B7" s="139" t="s">
        <v>27</v>
      </c>
      <c r="C7" s="1" t="s">
        <v>4</v>
      </c>
      <c r="D7" s="57"/>
      <c r="E7" s="8" t="s">
        <v>24</v>
      </c>
      <c r="F7" s="5">
        <v>45323</v>
      </c>
      <c r="G7" s="9" t="s">
        <v>12</v>
      </c>
      <c r="H7" s="16">
        <v>149.1</v>
      </c>
      <c r="I7" s="3">
        <v>2.16</v>
      </c>
      <c r="J7" s="16">
        <v>98.55</v>
      </c>
      <c r="K7" s="3">
        <v>146.94</v>
      </c>
      <c r="L7" s="16">
        <v>340</v>
      </c>
      <c r="M7" s="3">
        <v>7.5</v>
      </c>
      <c r="N7" s="16">
        <v>7.5</v>
      </c>
      <c r="O7" s="16" t="s">
        <v>144</v>
      </c>
      <c r="P7" s="51" t="s">
        <v>74</v>
      </c>
      <c r="Q7" s="16">
        <v>50</v>
      </c>
      <c r="R7" s="38">
        <f>+H7*Q7/1000</f>
        <v>7.4550000000000001</v>
      </c>
      <c r="S7" s="36">
        <f>+R7*30</f>
        <v>223.65</v>
      </c>
      <c r="T7" s="16"/>
    </row>
    <row r="8" spans="1:20" ht="30" customHeight="1" thickBot="1" x14ac:dyDescent="0.3">
      <c r="A8" s="145">
        <v>2</v>
      </c>
      <c r="B8" s="140" t="s">
        <v>6</v>
      </c>
      <c r="C8" s="2" t="s">
        <v>4</v>
      </c>
      <c r="D8" s="58"/>
      <c r="E8" s="11" t="s">
        <v>24</v>
      </c>
      <c r="F8" s="12">
        <v>45323</v>
      </c>
      <c r="G8" s="70" t="s">
        <v>11</v>
      </c>
      <c r="H8" s="22"/>
      <c r="I8" s="21"/>
      <c r="J8" s="22"/>
      <c r="K8" s="21"/>
      <c r="L8" s="22"/>
      <c r="M8" s="21"/>
      <c r="N8" s="22"/>
      <c r="O8" s="22"/>
      <c r="P8" s="75" t="s">
        <v>74</v>
      </c>
      <c r="Q8" s="22"/>
      <c r="R8" s="45">
        <v>15</v>
      </c>
      <c r="S8" s="33">
        <f>+R8*30</f>
        <v>450</v>
      </c>
      <c r="T8" s="16"/>
    </row>
    <row r="9" spans="1:20" ht="30" customHeight="1" thickBot="1" x14ac:dyDescent="0.3">
      <c r="A9" s="145">
        <v>3</v>
      </c>
      <c r="B9" s="140" t="s">
        <v>26</v>
      </c>
      <c r="C9" s="2" t="s">
        <v>5</v>
      </c>
      <c r="D9" s="58"/>
      <c r="E9" s="11" t="s">
        <v>24</v>
      </c>
      <c r="F9" s="12">
        <v>45323</v>
      </c>
      <c r="G9" s="13" t="s">
        <v>12</v>
      </c>
      <c r="H9" s="16">
        <v>40.590000000000003</v>
      </c>
      <c r="I9" s="3">
        <v>3.89</v>
      </c>
      <c r="J9" s="16">
        <v>90.41</v>
      </c>
      <c r="K9" s="3">
        <v>36.700000000000003</v>
      </c>
      <c r="L9" s="16">
        <v>280</v>
      </c>
      <c r="M9" s="3">
        <v>16</v>
      </c>
      <c r="N9" s="16">
        <v>8</v>
      </c>
      <c r="O9" s="16" t="s">
        <v>146</v>
      </c>
      <c r="P9" s="76" t="s">
        <v>75</v>
      </c>
      <c r="Q9" s="16">
        <v>200</v>
      </c>
      <c r="R9" s="38">
        <f>+H9*Q9/1000</f>
        <v>8.1180000000000003</v>
      </c>
      <c r="S9" s="33">
        <f>+R9*30</f>
        <v>243.54000000000002</v>
      </c>
      <c r="T9" s="16"/>
    </row>
    <row r="10" spans="1:20" ht="30" customHeight="1" thickBot="1" x14ac:dyDescent="0.3">
      <c r="A10" s="145">
        <v>4</v>
      </c>
      <c r="B10" s="139" t="s">
        <v>40</v>
      </c>
      <c r="C10" s="1" t="s">
        <v>39</v>
      </c>
      <c r="D10" s="57"/>
      <c r="E10" s="8" t="s">
        <v>24</v>
      </c>
      <c r="F10" s="5">
        <v>45323</v>
      </c>
      <c r="G10" s="31" t="s">
        <v>12</v>
      </c>
      <c r="H10" s="16">
        <v>72.06</v>
      </c>
      <c r="I10">
        <v>0.89</v>
      </c>
      <c r="J10" s="16">
        <v>98.77</v>
      </c>
      <c r="K10">
        <v>71.17</v>
      </c>
      <c r="L10" s="16">
        <v>120</v>
      </c>
      <c r="M10">
        <v>12</v>
      </c>
      <c r="N10" s="16">
        <v>8</v>
      </c>
      <c r="O10" s="16" t="s">
        <v>145</v>
      </c>
      <c r="P10" s="51" t="s">
        <v>74</v>
      </c>
      <c r="Q10" s="19">
        <v>100</v>
      </c>
      <c r="R10" s="38">
        <f>+H10*Q10/1000</f>
        <v>7.2060000000000004</v>
      </c>
      <c r="S10" s="34">
        <f t="shared" ref="S10:S21" si="0">+R10*30</f>
        <v>216.18</v>
      </c>
      <c r="T10" s="16"/>
    </row>
    <row r="11" spans="1:20" ht="30" customHeight="1" thickBot="1" x14ac:dyDescent="0.3">
      <c r="A11" s="145">
        <v>5</v>
      </c>
      <c r="B11" s="139" t="s">
        <v>91</v>
      </c>
      <c r="C11" s="39" t="s">
        <v>4</v>
      </c>
      <c r="D11" s="59" t="s">
        <v>74</v>
      </c>
      <c r="E11" s="39" t="s">
        <v>117</v>
      </c>
      <c r="F11" s="15">
        <v>45323</v>
      </c>
      <c r="G11" s="17" t="s">
        <v>12</v>
      </c>
      <c r="H11" s="41">
        <v>41.96</v>
      </c>
      <c r="I11" s="40">
        <v>2</v>
      </c>
      <c r="J11" s="41">
        <v>95.23</v>
      </c>
      <c r="K11" s="40">
        <v>39.96</v>
      </c>
      <c r="L11" s="41">
        <v>340</v>
      </c>
      <c r="M11" s="40">
        <v>6</v>
      </c>
      <c r="N11" s="41">
        <v>6</v>
      </c>
      <c r="O11" s="41" t="s">
        <v>147</v>
      </c>
      <c r="P11" s="77" t="s">
        <v>74</v>
      </c>
      <c r="Q11" s="41">
        <v>120</v>
      </c>
      <c r="R11" s="38">
        <f t="shared" ref="R11:R13" si="1">+H11*Q11/1000</f>
        <v>5.0351999999999997</v>
      </c>
      <c r="S11" s="35">
        <f t="shared" si="0"/>
        <v>151.05599999999998</v>
      </c>
      <c r="T11" s="16"/>
    </row>
    <row r="12" spans="1:20" ht="30" customHeight="1" thickBot="1" x14ac:dyDescent="0.3">
      <c r="A12" s="145">
        <v>6</v>
      </c>
      <c r="B12" s="141" t="s">
        <v>28</v>
      </c>
      <c r="C12" s="1" t="s">
        <v>5</v>
      </c>
      <c r="D12" s="57"/>
      <c r="E12" s="8" t="s">
        <v>24</v>
      </c>
      <c r="F12" s="5">
        <v>45323</v>
      </c>
      <c r="G12" s="9" t="s">
        <v>12</v>
      </c>
      <c r="H12" s="25">
        <v>22.13</v>
      </c>
      <c r="I12" s="26">
        <v>1.31</v>
      </c>
      <c r="J12" s="25">
        <v>94.08</v>
      </c>
      <c r="K12" s="26">
        <v>20.82</v>
      </c>
      <c r="L12" s="25">
        <v>4740</v>
      </c>
      <c r="M12" s="26">
        <v>7</v>
      </c>
      <c r="N12" s="25">
        <v>4</v>
      </c>
      <c r="O12" s="25" t="s">
        <v>148</v>
      </c>
      <c r="P12" s="78" t="s">
        <v>75</v>
      </c>
      <c r="Q12" s="16">
        <v>250</v>
      </c>
      <c r="R12" s="38">
        <f t="shared" si="1"/>
        <v>5.5324999999999998</v>
      </c>
      <c r="S12" s="36">
        <f t="shared" si="0"/>
        <v>165.97499999999999</v>
      </c>
      <c r="T12" s="16"/>
    </row>
    <row r="13" spans="1:20" ht="30" customHeight="1" thickBot="1" x14ac:dyDescent="0.3">
      <c r="A13" s="145">
        <v>7</v>
      </c>
      <c r="B13" s="139" t="s">
        <v>33</v>
      </c>
      <c r="C13" s="4" t="s">
        <v>5</v>
      </c>
      <c r="D13" s="56"/>
      <c r="E13" s="14" t="s">
        <v>24</v>
      </c>
      <c r="F13" s="18">
        <v>45325</v>
      </c>
      <c r="G13" s="10" t="s">
        <v>12</v>
      </c>
      <c r="H13" s="19">
        <v>61.68</v>
      </c>
      <c r="I13">
        <v>1.79</v>
      </c>
      <c r="J13" s="19">
        <v>97.09</v>
      </c>
      <c r="K13">
        <v>59.89</v>
      </c>
      <c r="L13" s="19">
        <v>100</v>
      </c>
      <c r="M13">
        <v>0</v>
      </c>
      <c r="N13" s="19">
        <v>0</v>
      </c>
      <c r="O13" s="41" t="s">
        <v>147</v>
      </c>
      <c r="P13" s="79" t="s">
        <v>75</v>
      </c>
      <c r="Q13" s="19">
        <v>150</v>
      </c>
      <c r="R13" s="38">
        <f t="shared" si="1"/>
        <v>9.2520000000000007</v>
      </c>
      <c r="S13" s="36">
        <f>+R13*30</f>
        <v>277.56</v>
      </c>
      <c r="T13" s="16" t="s">
        <v>62</v>
      </c>
    </row>
    <row r="14" spans="1:20" ht="30" customHeight="1" thickBot="1" x14ac:dyDescent="0.3">
      <c r="A14" s="145">
        <v>8</v>
      </c>
      <c r="B14" s="142" t="s">
        <v>25</v>
      </c>
      <c r="C14" s="39" t="s">
        <v>4</v>
      </c>
      <c r="D14" s="60"/>
      <c r="E14" s="14" t="s">
        <v>24</v>
      </c>
      <c r="F14" s="15">
        <v>45323</v>
      </c>
      <c r="G14" s="17" t="s">
        <v>12</v>
      </c>
      <c r="H14" s="41">
        <v>83.7</v>
      </c>
      <c r="I14" s="40">
        <v>1.49</v>
      </c>
      <c r="J14" s="41">
        <v>98.22</v>
      </c>
      <c r="K14" s="40">
        <v>82.21</v>
      </c>
      <c r="L14" s="41">
        <v>120</v>
      </c>
      <c r="M14" s="40">
        <v>10</v>
      </c>
      <c r="N14" s="41">
        <v>5</v>
      </c>
      <c r="O14" s="41" t="s">
        <v>149</v>
      </c>
      <c r="P14" s="77" t="s">
        <v>74</v>
      </c>
      <c r="Q14" s="41">
        <v>100</v>
      </c>
      <c r="R14" s="48">
        <f t="shared" ref="R14:R26" si="2">+Q14*K14/1000</f>
        <v>8.2210000000000001</v>
      </c>
      <c r="S14" s="47">
        <f t="shared" si="0"/>
        <v>246.63</v>
      </c>
      <c r="T14" s="16"/>
    </row>
    <row r="15" spans="1:20" ht="30" customHeight="1" thickBot="1" x14ac:dyDescent="0.3">
      <c r="A15" s="145">
        <v>9</v>
      </c>
      <c r="B15" s="139" t="s">
        <v>32</v>
      </c>
      <c r="C15" s="1" t="s">
        <v>13</v>
      </c>
      <c r="D15" s="57" t="s">
        <v>84</v>
      </c>
      <c r="E15" s="1"/>
      <c r="F15" s="3"/>
      <c r="G15" s="9" t="s">
        <v>12</v>
      </c>
      <c r="H15" s="16">
        <v>82.96</v>
      </c>
      <c r="I15" s="3">
        <v>0.9</v>
      </c>
      <c r="J15" s="16">
        <v>98.92</v>
      </c>
      <c r="K15" s="3">
        <v>82.06</v>
      </c>
      <c r="L15" s="16">
        <v>100</v>
      </c>
      <c r="M15" s="3">
        <v>10</v>
      </c>
      <c r="N15" s="16">
        <v>10</v>
      </c>
      <c r="O15" s="41" t="s">
        <v>151</v>
      </c>
      <c r="P15" s="51" t="s">
        <v>75</v>
      </c>
      <c r="Q15" s="16">
        <v>100</v>
      </c>
      <c r="R15" s="38">
        <f>+Q15*K15/1000</f>
        <v>8.2059999999999995</v>
      </c>
      <c r="S15" s="35">
        <f t="shared" si="0"/>
        <v>246.17999999999998</v>
      </c>
      <c r="T15" s="16"/>
    </row>
    <row r="16" spans="1:20" ht="30" customHeight="1" thickBot="1" x14ac:dyDescent="0.3">
      <c r="A16" s="145">
        <v>10</v>
      </c>
      <c r="B16" s="139" t="s">
        <v>71</v>
      </c>
      <c r="C16" s="1" t="s">
        <v>8</v>
      </c>
      <c r="D16" s="57"/>
      <c r="E16" s="1"/>
      <c r="F16" s="3"/>
      <c r="G16" s="9" t="s">
        <v>12</v>
      </c>
      <c r="H16" s="16">
        <v>1.75</v>
      </c>
      <c r="I16" s="3">
        <v>1.19</v>
      </c>
      <c r="J16" s="16">
        <v>32</v>
      </c>
      <c r="K16" s="3">
        <v>0.56000000000000005</v>
      </c>
      <c r="L16" s="16">
        <v>0</v>
      </c>
      <c r="M16" s="3">
        <v>0</v>
      </c>
      <c r="N16" s="16">
        <v>0</v>
      </c>
      <c r="O16" s="16" t="s">
        <v>180</v>
      </c>
      <c r="P16" s="51" t="s">
        <v>75</v>
      </c>
      <c r="Q16" s="16">
        <v>9000</v>
      </c>
      <c r="R16" s="38">
        <f t="shared" ref="R16:R21" si="3">+Q16*K16/1000</f>
        <v>5.0400000000000009</v>
      </c>
      <c r="S16" s="35">
        <f t="shared" si="0"/>
        <v>151.20000000000002</v>
      </c>
      <c r="T16" s="16" t="s">
        <v>179</v>
      </c>
    </row>
    <row r="17" spans="1:20" ht="30" customHeight="1" thickBot="1" x14ac:dyDescent="0.3">
      <c r="A17" s="145">
        <v>11</v>
      </c>
      <c r="B17" s="143" t="s">
        <v>67</v>
      </c>
      <c r="C17" s="39" t="s">
        <v>7</v>
      </c>
      <c r="D17" s="60"/>
      <c r="E17" s="39"/>
      <c r="F17" s="40"/>
      <c r="G17" s="17" t="s">
        <v>12</v>
      </c>
      <c r="H17" s="41">
        <v>6.5</v>
      </c>
      <c r="I17" s="40">
        <v>6.3</v>
      </c>
      <c r="J17" s="41">
        <v>3.08</v>
      </c>
      <c r="K17" s="40">
        <v>0.2</v>
      </c>
      <c r="L17" s="41">
        <v>0</v>
      </c>
      <c r="M17" s="40">
        <v>0</v>
      </c>
      <c r="N17" s="41">
        <v>0</v>
      </c>
      <c r="O17" s="16" t="s">
        <v>177</v>
      </c>
      <c r="P17" s="77" t="s">
        <v>74</v>
      </c>
      <c r="Q17" s="41">
        <v>40000</v>
      </c>
      <c r="R17" s="38">
        <f t="shared" si="3"/>
        <v>8</v>
      </c>
      <c r="S17" s="35">
        <f t="shared" si="0"/>
        <v>240</v>
      </c>
      <c r="T17" s="16" t="s">
        <v>200</v>
      </c>
    </row>
    <row r="18" spans="1:20" ht="30" customHeight="1" thickBot="1" x14ac:dyDescent="0.3">
      <c r="A18" s="145">
        <v>12</v>
      </c>
      <c r="B18" s="139" t="s">
        <v>66</v>
      </c>
      <c r="C18" s="1" t="s">
        <v>4</v>
      </c>
      <c r="D18" s="57"/>
      <c r="E18" s="1"/>
      <c r="F18" s="3"/>
      <c r="G18" s="9" t="s">
        <v>12</v>
      </c>
      <c r="H18" s="16">
        <v>3.99</v>
      </c>
      <c r="I18" s="3">
        <v>2.04</v>
      </c>
      <c r="J18" s="16">
        <v>49</v>
      </c>
      <c r="K18" s="3">
        <v>1.96</v>
      </c>
      <c r="L18" s="16">
        <v>0</v>
      </c>
      <c r="M18" s="3">
        <v>0</v>
      </c>
      <c r="N18" s="16">
        <v>0</v>
      </c>
      <c r="O18" s="16" t="s">
        <v>150</v>
      </c>
      <c r="P18" s="51" t="s">
        <v>74</v>
      </c>
      <c r="Q18" s="16">
        <v>3000</v>
      </c>
      <c r="R18" s="81">
        <f t="shared" si="3"/>
        <v>5.88</v>
      </c>
      <c r="S18" s="36">
        <f t="shared" si="0"/>
        <v>176.4</v>
      </c>
      <c r="T18" s="16"/>
    </row>
    <row r="19" spans="1:20" ht="30" customHeight="1" thickBot="1" x14ac:dyDescent="0.3">
      <c r="A19" s="145">
        <v>13</v>
      </c>
      <c r="B19" s="139" t="s">
        <v>68</v>
      </c>
      <c r="C19" s="1" t="s">
        <v>8</v>
      </c>
      <c r="D19" s="57"/>
      <c r="E19" s="1"/>
      <c r="F19" s="3"/>
      <c r="G19" s="9" t="s">
        <v>12</v>
      </c>
      <c r="H19" s="16">
        <v>3.3</v>
      </c>
      <c r="I19" s="3">
        <v>3.26</v>
      </c>
      <c r="J19" s="16">
        <v>1.0900000000000001</v>
      </c>
      <c r="K19" s="3">
        <v>0.04</v>
      </c>
      <c r="L19" s="16">
        <v>100</v>
      </c>
      <c r="M19" s="3">
        <v>0</v>
      </c>
      <c r="N19" s="16">
        <v>0</v>
      </c>
      <c r="O19" s="16" t="s">
        <v>152</v>
      </c>
      <c r="P19" s="51" t="s">
        <v>85</v>
      </c>
      <c r="Q19" s="16">
        <v>100000</v>
      </c>
      <c r="R19" s="179">
        <f t="shared" si="3"/>
        <v>4</v>
      </c>
      <c r="S19" s="36">
        <f t="shared" si="0"/>
        <v>120</v>
      </c>
      <c r="T19" s="16"/>
    </row>
    <row r="20" spans="1:20" ht="30" customHeight="1" thickBot="1" x14ac:dyDescent="0.3">
      <c r="A20" s="145">
        <v>14</v>
      </c>
      <c r="B20" s="139" t="s">
        <v>72</v>
      </c>
      <c r="C20" s="1" t="s">
        <v>5</v>
      </c>
      <c r="D20" s="57"/>
      <c r="E20" s="1"/>
      <c r="F20" s="3"/>
      <c r="G20" s="9" t="s">
        <v>12</v>
      </c>
      <c r="H20" s="16">
        <v>18</v>
      </c>
      <c r="I20" s="3">
        <v>8.64</v>
      </c>
      <c r="J20" s="16">
        <v>52</v>
      </c>
      <c r="K20" s="3">
        <v>9.36</v>
      </c>
      <c r="L20" s="16">
        <v>0</v>
      </c>
      <c r="M20" s="3">
        <v>0</v>
      </c>
      <c r="N20" s="16">
        <v>0</v>
      </c>
      <c r="O20" s="22"/>
      <c r="P20" s="53" t="s">
        <v>75</v>
      </c>
      <c r="Q20" s="16">
        <v>700</v>
      </c>
      <c r="R20" s="81">
        <f t="shared" si="3"/>
        <v>6.5519999999999996</v>
      </c>
      <c r="S20" s="36">
        <f t="shared" si="0"/>
        <v>196.56</v>
      </c>
      <c r="T20" s="16"/>
    </row>
    <row r="21" spans="1:20" ht="30" customHeight="1" thickBot="1" x14ac:dyDescent="0.3">
      <c r="A21" s="145">
        <v>15</v>
      </c>
      <c r="B21" s="142" t="s">
        <v>70</v>
      </c>
      <c r="C21" s="39" t="s">
        <v>5</v>
      </c>
      <c r="D21" s="56"/>
      <c r="E21" s="4"/>
      <c r="G21" s="9" t="s">
        <v>12</v>
      </c>
      <c r="H21" s="19">
        <v>7.25</v>
      </c>
      <c r="I21">
        <v>3.95</v>
      </c>
      <c r="J21" s="19">
        <v>45.52</v>
      </c>
      <c r="K21">
        <v>3.3</v>
      </c>
      <c r="L21" s="19">
        <v>8100</v>
      </c>
      <c r="M21">
        <v>0</v>
      </c>
      <c r="N21" s="19">
        <v>0</v>
      </c>
      <c r="O21" s="19"/>
      <c r="P21" s="53" t="s">
        <v>75</v>
      </c>
      <c r="Q21" s="19">
        <v>2000</v>
      </c>
      <c r="R21" s="81">
        <f t="shared" si="3"/>
        <v>6.6</v>
      </c>
      <c r="S21" s="36">
        <f t="shared" si="0"/>
        <v>198</v>
      </c>
      <c r="T21" s="16"/>
    </row>
    <row r="22" spans="1:20" s="50" customFormat="1" ht="30" customHeight="1" thickBot="1" x14ac:dyDescent="0.3">
      <c r="A22" s="145">
        <v>16</v>
      </c>
      <c r="B22" s="139" t="s">
        <v>30</v>
      </c>
      <c r="C22" s="1" t="s">
        <v>13</v>
      </c>
      <c r="D22" s="57"/>
      <c r="E22" s="1" t="s">
        <v>64</v>
      </c>
      <c r="F22" s="61"/>
      <c r="G22" s="49" t="s">
        <v>12</v>
      </c>
      <c r="H22" s="64">
        <v>18.059999999999999</v>
      </c>
      <c r="I22" s="73">
        <v>1.54</v>
      </c>
      <c r="J22" s="64">
        <v>91.5</v>
      </c>
      <c r="K22" s="73">
        <v>16.52</v>
      </c>
      <c r="L22" s="64">
        <v>1090.9100000000001</v>
      </c>
      <c r="M22" s="73">
        <v>0</v>
      </c>
      <c r="N22" s="64">
        <v>0</v>
      </c>
      <c r="O22" s="64"/>
      <c r="P22" s="80" t="s">
        <v>75</v>
      </c>
      <c r="Q22" s="55">
        <v>450</v>
      </c>
      <c r="R22" s="81">
        <f>+Q22*K22/1000</f>
        <v>7.4340000000000002</v>
      </c>
      <c r="S22" s="82">
        <f>+R22*30</f>
        <v>223.02</v>
      </c>
      <c r="T22" s="55" t="s">
        <v>122</v>
      </c>
    </row>
    <row r="23" spans="1:20" ht="30" customHeight="1" thickBot="1" x14ac:dyDescent="0.3">
      <c r="A23" s="145">
        <v>17</v>
      </c>
      <c r="B23" s="139" t="s">
        <v>73</v>
      </c>
      <c r="C23" s="4" t="s">
        <v>13</v>
      </c>
      <c r="D23" s="56"/>
      <c r="E23" s="4" t="s">
        <v>14</v>
      </c>
      <c r="G23" s="20" t="s">
        <v>12</v>
      </c>
      <c r="H23" s="19">
        <v>36.299999999999997</v>
      </c>
      <c r="I23">
        <v>22.42</v>
      </c>
      <c r="J23" s="19">
        <v>38.24</v>
      </c>
      <c r="K23">
        <v>13.88</v>
      </c>
      <c r="L23" s="19">
        <v>0</v>
      </c>
      <c r="M23">
        <v>0</v>
      </c>
      <c r="N23" s="19">
        <v>0</v>
      </c>
      <c r="O23" s="19"/>
      <c r="P23" s="52" t="s">
        <v>74</v>
      </c>
      <c r="Q23" s="19">
        <v>450</v>
      </c>
      <c r="R23" s="81">
        <f t="shared" ref="R23:R24" si="4">+Q23*K23/1000</f>
        <v>6.2460000000000004</v>
      </c>
      <c r="S23" s="82">
        <f>+R23*30</f>
        <v>187.38000000000002</v>
      </c>
      <c r="T23" s="16"/>
    </row>
    <row r="24" spans="1:20" ht="30" customHeight="1" thickBot="1" x14ac:dyDescent="0.3">
      <c r="A24" s="145">
        <v>18</v>
      </c>
      <c r="B24" s="141" t="s">
        <v>69</v>
      </c>
      <c r="C24" s="1" t="s">
        <v>9</v>
      </c>
      <c r="D24" s="57"/>
      <c r="E24" s="1"/>
      <c r="F24" s="3"/>
      <c r="G24" s="9" t="s">
        <v>12</v>
      </c>
      <c r="H24" s="16">
        <v>9.4</v>
      </c>
      <c r="I24" s="3">
        <v>5.0999999999999996</v>
      </c>
      <c r="J24" s="16">
        <v>45.75</v>
      </c>
      <c r="K24" s="3">
        <v>4.3</v>
      </c>
      <c r="L24" s="16">
        <v>100</v>
      </c>
      <c r="M24" s="3">
        <v>0</v>
      </c>
      <c r="N24" s="16">
        <v>0</v>
      </c>
      <c r="O24" s="16" t="s">
        <v>35</v>
      </c>
      <c r="P24" s="51" t="s">
        <v>85</v>
      </c>
      <c r="Q24" s="16">
        <v>1200</v>
      </c>
      <c r="R24" s="81">
        <f t="shared" si="4"/>
        <v>5.16</v>
      </c>
      <c r="S24" s="36">
        <f>+R24*30</f>
        <v>154.80000000000001</v>
      </c>
      <c r="T24" s="22" t="s">
        <v>176</v>
      </c>
    </row>
    <row r="25" spans="1:20" ht="30" customHeight="1" thickBot="1" x14ac:dyDescent="0.3">
      <c r="A25" s="145">
        <v>19</v>
      </c>
      <c r="B25" s="139" t="s">
        <v>31</v>
      </c>
      <c r="C25" s="11" t="s">
        <v>113</v>
      </c>
      <c r="D25" s="129" t="s">
        <v>114</v>
      </c>
      <c r="E25" s="8" t="s">
        <v>115</v>
      </c>
      <c r="F25" s="63"/>
      <c r="G25" s="49" t="s">
        <v>12</v>
      </c>
      <c r="H25" s="42">
        <v>120</v>
      </c>
      <c r="I25" s="43">
        <v>23.52</v>
      </c>
      <c r="J25" s="42">
        <v>80.400000000000006</v>
      </c>
      <c r="K25" s="43">
        <v>96.48</v>
      </c>
      <c r="L25" s="42">
        <v>100</v>
      </c>
      <c r="M25" s="43">
        <v>2</v>
      </c>
      <c r="N25" s="42">
        <v>2</v>
      </c>
      <c r="O25" s="16" t="s">
        <v>153</v>
      </c>
      <c r="P25" s="53" t="s">
        <v>75</v>
      </c>
      <c r="Q25" s="44">
        <v>200</v>
      </c>
      <c r="R25" s="45">
        <f>+Q25*K25/1000</f>
        <v>19.295999999999999</v>
      </c>
      <c r="S25" s="46">
        <f>+R25*30</f>
        <v>578.88</v>
      </c>
      <c r="T25" s="55" t="s">
        <v>63</v>
      </c>
    </row>
    <row r="26" spans="1:20" ht="30" customHeight="1" thickBot="1" x14ac:dyDescent="0.3">
      <c r="A26" s="146">
        <v>20</v>
      </c>
      <c r="B26" s="139" t="s">
        <v>65</v>
      </c>
      <c r="C26" s="1" t="s">
        <v>8</v>
      </c>
      <c r="D26" s="57"/>
      <c r="E26" s="1"/>
      <c r="F26" s="62"/>
      <c r="G26" s="9" t="s">
        <v>12</v>
      </c>
      <c r="H26" s="16">
        <v>165.75</v>
      </c>
      <c r="I26" s="3">
        <v>9.9499999999999993</v>
      </c>
      <c r="J26" s="16">
        <v>94</v>
      </c>
      <c r="K26" s="3">
        <v>155.81</v>
      </c>
      <c r="L26" s="16">
        <v>100</v>
      </c>
      <c r="M26" s="3">
        <v>0</v>
      </c>
      <c r="N26" s="16">
        <v>0</v>
      </c>
      <c r="O26" s="16" t="s">
        <v>153</v>
      </c>
      <c r="P26" s="51" t="s">
        <v>85</v>
      </c>
      <c r="Q26" s="41">
        <v>100</v>
      </c>
      <c r="R26" s="48">
        <f t="shared" si="2"/>
        <v>15.581</v>
      </c>
      <c r="S26" s="36">
        <f>+R26*30</f>
        <v>467.43</v>
      </c>
      <c r="T26" s="22" t="s">
        <v>169</v>
      </c>
    </row>
    <row r="27" spans="1:20" ht="17.100000000000001" customHeight="1" thickBot="1" x14ac:dyDescent="0.3">
      <c r="Q27" s="89" t="s">
        <v>124</v>
      </c>
      <c r="R27" s="133"/>
      <c r="S27" s="132">
        <f>SUM(S7:S26)</f>
        <v>4914.4409999999998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1"/>
  <sheetViews>
    <sheetView tabSelected="1" workbookViewId="0">
      <selection activeCell="D20" sqref="D20"/>
    </sheetView>
  </sheetViews>
  <sheetFormatPr baseColWidth="10" defaultRowHeight="15" x14ac:dyDescent="0.25"/>
  <cols>
    <col min="2" max="2" width="17.5703125" customWidth="1"/>
    <col min="3" max="3" width="14" customWidth="1"/>
    <col min="4" max="4" width="21.85546875" customWidth="1"/>
    <col min="5" max="5" width="15.5703125" customWidth="1"/>
    <col min="6" max="6" width="34.85546875" customWidth="1"/>
    <col min="7" max="7" width="17.7109375" customWidth="1"/>
    <col min="8" max="8" width="17" customWidth="1"/>
    <col min="9" max="9" width="11.42578125" customWidth="1"/>
  </cols>
  <sheetData>
    <row r="1" spans="2:13" ht="15.75" thickBot="1" x14ac:dyDescent="0.3">
      <c r="B1" s="131" t="s">
        <v>154</v>
      </c>
      <c r="C1" s="160"/>
    </row>
    <row r="2" spans="2:13" x14ac:dyDescent="0.25">
      <c r="D2" t="s">
        <v>157</v>
      </c>
      <c r="E2" s="18">
        <v>45331</v>
      </c>
    </row>
    <row r="3" spans="2:13" x14ac:dyDescent="0.25">
      <c r="B3" s="28"/>
      <c r="D3" s="28" t="s">
        <v>143</v>
      </c>
      <c r="E3">
        <v>831</v>
      </c>
    </row>
    <row r="4" spans="2:13" ht="15.75" thickBot="1" x14ac:dyDescent="0.3">
      <c r="C4" s="28"/>
      <c r="M4" t="s">
        <v>130</v>
      </c>
    </row>
    <row r="5" spans="2:13" ht="15.75" thickBot="1" x14ac:dyDescent="0.3">
      <c r="B5" t="s">
        <v>166</v>
      </c>
      <c r="C5" s="16">
        <v>1</v>
      </c>
      <c r="D5" t="s">
        <v>133</v>
      </c>
    </row>
    <row r="6" spans="2:13" ht="15.75" thickBot="1" x14ac:dyDescent="0.3">
      <c r="B6" s="7" t="s">
        <v>140</v>
      </c>
      <c r="D6" s="231" t="s">
        <v>162</v>
      </c>
    </row>
    <row r="7" spans="2:13" x14ac:dyDescent="0.25">
      <c r="B7" s="89" t="s">
        <v>158</v>
      </c>
      <c r="C7" s="89"/>
      <c r="D7" s="133">
        <f>+K9+K8+K10</f>
        <v>189280</v>
      </c>
      <c r="F7" s="229" t="s">
        <v>156</v>
      </c>
      <c r="G7" s="217" t="s">
        <v>129</v>
      </c>
      <c r="H7" s="217" t="s">
        <v>127</v>
      </c>
      <c r="I7" s="230" t="s">
        <v>133</v>
      </c>
      <c r="J7" s="217"/>
      <c r="K7" s="218" t="s">
        <v>132</v>
      </c>
    </row>
    <row r="8" spans="2:13" x14ac:dyDescent="0.25">
      <c r="B8" s="89" t="s">
        <v>159</v>
      </c>
      <c r="C8" s="89"/>
      <c r="D8" s="133">
        <f>SUM(K13:K15)</f>
        <v>12363.044310000001</v>
      </c>
      <c r="F8" s="219" t="s">
        <v>125</v>
      </c>
      <c r="G8" s="89">
        <v>3050</v>
      </c>
      <c r="H8" s="89">
        <v>20</v>
      </c>
      <c r="I8" s="89"/>
      <c r="J8" s="89"/>
      <c r="K8" s="226">
        <f>+H8*G8</f>
        <v>61000</v>
      </c>
    </row>
    <row r="9" spans="2:13" x14ac:dyDescent="0.25">
      <c r="B9" s="89" t="s">
        <v>163</v>
      </c>
      <c r="C9" s="89"/>
      <c r="D9" s="134">
        <f>+D13*0.75</f>
        <v>4981.9494584837539</v>
      </c>
      <c r="F9" s="219" t="s">
        <v>131</v>
      </c>
      <c r="G9" s="89">
        <v>5345</v>
      </c>
      <c r="H9" s="89">
        <v>20</v>
      </c>
      <c r="I9" s="89"/>
      <c r="J9" s="89"/>
      <c r="K9" s="226">
        <f>+H9*G9</f>
        <v>106900</v>
      </c>
    </row>
    <row r="10" spans="2:13" ht="15.75" thickBot="1" x14ac:dyDescent="0.3">
      <c r="B10" s="135" t="s">
        <v>199</v>
      </c>
      <c r="C10" s="136"/>
      <c r="D10" s="232">
        <f>SUM(D7:D9)</f>
        <v>206624.99376848375</v>
      </c>
      <c r="F10" s="227" t="s">
        <v>141</v>
      </c>
      <c r="G10" s="148">
        <f>+G9*0.2</f>
        <v>1069</v>
      </c>
      <c r="H10" s="148">
        <v>20</v>
      </c>
      <c r="I10" s="148"/>
      <c r="J10" s="148"/>
      <c r="K10" s="228">
        <f>+H10*G10</f>
        <v>21380</v>
      </c>
    </row>
    <row r="11" spans="2:13" ht="15.75" thickBot="1" x14ac:dyDescent="0.3">
      <c r="B11" s="7" t="s">
        <v>134</v>
      </c>
      <c r="D11" s="27"/>
      <c r="F11" s="149" t="s">
        <v>155</v>
      </c>
      <c r="G11" s="150"/>
      <c r="H11" s="150"/>
      <c r="I11" s="150"/>
      <c r="J11" s="150"/>
      <c r="K11" s="151">
        <f>SUM(K8:K10)</f>
        <v>189280</v>
      </c>
    </row>
    <row r="12" spans="2:13" x14ac:dyDescent="0.25">
      <c r="B12" s="89" t="s">
        <v>165</v>
      </c>
      <c r="C12" s="89"/>
      <c r="D12" s="233">
        <f>+K22</f>
        <v>21453.633900000001</v>
      </c>
      <c r="F12" s="222" t="s">
        <v>126</v>
      </c>
      <c r="G12" s="224" t="s">
        <v>201</v>
      </c>
      <c r="H12" s="224" t="s">
        <v>170</v>
      </c>
      <c r="I12" s="223" t="s">
        <v>133</v>
      </c>
      <c r="J12" s="40"/>
      <c r="K12" s="225"/>
    </row>
    <row r="13" spans="2:13" x14ac:dyDescent="0.25">
      <c r="B13" s="89" t="s">
        <v>164</v>
      </c>
      <c r="C13" s="89"/>
      <c r="D13" s="133">
        <f>276000*H8/$E$3*$C$5</f>
        <v>6642.5992779783392</v>
      </c>
      <c r="F13" s="219" t="s">
        <v>75</v>
      </c>
      <c r="G13" s="258">
        <v>3.21</v>
      </c>
      <c r="H13" s="261">
        <f>SUMIF(POZOS!P7:P26,F13,POZOS!S7:S26)</f>
        <v>2280.915</v>
      </c>
      <c r="I13" s="37">
        <f>+$C$5</f>
        <v>1</v>
      </c>
      <c r="J13" s="30"/>
      <c r="K13" s="265">
        <f>+H13*G13*I13</f>
        <v>7321.7371499999999</v>
      </c>
      <c r="M13" t="s">
        <v>135</v>
      </c>
    </row>
    <row r="14" spans="2:13" x14ac:dyDescent="0.25">
      <c r="B14" s="135" t="s">
        <v>142</v>
      </c>
      <c r="C14" s="136"/>
      <c r="D14" s="137">
        <f>SUM(D12:D13)</f>
        <v>28096.233177978342</v>
      </c>
      <c r="F14" s="219" t="s">
        <v>85</v>
      </c>
      <c r="G14" s="257">
        <v>2.1800000000000002</v>
      </c>
      <c r="H14" s="261">
        <f>SUMIF(POZOS!P7:P26,F14,POZOS!S7:S26)</f>
        <v>742.23</v>
      </c>
      <c r="I14" s="37">
        <f t="shared" ref="I14:I15" si="0">+$C$5</f>
        <v>1</v>
      </c>
      <c r="J14" s="30"/>
      <c r="K14" s="265">
        <f>+H14*G14*I14</f>
        <v>1618.0614</v>
      </c>
    </row>
    <row r="15" spans="2:13" ht="15.75" thickBot="1" x14ac:dyDescent="0.3">
      <c r="F15" s="227" t="s">
        <v>74</v>
      </c>
      <c r="G15" s="260">
        <v>1.81</v>
      </c>
      <c r="H15" s="264">
        <f>SUMIF(POZOS!P7:P26,F15,POZOS!S7:S26)</f>
        <v>1891.2960000000003</v>
      </c>
      <c r="I15" s="259">
        <f t="shared" si="0"/>
        <v>1</v>
      </c>
      <c r="J15" s="30"/>
      <c r="K15" s="266">
        <f>+H15*G15*I15</f>
        <v>3423.2457600000007</v>
      </c>
    </row>
    <row r="16" spans="2:13" ht="15.75" thickBot="1" x14ac:dyDescent="0.3">
      <c r="B16" s="213" t="s">
        <v>196</v>
      </c>
      <c r="F16" s="152" t="s">
        <v>160</v>
      </c>
      <c r="G16" s="153"/>
      <c r="H16" s="153"/>
      <c r="I16" s="153"/>
      <c r="J16" s="154"/>
      <c r="K16" s="155">
        <f>SUM(K13:K15)</f>
        <v>12363.044310000001</v>
      </c>
    </row>
    <row r="17" spans="2:11" ht="15.75" thickBot="1" x14ac:dyDescent="0.3">
      <c r="B17" s="213"/>
    </row>
    <row r="18" spans="2:11" x14ac:dyDescent="0.25">
      <c r="F18" s="216" t="s">
        <v>136</v>
      </c>
      <c r="G18" s="217" t="s">
        <v>129</v>
      </c>
      <c r="H18" s="217" t="s">
        <v>137</v>
      </c>
      <c r="I18" s="217" t="s">
        <v>133</v>
      </c>
      <c r="J18" s="217" t="s">
        <v>138</v>
      </c>
      <c r="K18" s="218" t="s">
        <v>139</v>
      </c>
    </row>
    <row r="19" spans="2:11" x14ac:dyDescent="0.25">
      <c r="B19" s="89" t="s">
        <v>197</v>
      </c>
      <c r="C19" s="89"/>
      <c r="D19" s="138">
        <f>+D14-D10</f>
        <v>-178528.76059050541</v>
      </c>
      <c r="F19" s="219" t="s">
        <v>75</v>
      </c>
      <c r="G19" s="37">
        <f>884/200</f>
        <v>4.42</v>
      </c>
      <c r="H19" s="262">
        <f>+H13</f>
        <v>2280.915</v>
      </c>
      <c r="I19" s="37">
        <f t="shared" ref="I19:I21" si="1">+$C$5</f>
        <v>1</v>
      </c>
      <c r="J19" s="267">
        <f>+H19*I19</f>
        <v>2280.915</v>
      </c>
      <c r="K19" s="268">
        <f>+J19*G19</f>
        <v>10081.6443</v>
      </c>
    </row>
    <row r="20" spans="2:11" x14ac:dyDescent="0.25">
      <c r="B20" s="89" t="s">
        <v>198</v>
      </c>
      <c r="C20" s="89"/>
      <c r="D20" s="215">
        <f>+D19/D10</f>
        <v>-0.86402306581816901</v>
      </c>
      <c r="F20" s="219" t="s">
        <v>85</v>
      </c>
      <c r="G20" s="37">
        <f>720/200</f>
        <v>3.6</v>
      </c>
      <c r="H20" s="262">
        <f>+H14</f>
        <v>742.23</v>
      </c>
      <c r="I20" s="37">
        <f t="shared" si="1"/>
        <v>1</v>
      </c>
      <c r="J20" s="267">
        <f>+H20*I20</f>
        <v>742.23</v>
      </c>
      <c r="K20" s="268">
        <f t="shared" ref="K20:K21" si="2">+J20*G20</f>
        <v>2672.0280000000002</v>
      </c>
    </row>
    <row r="21" spans="2:11" ht="15.75" thickBot="1" x14ac:dyDescent="0.3">
      <c r="F21" s="219" t="s">
        <v>74</v>
      </c>
      <c r="G21" s="37">
        <f>920/200</f>
        <v>4.5999999999999996</v>
      </c>
      <c r="H21" s="263">
        <f>+H15</f>
        <v>1891.2960000000003</v>
      </c>
      <c r="I21" s="37">
        <f t="shared" si="1"/>
        <v>1</v>
      </c>
      <c r="J21" s="269">
        <f>+H21*I21</f>
        <v>1891.2960000000003</v>
      </c>
      <c r="K21" s="270">
        <f t="shared" si="2"/>
        <v>8699.9616000000005</v>
      </c>
    </row>
    <row r="22" spans="2:11" ht="15.75" thickBot="1" x14ac:dyDescent="0.3">
      <c r="F22" s="220" t="s">
        <v>161</v>
      </c>
      <c r="G22" s="221"/>
      <c r="H22" s="157">
        <f>SUM(H19:H21)</f>
        <v>4914.4410000000007</v>
      </c>
      <c r="I22" s="221"/>
      <c r="J22" s="158">
        <f>SUM(J19:J21)</f>
        <v>4914.4410000000007</v>
      </c>
      <c r="K22" s="159">
        <f>SUM(K19:K21)</f>
        <v>21453.633900000001</v>
      </c>
    </row>
    <row r="24" spans="2:11" x14ac:dyDescent="0.25">
      <c r="K24" s="156"/>
    </row>
    <row r="25" spans="2:11" x14ac:dyDescent="0.25">
      <c r="B25" s="234" t="s">
        <v>181</v>
      </c>
      <c r="C25" s="235"/>
      <c r="D25" s="235"/>
      <c r="E25" s="235"/>
      <c r="F25" s="236">
        <f>+D10*$E$3</f>
        <v>171705369.82161</v>
      </c>
      <c r="G25" s="236"/>
    </row>
    <row r="26" spans="2:11" x14ac:dyDescent="0.25">
      <c r="B26" s="237" t="s">
        <v>182</v>
      </c>
      <c r="C26" s="180">
        <v>0.04</v>
      </c>
      <c r="D26" s="181" t="s">
        <v>183</v>
      </c>
      <c r="E26" s="182">
        <f>+$F$33*$C$26</f>
        <v>933918.79083600012</v>
      </c>
      <c r="F26" s="239">
        <f>+E26+E27+E28</f>
        <v>1553106.9491602681</v>
      </c>
      <c r="G26" s="240"/>
      <c r="J26" s="147"/>
    </row>
    <row r="27" spans="2:11" x14ac:dyDescent="0.25">
      <c r="B27" s="238"/>
      <c r="C27" s="180">
        <f>1.2%*1.21</f>
        <v>1.452E-2</v>
      </c>
      <c r="D27" s="181" t="s">
        <v>184</v>
      </c>
      <c r="E27" s="182">
        <f>+$F$33*$C$27</f>
        <v>339012.52107346803</v>
      </c>
      <c r="F27" s="241"/>
      <c r="G27" s="242"/>
    </row>
    <row r="28" spans="2:11" x14ac:dyDescent="0.25">
      <c r="B28" s="238"/>
      <c r="C28" s="183">
        <v>1.2E-2</v>
      </c>
      <c r="D28" s="184" t="s">
        <v>185</v>
      </c>
      <c r="E28" s="185">
        <f>$C$28*$F$33</f>
        <v>280175.63725080003</v>
      </c>
      <c r="F28" s="241"/>
      <c r="G28" s="242"/>
    </row>
    <row r="29" spans="2:11" x14ac:dyDescent="0.25">
      <c r="B29" s="243" t="s">
        <v>186</v>
      </c>
      <c r="C29" s="244"/>
      <c r="D29" s="244"/>
      <c r="E29" s="245"/>
      <c r="F29" s="236">
        <f>SUM(F25:F28)</f>
        <v>173258476.77077028</v>
      </c>
      <c r="G29" s="236"/>
    </row>
    <row r="30" spans="2:11" x14ac:dyDescent="0.25">
      <c r="B30" s="247" t="s">
        <v>187</v>
      </c>
      <c r="C30" s="248"/>
      <c r="D30" s="248"/>
      <c r="E30" s="186">
        <v>0.01</v>
      </c>
      <c r="F30" s="249">
        <f>$F$33*$E$30</f>
        <v>233479.69770900003</v>
      </c>
      <c r="G30" s="250"/>
    </row>
    <row r="31" spans="2:11" x14ac:dyDescent="0.25">
      <c r="B31" s="247" t="s">
        <v>188</v>
      </c>
      <c r="C31" s="248"/>
      <c r="D31" s="248"/>
      <c r="E31" s="187">
        <f>+F31/F25</f>
        <v>-0.87578779016358121</v>
      </c>
      <c r="F31" s="249">
        <f>+F33-F32-F30-F29</f>
        <v>-150377466.39528829</v>
      </c>
      <c r="G31" s="250"/>
    </row>
    <row r="32" spans="2:11" ht="15.75" thickBot="1" x14ac:dyDescent="0.3">
      <c r="B32" s="188" t="s">
        <v>189</v>
      </c>
      <c r="C32" s="189"/>
      <c r="D32" s="189"/>
      <c r="E32" s="190">
        <v>0.01</v>
      </c>
      <c r="F32" s="251">
        <f>$E$32*$F$33</f>
        <v>233479.69770900003</v>
      </c>
      <c r="G32" s="251"/>
    </row>
    <row r="33" spans="2:8" ht="16.5" thickTop="1" thickBot="1" x14ac:dyDescent="0.3">
      <c r="B33" s="252" t="s">
        <v>190</v>
      </c>
      <c r="C33" s="253"/>
      <c r="D33" s="253"/>
      <c r="E33" s="254"/>
      <c r="F33" s="255">
        <f>+D14*E3</f>
        <v>23347969.770900004</v>
      </c>
      <c r="G33" s="256"/>
      <c r="H33" s="214"/>
    </row>
    <row r="34" spans="2:8" ht="17.25" thickTop="1" thickBot="1" x14ac:dyDescent="0.3">
      <c r="B34" s="191" t="s">
        <v>191</v>
      </c>
      <c r="C34" s="192"/>
      <c r="D34" s="193"/>
      <c r="E34" s="194"/>
      <c r="F34" s="246">
        <f>+F33/$E$3</f>
        <v>28096.233177978345</v>
      </c>
      <c r="G34" s="246"/>
      <c r="H34" s="214">
        <f>+F34-D14</f>
        <v>0</v>
      </c>
    </row>
    <row r="35" spans="2:8" ht="15.75" thickTop="1" x14ac:dyDescent="0.25">
      <c r="B35" s="195"/>
      <c r="C35" s="196"/>
      <c r="D35" s="195"/>
      <c r="E35" s="195"/>
      <c r="F35" s="195"/>
      <c r="G35" s="195"/>
      <c r="H35" s="197"/>
    </row>
    <row r="36" spans="2:8" x14ac:dyDescent="0.25">
      <c r="B36" s="195"/>
      <c r="C36" s="196"/>
      <c r="D36" s="195"/>
      <c r="E36" s="195"/>
      <c r="F36" s="195"/>
      <c r="G36" s="195"/>
      <c r="H36" s="195"/>
    </row>
    <row r="37" spans="2:8" ht="15.75" thickBot="1" x14ac:dyDescent="0.3">
      <c r="B37" s="195"/>
      <c r="C37" s="196"/>
      <c r="D37" s="195"/>
      <c r="E37" s="195"/>
      <c r="F37" s="195"/>
      <c r="G37" s="195"/>
      <c r="H37" s="197"/>
    </row>
    <row r="38" spans="2:8" ht="15.75" x14ac:dyDescent="0.25">
      <c r="B38" s="195"/>
      <c r="C38" s="196"/>
      <c r="D38" s="198" t="s">
        <v>192</v>
      </c>
      <c r="E38" s="199"/>
      <c r="F38" s="200"/>
      <c r="G38" s="201">
        <f>+(F33-F25)/E3</f>
        <v>-178528.76059050541</v>
      </c>
      <c r="H38" s="202"/>
    </row>
    <row r="39" spans="2:8" ht="15.75" x14ac:dyDescent="0.25">
      <c r="B39" s="195"/>
      <c r="C39" s="196"/>
      <c r="D39" s="203" t="s">
        <v>193</v>
      </c>
      <c r="E39" s="204"/>
      <c r="F39" s="204"/>
      <c r="G39" s="205">
        <f>+G38/F34</f>
        <v>-6.3541884586306452</v>
      </c>
      <c r="H39" s="197"/>
    </row>
    <row r="40" spans="2:8" ht="15.75" x14ac:dyDescent="0.25">
      <c r="B40" s="195"/>
      <c r="C40" s="196"/>
      <c r="D40" s="206" t="s">
        <v>194</v>
      </c>
      <c r="E40" s="207"/>
      <c r="F40" s="207"/>
      <c r="G40" s="208">
        <f>+F33/F25</f>
        <v>0.13597693418183093</v>
      </c>
      <c r="H40" s="196"/>
    </row>
    <row r="41" spans="2:8" ht="16.5" thickBot="1" x14ac:dyDescent="0.3">
      <c r="D41" s="209" t="s">
        <v>195</v>
      </c>
      <c r="E41" s="210"/>
      <c r="F41" s="211"/>
      <c r="G41" s="212">
        <f>+F31/E3</f>
        <v>-180959.64668506413</v>
      </c>
    </row>
  </sheetData>
  <mergeCells count="14">
    <mergeCell ref="F34:G34"/>
    <mergeCell ref="B30:D30"/>
    <mergeCell ref="F30:G30"/>
    <mergeCell ref="B31:D31"/>
    <mergeCell ref="F31:G31"/>
    <mergeCell ref="F32:G32"/>
    <mergeCell ref="B33:E33"/>
    <mergeCell ref="F33:G33"/>
    <mergeCell ref="B25:E25"/>
    <mergeCell ref="F25:G25"/>
    <mergeCell ref="B26:B28"/>
    <mergeCell ref="F26:G28"/>
    <mergeCell ref="B29:E29"/>
    <mergeCell ref="F29:G2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48576"/>
  <sheetViews>
    <sheetView workbookViewId="0">
      <pane xSplit="1" ySplit="4" topLeftCell="Q22" activePane="bottomRight" state="frozen"/>
      <selection pane="topRight" activeCell="B1" sqref="B1"/>
      <selection pane="bottomLeft" activeCell="A5" sqref="A5"/>
      <selection pane="bottomRight" activeCell="Q33" sqref="Q33"/>
    </sheetView>
  </sheetViews>
  <sheetFormatPr baseColWidth="10" defaultRowHeight="15" x14ac:dyDescent="0.25"/>
  <cols>
    <col min="1" max="1" width="35.28515625" customWidth="1"/>
    <col min="2" max="2" width="8.7109375" bestFit="1" customWidth="1"/>
    <col min="3" max="3" width="6" bestFit="1" customWidth="1"/>
    <col min="11" max="11" width="6" bestFit="1" customWidth="1"/>
    <col min="13" max="13" width="8.7109375" bestFit="1" customWidth="1"/>
    <col min="14" max="14" width="11.140625" style="30" bestFit="1" customWidth="1"/>
    <col min="15" max="15" width="16.140625" bestFit="1" customWidth="1"/>
    <col min="16" max="16" width="19.7109375" customWidth="1"/>
    <col min="17" max="17" width="43.42578125" bestFit="1" customWidth="1"/>
    <col min="18" max="18" width="7.5703125" bestFit="1" customWidth="1"/>
    <col min="19" max="19" width="19.42578125" bestFit="1" customWidth="1"/>
    <col min="20" max="20" width="21.5703125" customWidth="1"/>
    <col min="21" max="21" width="16.7109375" customWidth="1"/>
    <col min="22" max="22" width="20" customWidth="1"/>
  </cols>
  <sheetData>
    <row r="1" spans="1:22" ht="21" x14ac:dyDescent="0.35">
      <c r="A1" s="29" t="s">
        <v>36</v>
      </c>
      <c r="B1" s="29"/>
    </row>
    <row r="2" spans="1:22" ht="15.75" thickBot="1" x14ac:dyDescent="0.3"/>
    <row r="3" spans="1:22" ht="27.75" customHeight="1" thickBot="1" x14ac:dyDescent="0.3">
      <c r="A3" s="161" t="s">
        <v>3</v>
      </c>
      <c r="B3" s="161" t="s">
        <v>42</v>
      </c>
      <c r="C3" s="161" t="s">
        <v>15</v>
      </c>
      <c r="D3" s="162" t="s">
        <v>45</v>
      </c>
      <c r="E3" s="162" t="s">
        <v>61</v>
      </c>
      <c r="F3" s="162" t="s">
        <v>46</v>
      </c>
      <c r="G3" s="162" t="s">
        <v>48</v>
      </c>
      <c r="H3" s="162" t="s">
        <v>49</v>
      </c>
      <c r="I3" s="162" t="s">
        <v>50</v>
      </c>
      <c r="J3" s="162" t="s">
        <v>51</v>
      </c>
      <c r="K3" s="163" t="s">
        <v>54</v>
      </c>
      <c r="L3" s="162" t="s">
        <v>52</v>
      </c>
      <c r="M3" s="163" t="s">
        <v>59</v>
      </c>
      <c r="N3" s="161" t="s">
        <v>56</v>
      </c>
      <c r="O3" s="161" t="s">
        <v>57</v>
      </c>
      <c r="P3" s="161" t="s">
        <v>87</v>
      </c>
      <c r="Q3" s="164" t="s">
        <v>99</v>
      </c>
      <c r="R3" s="164" t="s">
        <v>101</v>
      </c>
      <c r="S3" s="164" t="s">
        <v>102</v>
      </c>
      <c r="T3" s="165" t="s">
        <v>167</v>
      </c>
      <c r="U3" s="164" t="s">
        <v>112</v>
      </c>
      <c r="V3" s="166" t="s">
        <v>168</v>
      </c>
    </row>
    <row r="4" spans="1:22" ht="15.75" thickBot="1" x14ac:dyDescent="0.3">
      <c r="A4" s="83" t="s">
        <v>35</v>
      </c>
      <c r="B4" s="83" t="s">
        <v>35</v>
      </c>
      <c r="C4" s="83" t="s">
        <v>35</v>
      </c>
      <c r="D4" s="99" t="s">
        <v>44</v>
      </c>
      <c r="E4" s="99" t="s">
        <v>44</v>
      </c>
      <c r="F4" s="99" t="s">
        <v>44</v>
      </c>
      <c r="G4" s="99" t="s">
        <v>47</v>
      </c>
      <c r="H4" s="99" t="s">
        <v>44</v>
      </c>
      <c r="I4" s="99" t="s">
        <v>44</v>
      </c>
      <c r="J4" s="99" t="s">
        <v>47</v>
      </c>
      <c r="K4" s="84" t="s">
        <v>53</v>
      </c>
      <c r="L4" s="99" t="s">
        <v>44</v>
      </c>
      <c r="M4" s="84" t="s">
        <v>60</v>
      </c>
      <c r="N4" s="83" t="s">
        <v>55</v>
      </c>
      <c r="O4" s="83" t="s">
        <v>58</v>
      </c>
      <c r="P4" s="120"/>
      <c r="Q4" s="120"/>
      <c r="R4" s="120"/>
      <c r="S4" s="120"/>
      <c r="T4" s="120"/>
      <c r="U4" s="120"/>
      <c r="V4" s="120"/>
    </row>
    <row r="5" spans="1:22" x14ac:dyDescent="0.25">
      <c r="A5" s="87" t="s">
        <v>37</v>
      </c>
      <c r="B5" s="85">
        <v>45323</v>
      </c>
      <c r="C5" s="86"/>
      <c r="D5" s="89" t="s">
        <v>35</v>
      </c>
      <c r="E5" s="89" t="s">
        <v>35</v>
      </c>
      <c r="F5" s="89" t="s">
        <v>35</v>
      </c>
      <c r="G5" s="98" t="s">
        <v>35</v>
      </c>
      <c r="H5" s="98" t="s">
        <v>35</v>
      </c>
      <c r="I5" s="98" t="s">
        <v>35</v>
      </c>
      <c r="J5" s="89" t="s">
        <v>35</v>
      </c>
      <c r="K5" s="37"/>
      <c r="L5" s="89">
        <v>3.06</v>
      </c>
      <c r="M5" s="6" t="s">
        <v>35</v>
      </c>
      <c r="N5" s="37">
        <v>2.85</v>
      </c>
      <c r="O5" s="6">
        <v>0.2</v>
      </c>
      <c r="P5" s="121" t="s">
        <v>89</v>
      </c>
      <c r="Q5" s="89"/>
      <c r="R5" s="89"/>
      <c r="S5" s="89"/>
      <c r="T5" s="89"/>
      <c r="U5" s="37" t="s">
        <v>111</v>
      </c>
      <c r="V5" s="89"/>
    </row>
    <row r="6" spans="1:22" ht="15.75" thickBot="1" x14ac:dyDescent="0.3">
      <c r="A6" s="87" t="s">
        <v>38</v>
      </c>
      <c r="B6" s="85">
        <v>45323</v>
      </c>
      <c r="C6" s="86"/>
      <c r="D6" s="89" t="s">
        <v>35</v>
      </c>
      <c r="E6" s="89" t="s">
        <v>35</v>
      </c>
      <c r="F6" s="89" t="s">
        <v>35</v>
      </c>
      <c r="G6" s="98" t="s">
        <v>35</v>
      </c>
      <c r="H6" s="98" t="s">
        <v>35</v>
      </c>
      <c r="I6" s="98" t="s">
        <v>35</v>
      </c>
      <c r="J6" s="89" t="s">
        <v>35</v>
      </c>
      <c r="K6" s="37"/>
      <c r="L6" s="89">
        <v>0.89</v>
      </c>
      <c r="M6" s="6" t="s">
        <v>35</v>
      </c>
      <c r="N6" s="37">
        <v>3.2</v>
      </c>
      <c r="O6" s="6">
        <v>0.2</v>
      </c>
      <c r="P6" s="122" t="s">
        <v>89</v>
      </c>
      <c r="Q6" s="89"/>
      <c r="R6" s="89"/>
      <c r="S6" s="89"/>
      <c r="T6" s="89"/>
      <c r="U6" s="37" t="s">
        <v>111</v>
      </c>
      <c r="V6" s="89"/>
    </row>
    <row r="7" spans="1:22" ht="15.75" thickBot="1" x14ac:dyDescent="0.3">
      <c r="A7" s="54" t="s">
        <v>40</v>
      </c>
      <c r="B7" s="85">
        <v>45323</v>
      </c>
      <c r="C7" s="86">
        <v>5.96</v>
      </c>
      <c r="D7" s="89">
        <v>0</v>
      </c>
      <c r="E7" s="89">
        <v>451</v>
      </c>
      <c r="F7" s="89">
        <v>2600</v>
      </c>
      <c r="G7" s="98">
        <v>65071</v>
      </c>
      <c r="H7" s="98" t="s">
        <v>35</v>
      </c>
      <c r="I7" s="98">
        <v>4651</v>
      </c>
      <c r="J7" s="89">
        <v>1069</v>
      </c>
      <c r="K7" s="37">
        <v>150</v>
      </c>
      <c r="L7" s="89">
        <v>1.85</v>
      </c>
      <c r="M7" s="6"/>
      <c r="N7" s="37"/>
      <c r="O7" s="6"/>
      <c r="P7" s="87" t="s">
        <v>88</v>
      </c>
      <c r="Q7" s="37" t="s">
        <v>100</v>
      </c>
      <c r="R7" s="37">
        <v>-0.26</v>
      </c>
      <c r="S7" s="37" t="s">
        <v>104</v>
      </c>
      <c r="T7" s="86">
        <f>3687</f>
        <v>3687</v>
      </c>
      <c r="U7" s="37" t="s">
        <v>108</v>
      </c>
      <c r="V7" s="89" t="s">
        <v>75</v>
      </c>
    </row>
    <row r="8" spans="1:22" x14ac:dyDescent="0.25">
      <c r="A8" s="167" t="s">
        <v>27</v>
      </c>
      <c r="B8" s="85">
        <v>45323</v>
      </c>
      <c r="C8" s="86">
        <v>6.26</v>
      </c>
      <c r="D8" s="89">
        <v>0</v>
      </c>
      <c r="E8" s="89">
        <v>646</v>
      </c>
      <c r="F8" s="89">
        <f>55*50</f>
        <v>2750</v>
      </c>
      <c r="G8" s="98">
        <v>67073</v>
      </c>
      <c r="H8" s="98" t="s">
        <v>35</v>
      </c>
      <c r="I8" s="98">
        <v>5373</v>
      </c>
      <c r="J8" s="89">
        <v>680</v>
      </c>
      <c r="K8" s="37">
        <v>100</v>
      </c>
      <c r="L8" s="89">
        <v>0.13</v>
      </c>
      <c r="M8" s="6"/>
      <c r="N8" s="37"/>
      <c r="O8" s="6"/>
      <c r="P8" s="87" t="s">
        <v>88</v>
      </c>
      <c r="Q8" s="37" t="s">
        <v>100</v>
      </c>
      <c r="R8" s="37">
        <v>0.26</v>
      </c>
      <c r="S8" s="37" t="s">
        <v>103</v>
      </c>
      <c r="T8" s="86">
        <f>3899.84</f>
        <v>3899.84</v>
      </c>
      <c r="U8" s="37" t="s">
        <v>109</v>
      </c>
      <c r="V8" s="89" t="s">
        <v>74</v>
      </c>
    </row>
    <row r="9" spans="1:22" x14ac:dyDescent="0.25">
      <c r="A9" s="167" t="s">
        <v>26</v>
      </c>
      <c r="B9" s="85">
        <v>45326</v>
      </c>
      <c r="C9" s="86">
        <v>5.83</v>
      </c>
      <c r="D9" s="89">
        <v>0</v>
      </c>
      <c r="E9" s="89">
        <v>207</v>
      </c>
      <c r="F9" s="89">
        <v>2900</v>
      </c>
      <c r="G9" s="98">
        <v>75082</v>
      </c>
      <c r="H9" s="98" t="s">
        <v>35</v>
      </c>
      <c r="I9" s="98">
        <v>6095</v>
      </c>
      <c r="J9" s="89">
        <v>1701</v>
      </c>
      <c r="K9" s="37">
        <v>450</v>
      </c>
      <c r="L9" s="100">
        <v>7.41</v>
      </c>
      <c r="M9" s="6">
        <v>4</v>
      </c>
      <c r="N9" s="37"/>
      <c r="O9" s="6"/>
      <c r="P9" s="87" t="s">
        <v>88</v>
      </c>
      <c r="Q9" s="116" t="s">
        <v>100</v>
      </c>
      <c r="R9" s="116">
        <v>-0.61</v>
      </c>
      <c r="S9" s="116" t="s">
        <v>105</v>
      </c>
      <c r="T9" s="176">
        <f>4112.56</f>
        <v>4112.5600000000004</v>
      </c>
      <c r="U9" s="119" t="s">
        <v>108</v>
      </c>
      <c r="V9" s="89" t="s">
        <v>75</v>
      </c>
    </row>
    <row r="10" spans="1:22" x14ac:dyDescent="0.25">
      <c r="A10" s="167" t="s">
        <v>91</v>
      </c>
      <c r="B10" s="85">
        <v>45323</v>
      </c>
      <c r="C10" s="86">
        <v>6.75</v>
      </c>
      <c r="D10" s="89">
        <v>0</v>
      </c>
      <c r="E10" s="89">
        <v>244</v>
      </c>
      <c r="F10" s="89">
        <v>1500</v>
      </c>
      <c r="G10" s="98">
        <v>116172</v>
      </c>
      <c r="H10" s="98" t="s">
        <v>35</v>
      </c>
      <c r="I10" s="98">
        <v>2887</v>
      </c>
      <c r="J10" s="89">
        <v>194.4</v>
      </c>
      <c r="K10" s="37">
        <v>200</v>
      </c>
      <c r="L10" s="89">
        <v>0.8</v>
      </c>
      <c r="M10" s="6"/>
      <c r="N10" s="37">
        <v>3.32</v>
      </c>
      <c r="O10" s="6"/>
      <c r="P10" s="87" t="s">
        <v>88</v>
      </c>
      <c r="Q10" s="37" t="s">
        <v>106</v>
      </c>
      <c r="R10" s="116">
        <v>0.5</v>
      </c>
      <c r="S10" s="37" t="s">
        <v>104</v>
      </c>
      <c r="T10" s="86">
        <v>2127</v>
      </c>
      <c r="U10" s="37" t="s">
        <v>108</v>
      </c>
      <c r="V10" s="89" t="s">
        <v>75</v>
      </c>
    </row>
    <row r="11" spans="1:22" x14ac:dyDescent="0.25">
      <c r="A11" s="168" t="s">
        <v>28</v>
      </c>
      <c r="B11" s="109">
        <v>45323</v>
      </c>
      <c r="C11" s="110">
        <v>7.1</v>
      </c>
      <c r="D11" s="111">
        <v>0</v>
      </c>
      <c r="E11" s="111">
        <v>451</v>
      </c>
      <c r="F11" s="112">
        <v>3500</v>
      </c>
      <c r="G11" s="113">
        <v>34037</v>
      </c>
      <c r="H11" s="113" t="s">
        <v>35</v>
      </c>
      <c r="I11" s="113">
        <v>2967</v>
      </c>
      <c r="J11" s="111">
        <v>243</v>
      </c>
      <c r="K11" s="114">
        <f>5*50</f>
        <v>250</v>
      </c>
      <c r="L11" s="111">
        <v>1.8</v>
      </c>
      <c r="M11" s="115"/>
      <c r="N11" s="114"/>
      <c r="O11" s="115"/>
      <c r="P11" s="106" t="s">
        <v>88</v>
      </c>
      <c r="Q11" s="37" t="s">
        <v>100</v>
      </c>
      <c r="R11" s="116">
        <v>0.84</v>
      </c>
      <c r="S11" s="37" t="s">
        <v>103</v>
      </c>
      <c r="T11" s="86">
        <v>4963</v>
      </c>
      <c r="U11" s="37" t="s">
        <v>109</v>
      </c>
      <c r="V11" s="89"/>
    </row>
    <row r="12" spans="1:22" x14ac:dyDescent="0.25">
      <c r="A12" s="167" t="s">
        <v>33</v>
      </c>
      <c r="B12" s="85">
        <v>45326</v>
      </c>
      <c r="C12" s="86">
        <v>6.55</v>
      </c>
      <c r="D12" s="89">
        <v>0</v>
      </c>
      <c r="E12" s="89">
        <v>207</v>
      </c>
      <c r="F12" s="89">
        <v>3000</v>
      </c>
      <c r="G12" s="98">
        <v>68074</v>
      </c>
      <c r="H12" s="98" t="s">
        <v>35</v>
      </c>
      <c r="I12" s="98">
        <v>6256</v>
      </c>
      <c r="J12" s="89">
        <v>778</v>
      </c>
      <c r="K12" s="37">
        <v>400</v>
      </c>
      <c r="L12" s="100">
        <v>5.46</v>
      </c>
      <c r="M12" s="6">
        <v>3.6</v>
      </c>
      <c r="N12" s="37"/>
      <c r="O12" s="6"/>
      <c r="P12" s="87" t="s">
        <v>88</v>
      </c>
      <c r="Q12" s="116" t="s">
        <v>100</v>
      </c>
      <c r="R12" s="37">
        <v>0.12</v>
      </c>
      <c r="S12" s="37" t="s">
        <v>104</v>
      </c>
      <c r="T12" s="177">
        <v>4254</v>
      </c>
      <c r="U12" s="37" t="s">
        <v>108</v>
      </c>
      <c r="V12" s="89" t="s">
        <v>75</v>
      </c>
    </row>
    <row r="13" spans="1:22" x14ac:dyDescent="0.25">
      <c r="A13" s="167" t="s">
        <v>25</v>
      </c>
      <c r="B13" s="85">
        <v>45323</v>
      </c>
      <c r="C13" s="86">
        <v>6.41</v>
      </c>
      <c r="D13" s="89">
        <v>0</v>
      </c>
      <c r="E13" s="89">
        <v>244</v>
      </c>
      <c r="F13" s="89">
        <v>2000</v>
      </c>
      <c r="G13" s="98">
        <v>73080</v>
      </c>
      <c r="H13" s="98" t="s">
        <v>35</v>
      </c>
      <c r="I13" s="98">
        <v>6095</v>
      </c>
      <c r="J13" s="89">
        <v>874</v>
      </c>
      <c r="K13" s="37">
        <v>250</v>
      </c>
      <c r="L13" s="89">
        <v>0.71</v>
      </c>
      <c r="M13" s="6"/>
      <c r="N13" s="37"/>
      <c r="O13" s="6"/>
      <c r="P13" s="87" t="s">
        <v>88</v>
      </c>
      <c r="Q13" s="37" t="s">
        <v>100</v>
      </c>
      <c r="R13" s="37">
        <v>0.04</v>
      </c>
      <c r="S13" s="37" t="s">
        <v>104</v>
      </c>
      <c r="T13" s="88">
        <v>2836</v>
      </c>
      <c r="U13" s="37" t="s">
        <v>108</v>
      </c>
      <c r="V13" s="89" t="s">
        <v>75</v>
      </c>
    </row>
    <row r="14" spans="1:22" x14ac:dyDescent="0.25">
      <c r="A14" s="167" t="s">
        <v>32</v>
      </c>
      <c r="B14" s="85">
        <v>45326</v>
      </c>
      <c r="C14" s="86">
        <v>6.46</v>
      </c>
      <c r="D14" s="89">
        <v>0</v>
      </c>
      <c r="E14" s="89">
        <v>244</v>
      </c>
      <c r="F14" s="100">
        <f>73*50</f>
        <v>3650</v>
      </c>
      <c r="G14" s="98">
        <v>100110</v>
      </c>
      <c r="H14" s="98" t="s">
        <v>35</v>
      </c>
      <c r="I14" s="98">
        <v>5533</v>
      </c>
      <c r="J14" s="89">
        <v>1166</v>
      </c>
      <c r="K14" s="37">
        <f>13*50</f>
        <v>650</v>
      </c>
      <c r="L14" s="89">
        <v>0.96</v>
      </c>
      <c r="M14" s="6">
        <f>+(5-2.8)/40/100*16000</f>
        <v>8.8000000000000007</v>
      </c>
      <c r="N14" s="37"/>
      <c r="O14" s="6"/>
      <c r="P14" s="87" t="s">
        <v>88</v>
      </c>
      <c r="Q14" s="116" t="s">
        <v>100</v>
      </c>
      <c r="R14" s="37">
        <v>0.09</v>
      </c>
      <c r="S14" s="37" t="s">
        <v>104</v>
      </c>
      <c r="T14" s="89">
        <v>5176</v>
      </c>
      <c r="U14" s="37" t="s">
        <v>108</v>
      </c>
      <c r="V14" s="89" t="s">
        <v>75</v>
      </c>
    </row>
    <row r="15" spans="1:22" x14ac:dyDescent="0.25">
      <c r="A15" s="167" t="s">
        <v>68</v>
      </c>
      <c r="B15" s="85">
        <v>45326</v>
      </c>
      <c r="C15" s="88">
        <v>6</v>
      </c>
      <c r="D15" s="89">
        <v>0</v>
      </c>
      <c r="E15" s="89">
        <v>207</v>
      </c>
      <c r="F15" s="89">
        <v>500</v>
      </c>
      <c r="G15" s="98">
        <v>85093</v>
      </c>
      <c r="H15" s="98" t="s">
        <v>35</v>
      </c>
      <c r="I15" s="100">
        <v>21654</v>
      </c>
      <c r="J15" s="100">
        <v>2916</v>
      </c>
      <c r="K15" s="37">
        <v>200</v>
      </c>
      <c r="L15" s="100">
        <v>23.3</v>
      </c>
      <c r="M15" s="89"/>
      <c r="N15" s="37"/>
      <c r="O15" s="89"/>
      <c r="P15" s="87" t="s">
        <v>88</v>
      </c>
      <c r="Q15" s="37" t="s">
        <v>106</v>
      </c>
      <c r="R15" s="37">
        <v>0.15</v>
      </c>
      <c r="S15" s="37" t="s">
        <v>104</v>
      </c>
      <c r="T15" s="89">
        <v>709.06</v>
      </c>
      <c r="U15" s="37" t="s">
        <v>108</v>
      </c>
      <c r="V15" s="89" t="s">
        <v>75</v>
      </c>
    </row>
    <row r="16" spans="1:22" x14ac:dyDescent="0.25">
      <c r="A16" s="167" t="s">
        <v>66</v>
      </c>
      <c r="B16" s="85">
        <v>45325</v>
      </c>
      <c r="C16" s="86">
        <v>6.43</v>
      </c>
      <c r="D16" s="89">
        <v>0</v>
      </c>
      <c r="E16" s="89">
        <v>195</v>
      </c>
      <c r="F16" s="89">
        <f>27*50</f>
        <v>1350</v>
      </c>
      <c r="G16" s="98">
        <v>102121</v>
      </c>
      <c r="H16" s="98" t="s">
        <v>35</v>
      </c>
      <c r="I16" s="98">
        <v>16842</v>
      </c>
      <c r="J16" s="89">
        <v>2430</v>
      </c>
      <c r="K16" s="37">
        <v>250</v>
      </c>
      <c r="L16" s="100">
        <f>2.93*3</f>
        <v>8.7900000000000009</v>
      </c>
      <c r="M16" s="6">
        <f>+(5-4.9)/40/25*16000</f>
        <v>1.5999999999999943</v>
      </c>
      <c r="N16" s="37"/>
      <c r="O16" s="6"/>
      <c r="P16" s="87" t="s">
        <v>88</v>
      </c>
      <c r="Q16" s="37" t="s">
        <v>100</v>
      </c>
      <c r="R16" s="37">
        <v>0.49</v>
      </c>
      <c r="S16" s="89"/>
      <c r="T16" s="89">
        <v>1914</v>
      </c>
      <c r="U16" s="37" t="s">
        <v>109</v>
      </c>
      <c r="V16" s="89"/>
    </row>
    <row r="17" spans="1:22" x14ac:dyDescent="0.25">
      <c r="A17" s="169" t="s">
        <v>43</v>
      </c>
      <c r="B17" s="85">
        <v>45325</v>
      </c>
      <c r="C17" s="86">
        <v>6</v>
      </c>
      <c r="D17" s="89">
        <v>0</v>
      </c>
      <c r="E17" s="89">
        <v>195</v>
      </c>
      <c r="F17" s="89">
        <f>30*50</f>
        <v>1500</v>
      </c>
      <c r="G17" s="98">
        <v>67073</v>
      </c>
      <c r="H17" s="98" t="s">
        <v>35</v>
      </c>
      <c r="I17" s="103">
        <v>12431</v>
      </c>
      <c r="J17" s="100">
        <v>486</v>
      </c>
      <c r="K17" s="37">
        <v>50</v>
      </c>
      <c r="L17" s="89">
        <v>1.51</v>
      </c>
      <c r="M17" s="6">
        <f>+(5-3.6)/100/40*16000</f>
        <v>5.5999999999999988</v>
      </c>
      <c r="N17" s="37"/>
      <c r="O17" s="6"/>
      <c r="P17" s="87" t="s">
        <v>88</v>
      </c>
      <c r="Q17" s="89"/>
      <c r="R17" s="89"/>
      <c r="S17" s="89"/>
      <c r="T17" s="89"/>
      <c r="U17" s="37" t="s">
        <v>108</v>
      </c>
      <c r="V17" s="89" t="s">
        <v>75</v>
      </c>
    </row>
    <row r="18" spans="1:22" x14ac:dyDescent="0.25">
      <c r="A18" s="169" t="s">
        <v>31</v>
      </c>
      <c r="B18" s="85">
        <v>45325</v>
      </c>
      <c r="C18" s="86">
        <v>5.99</v>
      </c>
      <c r="D18" s="89">
        <v>0</v>
      </c>
      <c r="E18" s="89">
        <v>793</v>
      </c>
      <c r="F18" s="89">
        <f>40*50</f>
        <v>2000</v>
      </c>
      <c r="G18" s="98">
        <v>90099</v>
      </c>
      <c r="H18" s="98" t="s">
        <v>35</v>
      </c>
      <c r="I18" s="98">
        <v>6015</v>
      </c>
      <c r="J18" s="89">
        <v>1458</v>
      </c>
      <c r="K18" s="37">
        <v>250</v>
      </c>
      <c r="L18" s="89">
        <v>2</v>
      </c>
      <c r="M18" s="90">
        <f>+(10-1)/40/50*16000</f>
        <v>72.000000000000014</v>
      </c>
      <c r="N18" s="37" t="s">
        <v>35</v>
      </c>
      <c r="O18" s="6" t="s">
        <v>35</v>
      </c>
      <c r="P18" s="87" t="s">
        <v>88</v>
      </c>
      <c r="Q18" s="37" t="s">
        <v>100</v>
      </c>
      <c r="R18" s="37">
        <v>-0.22</v>
      </c>
      <c r="S18" s="37" t="s">
        <v>104</v>
      </c>
      <c r="T18" s="89">
        <v>2836</v>
      </c>
      <c r="U18" s="37" t="s">
        <v>108</v>
      </c>
      <c r="V18" s="89" t="s">
        <v>75</v>
      </c>
    </row>
    <row r="19" spans="1:22" s="96" customFormat="1" ht="16.5" customHeight="1" x14ac:dyDescent="0.25">
      <c r="A19" s="170" t="s">
        <v>65</v>
      </c>
      <c r="B19" s="91">
        <v>45326</v>
      </c>
      <c r="C19" s="92">
        <v>5.1100000000000003</v>
      </c>
      <c r="D19" s="102">
        <v>0</v>
      </c>
      <c r="E19" s="102">
        <v>207</v>
      </c>
      <c r="F19" s="105">
        <f>41*2*50</f>
        <v>4100</v>
      </c>
      <c r="G19" s="104">
        <v>61067</v>
      </c>
      <c r="H19" s="104" t="s">
        <v>35</v>
      </c>
      <c r="I19" s="104">
        <v>3127</v>
      </c>
      <c r="J19" s="102">
        <v>778</v>
      </c>
      <c r="K19" s="93">
        <v>100</v>
      </c>
      <c r="L19" s="101" t="s">
        <v>86</v>
      </c>
      <c r="M19" s="95">
        <v>184</v>
      </c>
      <c r="N19" s="93"/>
      <c r="O19" s="94"/>
      <c r="P19" s="87" t="s">
        <v>88</v>
      </c>
      <c r="Q19" s="116" t="s">
        <v>100</v>
      </c>
      <c r="R19" s="117">
        <v>-1.62</v>
      </c>
      <c r="S19" s="118" t="s">
        <v>107</v>
      </c>
      <c r="T19" s="102">
        <v>5814</v>
      </c>
      <c r="U19" s="93" t="s">
        <v>110</v>
      </c>
      <c r="V19" s="89" t="s">
        <v>174</v>
      </c>
    </row>
    <row r="20" spans="1:22" x14ac:dyDescent="0.25">
      <c r="A20" s="171" t="s">
        <v>92</v>
      </c>
      <c r="B20" s="97">
        <v>45231</v>
      </c>
      <c r="C20" s="37" t="s">
        <v>16</v>
      </c>
      <c r="D20" s="89">
        <v>0</v>
      </c>
      <c r="E20" s="89">
        <v>536.79999999999995</v>
      </c>
      <c r="F20" s="89">
        <v>860</v>
      </c>
      <c r="G20" s="98">
        <v>29000</v>
      </c>
      <c r="H20" s="98">
        <v>13000</v>
      </c>
      <c r="I20" s="98">
        <v>4800</v>
      </c>
      <c r="J20" s="89">
        <v>242.4</v>
      </c>
      <c r="K20" s="89"/>
      <c r="L20" s="89">
        <v>13</v>
      </c>
      <c r="M20" s="89"/>
      <c r="N20" s="89"/>
      <c r="O20" s="89"/>
      <c r="P20" s="107" t="s">
        <v>90</v>
      </c>
      <c r="Q20" s="89"/>
      <c r="R20" s="89"/>
      <c r="S20" s="89"/>
      <c r="T20" s="89"/>
      <c r="U20" s="89"/>
      <c r="V20" s="89"/>
    </row>
    <row r="21" spans="1:22" x14ac:dyDescent="0.25">
      <c r="A21" s="172" t="s">
        <v>31</v>
      </c>
      <c r="B21" s="123">
        <v>45231</v>
      </c>
      <c r="C21" s="124" t="s">
        <v>17</v>
      </c>
      <c r="D21" s="125">
        <v>0</v>
      </c>
      <c r="E21" s="125">
        <v>732</v>
      </c>
      <c r="F21" s="126">
        <v>2600</v>
      </c>
      <c r="G21" s="126">
        <v>81000</v>
      </c>
      <c r="H21" s="126">
        <v>15000</v>
      </c>
      <c r="I21" s="126">
        <v>5600</v>
      </c>
      <c r="J21" s="125">
        <v>484.8</v>
      </c>
      <c r="K21" s="125"/>
      <c r="L21" s="125">
        <v>10</v>
      </c>
      <c r="M21" s="125"/>
      <c r="N21" s="125"/>
      <c r="O21" s="125"/>
      <c r="P21" s="127" t="s">
        <v>90</v>
      </c>
      <c r="Q21" s="125"/>
      <c r="R21" s="125"/>
      <c r="S21" s="125"/>
      <c r="T21" s="125"/>
      <c r="U21" s="125"/>
      <c r="V21" s="89"/>
    </row>
    <row r="22" spans="1:22" x14ac:dyDescent="0.25">
      <c r="A22" s="171" t="s">
        <v>67</v>
      </c>
      <c r="B22" s="97">
        <v>45231</v>
      </c>
      <c r="C22" s="37">
        <v>7.01</v>
      </c>
      <c r="D22" s="89">
        <v>0</v>
      </c>
      <c r="E22" s="89">
        <v>122</v>
      </c>
      <c r="F22" s="89">
        <v>750</v>
      </c>
      <c r="G22" s="98">
        <v>115000</v>
      </c>
      <c r="H22" s="98">
        <v>41000</v>
      </c>
      <c r="I22" s="98">
        <v>16000</v>
      </c>
      <c r="J22" s="89">
        <v>242.4</v>
      </c>
      <c r="K22" s="89"/>
      <c r="L22" s="89">
        <v>35</v>
      </c>
      <c r="M22" s="89"/>
      <c r="N22" s="89"/>
      <c r="O22" s="89"/>
      <c r="P22" s="108" t="s">
        <v>90</v>
      </c>
      <c r="Q22" s="178" t="s">
        <v>171</v>
      </c>
      <c r="R22" s="178">
        <v>0.88</v>
      </c>
      <c r="S22" s="89"/>
      <c r="T22" s="89"/>
      <c r="U22" s="89" t="s">
        <v>109</v>
      </c>
      <c r="V22" s="89" t="s">
        <v>74</v>
      </c>
    </row>
    <row r="23" spans="1:22" x14ac:dyDescent="0.25">
      <c r="A23" s="171" t="s">
        <v>93</v>
      </c>
      <c r="B23" s="97">
        <v>45231</v>
      </c>
      <c r="C23" s="37">
        <v>6.95</v>
      </c>
      <c r="D23" s="89">
        <v>0</v>
      </c>
      <c r="E23" s="89">
        <v>73.2</v>
      </c>
      <c r="F23" s="89">
        <v>280</v>
      </c>
      <c r="G23" s="98">
        <v>163170</v>
      </c>
      <c r="H23" s="98">
        <v>63000</v>
      </c>
      <c r="I23" s="98">
        <v>24800</v>
      </c>
      <c r="J23" s="89">
        <v>242.4</v>
      </c>
      <c r="K23" s="89"/>
      <c r="L23" s="89">
        <v>11</v>
      </c>
      <c r="M23" s="89"/>
      <c r="N23" s="89"/>
      <c r="O23" s="89"/>
      <c r="P23" s="108" t="s">
        <v>90</v>
      </c>
      <c r="Q23" s="89"/>
      <c r="R23" s="89"/>
      <c r="S23" s="89"/>
      <c r="T23" s="89"/>
      <c r="U23" s="89"/>
      <c r="V23" s="89"/>
    </row>
    <row r="24" spans="1:22" x14ac:dyDescent="0.25">
      <c r="A24" s="171" t="s">
        <v>69</v>
      </c>
      <c r="B24" s="97">
        <v>45231</v>
      </c>
      <c r="C24" s="37">
        <v>7.09</v>
      </c>
      <c r="D24" s="89">
        <v>0</v>
      </c>
      <c r="E24" s="89">
        <v>231.8</v>
      </c>
      <c r="F24" s="89">
        <v>260</v>
      </c>
      <c r="G24" s="98">
        <v>92000</v>
      </c>
      <c r="H24" s="98">
        <v>21000</v>
      </c>
      <c r="I24" s="98">
        <v>8000</v>
      </c>
      <c r="J24" s="89">
        <v>242.4</v>
      </c>
      <c r="K24" s="89"/>
      <c r="L24" s="89">
        <v>5</v>
      </c>
      <c r="M24" s="89"/>
      <c r="N24" s="89"/>
      <c r="O24" s="89"/>
      <c r="P24" s="108" t="s">
        <v>90</v>
      </c>
      <c r="Q24" s="178" t="s">
        <v>171</v>
      </c>
      <c r="R24" s="178">
        <v>0.8</v>
      </c>
      <c r="S24" s="89"/>
      <c r="T24" s="89"/>
      <c r="U24" s="89" t="s">
        <v>109</v>
      </c>
      <c r="V24" s="89" t="s">
        <v>175</v>
      </c>
    </row>
    <row r="25" spans="1:22" x14ac:dyDescent="0.25">
      <c r="A25" s="171" t="s">
        <v>70</v>
      </c>
      <c r="B25" s="97">
        <v>45231</v>
      </c>
      <c r="C25" s="37">
        <v>7.05</v>
      </c>
      <c r="D25" s="89">
        <v>0</v>
      </c>
      <c r="E25" s="89">
        <v>475</v>
      </c>
      <c r="F25" s="89">
        <v>650</v>
      </c>
      <c r="G25" s="98">
        <v>25000</v>
      </c>
      <c r="H25" s="98">
        <v>15000</v>
      </c>
      <c r="I25" s="98">
        <v>5600</v>
      </c>
      <c r="J25" s="89">
        <v>484.8</v>
      </c>
      <c r="K25" s="89"/>
      <c r="L25" s="89">
        <v>18</v>
      </c>
      <c r="M25" s="89"/>
      <c r="N25" s="89"/>
      <c r="O25" s="89"/>
      <c r="P25" s="108" t="s">
        <v>90</v>
      </c>
      <c r="Q25" s="178" t="s">
        <v>171</v>
      </c>
      <c r="R25" s="178">
        <v>1.19</v>
      </c>
      <c r="S25" s="89"/>
      <c r="T25" s="89"/>
      <c r="U25" s="89" t="s">
        <v>109</v>
      </c>
      <c r="V25" s="89" t="s">
        <v>175</v>
      </c>
    </row>
    <row r="26" spans="1:22" x14ac:dyDescent="0.25">
      <c r="A26" s="173" t="s">
        <v>65</v>
      </c>
      <c r="B26" s="123">
        <v>45231</v>
      </c>
      <c r="C26" s="124">
        <v>7.17</v>
      </c>
      <c r="D26" s="125">
        <v>0</v>
      </c>
      <c r="E26" s="125">
        <v>219.6</v>
      </c>
      <c r="F26" s="126">
        <v>2800</v>
      </c>
      <c r="G26" s="126">
        <v>73000</v>
      </c>
      <c r="H26" s="126">
        <v>9000</v>
      </c>
      <c r="I26" s="126">
        <v>3200</v>
      </c>
      <c r="J26" s="125">
        <v>242.4</v>
      </c>
      <c r="K26" s="125"/>
      <c r="L26" s="128">
        <v>7</v>
      </c>
      <c r="M26" s="125"/>
      <c r="N26" s="125"/>
      <c r="O26" s="125"/>
      <c r="P26" s="127" t="s">
        <v>90</v>
      </c>
      <c r="Q26" s="125"/>
      <c r="R26" s="125"/>
      <c r="S26" s="125"/>
      <c r="T26" s="125"/>
      <c r="U26" s="125"/>
      <c r="V26" s="89"/>
    </row>
    <row r="27" spans="1:22" x14ac:dyDescent="0.25">
      <c r="A27" s="171" t="s">
        <v>94</v>
      </c>
      <c r="B27" s="97">
        <v>45231</v>
      </c>
      <c r="C27" s="37">
        <v>6.94</v>
      </c>
      <c r="D27" s="89">
        <v>0</v>
      </c>
      <c r="E27" s="89">
        <v>85.4</v>
      </c>
      <c r="F27" s="89">
        <v>210</v>
      </c>
      <c r="G27" s="98">
        <v>77000</v>
      </c>
      <c r="H27" s="98">
        <v>41000</v>
      </c>
      <c r="I27" s="98">
        <v>16000</v>
      </c>
      <c r="J27" s="89">
        <v>242.4</v>
      </c>
      <c r="K27" s="89"/>
      <c r="L27" s="89">
        <v>10</v>
      </c>
      <c r="M27" s="89"/>
      <c r="N27" s="89"/>
      <c r="O27" s="89"/>
      <c r="P27" s="108" t="s">
        <v>90</v>
      </c>
      <c r="Q27" s="89"/>
      <c r="R27" s="89"/>
      <c r="S27" s="89"/>
      <c r="T27" s="89"/>
      <c r="U27" s="89"/>
      <c r="V27" s="89"/>
    </row>
    <row r="28" spans="1:22" x14ac:dyDescent="0.25">
      <c r="A28" s="171" t="s">
        <v>98</v>
      </c>
      <c r="B28" s="97">
        <v>45231</v>
      </c>
      <c r="C28" s="37">
        <v>7.09</v>
      </c>
      <c r="D28" s="89">
        <v>0</v>
      </c>
      <c r="E28" s="89">
        <v>732</v>
      </c>
      <c r="F28" s="89">
        <v>325</v>
      </c>
      <c r="G28" s="98">
        <v>40000</v>
      </c>
      <c r="H28" s="98">
        <v>25000</v>
      </c>
      <c r="I28" s="98">
        <v>9600</v>
      </c>
      <c r="J28" s="89">
        <v>242.4</v>
      </c>
      <c r="K28" s="89"/>
      <c r="L28" s="89">
        <v>8</v>
      </c>
      <c r="M28" s="89"/>
      <c r="N28" s="89"/>
      <c r="O28" s="89"/>
      <c r="P28" s="108" t="s">
        <v>90</v>
      </c>
      <c r="Q28" s="89"/>
      <c r="R28" s="89"/>
      <c r="S28" s="89"/>
      <c r="T28" s="89"/>
      <c r="U28" s="89"/>
      <c r="V28" s="89"/>
    </row>
    <row r="29" spans="1:22" x14ac:dyDescent="0.25">
      <c r="A29" s="171" t="s">
        <v>95</v>
      </c>
      <c r="B29" s="97">
        <v>45231</v>
      </c>
      <c r="C29" s="37">
        <v>7.04</v>
      </c>
      <c r="D29" s="89">
        <v>0</v>
      </c>
      <c r="E29" s="89">
        <v>488</v>
      </c>
      <c r="F29" s="89">
        <v>850</v>
      </c>
      <c r="G29" s="98">
        <v>102000</v>
      </c>
      <c r="H29" s="98">
        <v>25000</v>
      </c>
      <c r="I29" s="98">
        <v>9600</v>
      </c>
      <c r="J29" s="89">
        <v>484.8</v>
      </c>
      <c r="K29" s="89"/>
      <c r="L29" s="89">
        <v>5</v>
      </c>
      <c r="M29" s="89"/>
      <c r="N29" s="89"/>
      <c r="O29" s="89"/>
      <c r="P29" s="108" t="s">
        <v>90</v>
      </c>
      <c r="Q29" s="89"/>
      <c r="R29" s="89"/>
      <c r="S29" s="89"/>
      <c r="T29" s="89"/>
      <c r="U29" s="89"/>
      <c r="V29" s="89"/>
    </row>
    <row r="30" spans="1:22" x14ac:dyDescent="0.25">
      <c r="A30" s="171" t="s">
        <v>71</v>
      </c>
      <c r="B30" s="97">
        <v>45231</v>
      </c>
      <c r="C30" s="37">
        <v>7.09</v>
      </c>
      <c r="D30" s="89">
        <v>0</v>
      </c>
      <c r="E30" s="89">
        <v>488</v>
      </c>
      <c r="F30" s="89">
        <v>473</v>
      </c>
      <c r="G30" s="98">
        <v>81000</v>
      </c>
      <c r="H30" s="98">
        <v>42000</v>
      </c>
      <c r="I30" s="98">
        <v>16400</v>
      </c>
      <c r="J30" s="89">
        <v>242.4</v>
      </c>
      <c r="K30" s="89"/>
      <c r="L30" s="89">
        <v>2</v>
      </c>
      <c r="M30" s="89"/>
      <c r="N30" s="89"/>
      <c r="O30" s="89"/>
      <c r="P30" s="108" t="s">
        <v>90</v>
      </c>
      <c r="Q30" s="89"/>
      <c r="R30" s="89"/>
      <c r="S30" s="89"/>
      <c r="T30" s="89"/>
      <c r="U30" s="89"/>
      <c r="V30" s="89"/>
    </row>
    <row r="31" spans="1:22" x14ac:dyDescent="0.25">
      <c r="A31" s="171" t="s">
        <v>96</v>
      </c>
      <c r="B31" s="97">
        <v>45231</v>
      </c>
      <c r="C31" s="37">
        <v>6.96</v>
      </c>
      <c r="D31" s="89">
        <v>0</v>
      </c>
      <c r="E31" s="89">
        <v>475</v>
      </c>
      <c r="F31" s="89">
        <v>180</v>
      </c>
      <c r="G31" s="98">
        <v>102000</v>
      </c>
      <c r="H31" s="98">
        <v>45000</v>
      </c>
      <c r="I31" s="98">
        <v>17600</v>
      </c>
      <c r="J31" s="89">
        <v>242.4</v>
      </c>
      <c r="K31" s="89"/>
      <c r="L31" s="89">
        <v>12</v>
      </c>
      <c r="M31" s="89"/>
      <c r="N31" s="89"/>
      <c r="O31" s="89"/>
      <c r="P31" s="108" t="s">
        <v>90</v>
      </c>
      <c r="Q31" s="89"/>
      <c r="R31" s="89"/>
      <c r="S31" s="89"/>
      <c r="T31" s="89"/>
      <c r="U31" s="89"/>
      <c r="V31" s="89"/>
    </row>
    <row r="32" spans="1:22" x14ac:dyDescent="0.25">
      <c r="A32" s="174" t="s">
        <v>30</v>
      </c>
      <c r="B32" s="97">
        <v>45231</v>
      </c>
      <c r="C32" s="37">
        <v>7.05</v>
      </c>
      <c r="D32" s="89">
        <v>0</v>
      </c>
      <c r="E32" s="89">
        <v>735</v>
      </c>
      <c r="F32" s="89">
        <v>215</v>
      </c>
      <c r="G32" s="98">
        <v>115000</v>
      </c>
      <c r="H32" s="98">
        <v>50000</v>
      </c>
      <c r="I32" s="98">
        <v>19600</v>
      </c>
      <c r="J32" s="89">
        <v>242.4</v>
      </c>
      <c r="K32" s="89"/>
      <c r="L32" s="89">
        <v>50</v>
      </c>
      <c r="M32" s="89"/>
      <c r="N32" s="89"/>
      <c r="O32" s="89"/>
      <c r="P32" s="108" t="s">
        <v>90</v>
      </c>
      <c r="Q32" s="178" t="s">
        <v>171</v>
      </c>
      <c r="R32" s="178">
        <v>1.8</v>
      </c>
      <c r="S32" s="178" t="s">
        <v>172</v>
      </c>
      <c r="T32" s="89"/>
      <c r="U32" s="89" t="s">
        <v>173</v>
      </c>
      <c r="V32" s="89" t="s">
        <v>75</v>
      </c>
    </row>
    <row r="33" spans="1:22" x14ac:dyDescent="0.25">
      <c r="A33" s="174" t="s">
        <v>97</v>
      </c>
      <c r="B33" s="97">
        <v>45231</v>
      </c>
      <c r="C33" s="37">
        <v>7.11</v>
      </c>
      <c r="D33" s="89">
        <v>0</v>
      </c>
      <c r="E33" s="89">
        <v>219.6</v>
      </c>
      <c r="F33" s="98">
        <v>2300</v>
      </c>
      <c r="G33" s="98">
        <v>91000</v>
      </c>
      <c r="H33" s="98">
        <v>14000</v>
      </c>
      <c r="I33" s="98">
        <v>5200</v>
      </c>
      <c r="J33" s="89">
        <v>242.4</v>
      </c>
      <c r="K33" s="89"/>
      <c r="L33" s="89">
        <v>2.5</v>
      </c>
      <c r="M33" s="89"/>
      <c r="N33" s="89"/>
      <c r="O33" s="89"/>
      <c r="P33" s="108" t="s">
        <v>90</v>
      </c>
      <c r="Q33" s="89"/>
      <c r="R33" s="89"/>
      <c r="S33" s="89"/>
      <c r="T33" s="89"/>
      <c r="U33" s="89"/>
      <c r="V33" s="89"/>
    </row>
    <row r="34" spans="1:22" x14ac:dyDescent="0.25">
      <c r="A34" s="175" t="s">
        <v>18</v>
      </c>
      <c r="B34" s="97">
        <v>45231</v>
      </c>
      <c r="C34" s="37">
        <v>7.07</v>
      </c>
      <c r="D34" s="89">
        <v>0</v>
      </c>
      <c r="E34" s="89">
        <v>146.4</v>
      </c>
      <c r="F34" s="89">
        <v>675</v>
      </c>
      <c r="G34" s="98">
        <v>98000</v>
      </c>
      <c r="H34" s="98">
        <v>35000</v>
      </c>
      <c r="I34" s="98">
        <v>13600</v>
      </c>
      <c r="J34" s="89">
        <v>242.4</v>
      </c>
      <c r="K34" s="89"/>
      <c r="L34" s="89">
        <v>20</v>
      </c>
      <c r="M34" s="89"/>
      <c r="N34" s="89"/>
      <c r="O34" s="89"/>
      <c r="P34" s="108" t="s">
        <v>90</v>
      </c>
      <c r="Q34" s="89"/>
      <c r="R34" s="89"/>
      <c r="S34" s="89"/>
      <c r="T34" s="89"/>
      <c r="U34" s="89"/>
      <c r="V34" s="89"/>
    </row>
    <row r="35" spans="1:22" x14ac:dyDescent="0.25">
      <c r="A35" s="171" t="s">
        <v>19</v>
      </c>
      <c r="B35" s="97">
        <v>45231</v>
      </c>
      <c r="C35" s="37">
        <v>7.09</v>
      </c>
      <c r="D35" s="89">
        <v>0</v>
      </c>
      <c r="E35" s="89">
        <v>735</v>
      </c>
      <c r="F35" s="89">
        <v>800</v>
      </c>
      <c r="G35" s="98">
        <v>90000</v>
      </c>
      <c r="H35" s="98">
        <v>35000</v>
      </c>
      <c r="I35" s="98">
        <v>13600</v>
      </c>
      <c r="J35" s="89">
        <v>484.8</v>
      </c>
      <c r="K35" s="89"/>
      <c r="L35" s="89">
        <v>15</v>
      </c>
      <c r="M35" s="89"/>
      <c r="N35" s="89"/>
      <c r="O35" s="89"/>
      <c r="P35" s="108" t="s">
        <v>90</v>
      </c>
      <c r="Q35" s="89"/>
      <c r="R35" s="89"/>
      <c r="S35" s="89"/>
      <c r="T35" s="89"/>
      <c r="U35" s="89"/>
      <c r="V35" s="89"/>
    </row>
    <row r="38" spans="1:22" x14ac:dyDescent="0.25">
      <c r="A38" s="7" t="s">
        <v>20</v>
      </c>
    </row>
    <row r="39" spans="1:22" x14ac:dyDescent="0.25">
      <c r="A39" s="7" t="s">
        <v>21</v>
      </c>
    </row>
    <row r="40" spans="1:22" x14ac:dyDescent="0.25">
      <c r="A40" s="7" t="s">
        <v>22</v>
      </c>
    </row>
    <row r="41" spans="1:22" x14ac:dyDescent="0.25">
      <c r="A41" s="7" t="s">
        <v>23</v>
      </c>
    </row>
    <row r="1048576" spans="17:17" x14ac:dyDescent="0.25">
      <c r="Q1048576" s="37" t="s">
        <v>100</v>
      </c>
    </row>
  </sheetData>
  <autoFilter ref="A3:P35" xr:uid="{00000000-0009-0000-0000-000002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586461-5FF2-4B98-9686-D75E1F7FD0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E3D1E2-25E2-45BA-B221-0FE98A1AB9D5}"/>
</file>

<file path=customXml/itemProps3.xml><?xml version="1.0" encoding="utf-8"?>
<ds:datastoreItem xmlns:ds="http://schemas.openxmlformats.org/officeDocument/2006/customXml" ds:itemID="{B8956018-E3DA-4538-AD56-87D0AC320FB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7bcfd6-7cd2-4f09-a667-3aa453d03612"/>
    <ds:schemaRef ds:uri="http://purl.org/dc/terms/"/>
    <ds:schemaRef ds:uri="http://schemas.openxmlformats.org/package/2006/metadata/core-properties"/>
    <ds:schemaRef ds:uri="4785f764-7ee0-4e66-9e00-821ed939f1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POZOS</vt:lpstr>
      <vt:lpstr>A. ECONOM.</vt:lpstr>
      <vt:lpstr>IONICOS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Muñoz, Pablo D</dc:creator>
  <cp:lastModifiedBy>Jimmy Lopez</cp:lastModifiedBy>
  <dcterms:created xsi:type="dcterms:W3CDTF">2024-02-02T01:00:44Z</dcterms:created>
  <dcterms:modified xsi:type="dcterms:W3CDTF">2024-03-06T18:32:57Z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