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3. PAE. Mejoradores de Flujo/Posto Ofert Brenda/"/>
    </mc:Choice>
  </mc:AlternateContent>
  <xr:revisionPtr revIDLastSave="360" documentId="8_{8F0C916C-7D7A-48C9-9952-1765F3FFE5AE}" xr6:coauthVersionLast="47" xr6:coauthVersionMax="47" xr10:uidLastSave="{8A7C3FFF-3F99-462F-B241-875973C1FEBA}"/>
  <bookViews>
    <workbookView xWindow="-120" yWindow="-120" windowWidth="24240" windowHeight="13140" xr2:uid="{DA2AF3E7-F7DA-42AB-BE39-99B1A5F12D5B}"/>
  </bookViews>
  <sheets>
    <sheet name="Actual Champion X" sheetId="1" r:id="rId1"/>
    <sheet name="PQ PEC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C53" i="1"/>
  <c r="E53" i="1"/>
  <c r="G49" i="1"/>
  <c r="G50" i="1"/>
  <c r="G51" i="1"/>
  <c r="J44" i="1"/>
  <c r="J41" i="1"/>
  <c r="H50" i="1"/>
  <c r="H51" i="1"/>
  <c r="H49" i="1"/>
  <c r="H47" i="1"/>
  <c r="H48" i="1"/>
  <c r="H46" i="1"/>
  <c r="E50" i="1"/>
  <c r="E51" i="1"/>
  <c r="E49" i="1"/>
  <c r="F49" i="1" s="1"/>
  <c r="D49" i="1"/>
  <c r="D50" i="1" s="1"/>
  <c r="D51" i="1" s="1"/>
  <c r="C49" i="1"/>
  <c r="C50" i="1" s="1"/>
  <c r="C51" i="1" s="1"/>
  <c r="K15" i="2"/>
  <c r="I15" i="2"/>
  <c r="L15" i="2" s="1"/>
  <c r="M15" i="2" s="1"/>
  <c r="N15" i="2" s="1"/>
  <c r="H15" i="2"/>
  <c r="E15" i="2"/>
  <c r="H11" i="2"/>
  <c r="I11" i="2" s="1"/>
  <c r="E48" i="1" s="1"/>
  <c r="G48" i="1" s="1"/>
  <c r="H13" i="2"/>
  <c r="I13" i="2" s="1"/>
  <c r="H10" i="2"/>
  <c r="I10" i="2" s="1"/>
  <c r="E47" i="1" s="1"/>
  <c r="D47" i="1"/>
  <c r="D46" i="1"/>
  <c r="C46" i="1"/>
  <c r="C47" i="1" s="1"/>
  <c r="H14" i="2"/>
  <c r="I14" i="2" s="1"/>
  <c r="H9" i="2"/>
  <c r="I9" i="2" s="1"/>
  <c r="E46" i="1" s="1"/>
  <c r="F46" i="1" l="1"/>
  <c r="G46" i="1"/>
  <c r="G47" i="1"/>
  <c r="F47" i="1"/>
  <c r="F51" i="1"/>
  <c r="F50" i="1"/>
  <c r="F48" i="1"/>
  <c r="E45" i="1" l="1"/>
  <c r="E4" i="2"/>
  <c r="E5" i="2" s="1"/>
  <c r="E6" i="2" s="1"/>
  <c r="E7" i="2" s="1"/>
  <c r="H7" i="2"/>
  <c r="E39" i="1"/>
  <c r="C40" i="1"/>
  <c r="C41" i="1" s="1"/>
  <c r="C43" i="1" s="1"/>
  <c r="C44" i="1" s="1"/>
  <c r="C45" i="1" s="1"/>
  <c r="E9" i="2" l="1"/>
  <c r="E10" i="2" s="1"/>
  <c r="E11" i="2" s="1"/>
  <c r="L7" i="2"/>
  <c r="C39" i="1"/>
  <c r="K7" i="2"/>
  <c r="M7" i="2" s="1"/>
  <c r="N7" i="2" s="1"/>
  <c r="J7" i="2"/>
  <c r="H32" i="1"/>
  <c r="H44" i="1" s="1"/>
  <c r="J32" i="1"/>
  <c r="E44" i="1" s="1"/>
  <c r="J31" i="1"/>
  <c r="E43" i="1" s="1"/>
  <c r="H31" i="1"/>
  <c r="H43" i="1" s="1"/>
  <c r="L6" i="2"/>
  <c r="H6" i="2"/>
  <c r="J6" i="2" s="1"/>
  <c r="L5" i="2"/>
  <c r="H5" i="2"/>
  <c r="E30" i="1"/>
  <c r="D33" i="1"/>
  <c r="D32" i="1"/>
  <c r="D31" i="1"/>
  <c r="D30" i="1"/>
  <c r="G4" i="2"/>
  <c r="H4" i="2" s="1"/>
  <c r="L4" i="2" s="1"/>
  <c r="K11" i="2" l="1"/>
  <c r="L11" i="2"/>
  <c r="M11" i="2" s="1"/>
  <c r="N11" i="2" s="1"/>
  <c r="K10" i="2"/>
  <c r="L10" i="2"/>
  <c r="E14" i="2"/>
  <c r="E13" i="2" s="1"/>
  <c r="K9" i="2"/>
  <c r="L9" i="2"/>
  <c r="M9" i="2" s="1"/>
  <c r="N9" i="2" s="1"/>
  <c r="J4" i="2"/>
  <c r="D40" i="1"/>
  <c r="K6" i="2"/>
  <c r="M6" i="2" s="1"/>
  <c r="N6" i="2" s="1"/>
  <c r="K5" i="2"/>
  <c r="M5" i="2" s="1"/>
  <c r="N5" i="2" s="1"/>
  <c r="J5" i="2"/>
  <c r="F30" i="1"/>
  <c r="K4" i="2"/>
  <c r="M4" i="2" s="1"/>
  <c r="N4" i="2" s="1"/>
  <c r="M10" i="2" l="1"/>
  <c r="N10" i="2" s="1"/>
  <c r="K13" i="2"/>
  <c r="L13" i="2"/>
  <c r="M13" i="2" s="1"/>
  <c r="N13" i="2" s="1"/>
  <c r="K14" i="2"/>
  <c r="L14" i="2"/>
  <c r="M14" i="2" s="1"/>
  <c r="N14" i="2" s="1"/>
  <c r="D41" i="1"/>
  <c r="D39" i="1"/>
  <c r="E21" i="1"/>
  <c r="D23" i="1" s="1"/>
  <c r="E32" i="1" s="1"/>
  <c r="F32" i="1" s="1"/>
  <c r="D15" i="1"/>
  <c r="F15" i="1" s="1"/>
  <c r="D13" i="1"/>
  <c r="F13" i="1" s="1"/>
  <c r="D14" i="1"/>
  <c r="F14" i="1" s="1"/>
  <c r="D12" i="1"/>
  <c r="F41" i="1" l="1"/>
  <c r="D43" i="1"/>
  <c r="I31" i="1"/>
  <c r="I32" i="1" s="1"/>
  <c r="K32" i="1" s="1"/>
  <c r="F12" i="1"/>
  <c r="F16" i="1" s="1"/>
  <c r="F39" i="1" s="1"/>
  <c r="D22" i="1"/>
  <c r="E31" i="1" s="1"/>
  <c r="E40" i="1" s="1"/>
  <c r="D24" i="1"/>
  <c r="E33" i="1" s="1"/>
  <c r="F33" i="1" s="1"/>
  <c r="K31" i="1" l="1"/>
  <c r="D44" i="1"/>
  <c r="F43" i="1"/>
  <c r="F31" i="1"/>
  <c r="F34" i="1" s="1"/>
  <c r="F40" i="1" s="1"/>
  <c r="F44" i="1" l="1"/>
  <c r="D45" i="1"/>
  <c r="F45" i="1" s="1"/>
  <c r="L31" i="1"/>
  <c r="L32" i="1"/>
</calcChain>
</file>

<file path=xl/sharedStrings.xml><?xml version="1.0" encoding="utf-8"?>
<sst xmlns="http://schemas.openxmlformats.org/spreadsheetml/2006/main" count="113" uniqueCount="69">
  <si>
    <t>INHIBID PARAFIN FLOTRON S-310</t>
  </si>
  <si>
    <t>lts/d</t>
  </si>
  <si>
    <t>USD/lt</t>
  </si>
  <si>
    <t>INHIBID PARAFIN PARA02162A DISPER</t>
  </si>
  <si>
    <t>lts/mes</t>
  </si>
  <si>
    <t>INHIBID PARAFIN PARA0219A DISPER</t>
  </si>
  <si>
    <t>PARA02107A</t>
  </si>
  <si>
    <t>USD/mes</t>
  </si>
  <si>
    <t>TOTAL</t>
  </si>
  <si>
    <t>PAE</t>
  </si>
  <si>
    <t>(USD/lt)</t>
  </si>
  <si>
    <t>YPF</t>
  </si>
  <si>
    <t xml:space="preserve">DIF </t>
  </si>
  <si>
    <t>Valor real conocido</t>
  </si>
  <si>
    <t>Valor asumido en base al 39% de diferencia entre YPF y PAE</t>
  </si>
  <si>
    <t>TC</t>
  </si>
  <si>
    <t>Ref: Cotización Divisas Venta</t>
  </si>
  <si>
    <t>GE</t>
  </si>
  <si>
    <t>Situación</t>
  </si>
  <si>
    <t>Descripción</t>
  </si>
  <si>
    <t>Denominación comercial</t>
  </si>
  <si>
    <t>Costo Rep [USD/lt]</t>
  </si>
  <si>
    <t>Cantidad [Lts]</t>
  </si>
  <si>
    <t>Imp Pais</t>
  </si>
  <si>
    <t>Flete  [USD/litro]</t>
  </si>
  <si>
    <t>CR con flete  [USD/lt]</t>
  </si>
  <si>
    <t>Precio unitario</t>
  </si>
  <si>
    <t>K</t>
  </si>
  <si>
    <t>Costo total USD]</t>
  </si>
  <si>
    <t>Venta Total [USD]</t>
  </si>
  <si>
    <t>CP</t>
  </si>
  <si>
    <t>Inhibidor de Parafinas</t>
  </si>
  <si>
    <t>Escenario actual de ChampionX en PAE</t>
  </si>
  <si>
    <t>Escenario PROYECTADO de ChampionX en PAE</t>
  </si>
  <si>
    <t>Escenario PROYECTADO PECOM</t>
  </si>
  <si>
    <t>IPB22 - 30%CP</t>
  </si>
  <si>
    <t>IPB22 - 25%CP</t>
  </si>
  <si>
    <t>Asumiendo un pedido de aumento del 39%</t>
  </si>
  <si>
    <t>Baker - PAO12709F</t>
  </si>
  <si>
    <t>Observacion</t>
  </si>
  <si>
    <t>Valor actual del producto en YPF</t>
  </si>
  <si>
    <t>Comparacion Baker - Champion X - Pecom</t>
  </si>
  <si>
    <t>IPB22 - Protocolo</t>
  </si>
  <si>
    <t>Champion X - Escenario Actual</t>
  </si>
  <si>
    <t>Champion X - Escenario Proyectado</t>
  </si>
  <si>
    <t xml:space="preserve">Escenario presente </t>
  </si>
  <si>
    <t>Pecom - IPB22 - 30% CP</t>
  </si>
  <si>
    <t>Pecom - IPB22 - 25% CP</t>
  </si>
  <si>
    <t>Pecom - IPB22 - 20% CP</t>
  </si>
  <si>
    <t>IPB22 - 20%CP</t>
  </si>
  <si>
    <t>Pecom - IPB22 -Cot Protocolo</t>
  </si>
  <si>
    <t>IPB22*</t>
  </si>
  <si>
    <t>IPB22**</t>
  </si>
  <si>
    <t>Version de producto con 20% de activo</t>
  </si>
  <si>
    <t>Version de producto con 18% de activo</t>
  </si>
  <si>
    <t>Pecom - IPB22* - 30% CP</t>
  </si>
  <si>
    <t>Pecom - IPB22* - 25% CP</t>
  </si>
  <si>
    <t>Pecom - IPB22** - 30% CP</t>
  </si>
  <si>
    <t>Pecom - IPB22** - 25% CP</t>
  </si>
  <si>
    <t>Pecom - IPB22** - 20% CP</t>
  </si>
  <si>
    <t>IPB22* - 30%CP</t>
  </si>
  <si>
    <t>IPB22* - 25%CP</t>
  </si>
  <si>
    <t>IPB22** - 25%CP</t>
  </si>
  <si>
    <t>IPB22** - 30%CP</t>
  </si>
  <si>
    <t>IPB22** - 20%CP</t>
  </si>
  <si>
    <t>Mercado MAX Asumido: 20% arriba</t>
  </si>
  <si>
    <t>Mercado MAX Asumido: 15% arriba</t>
  </si>
  <si>
    <t>IPB22* - 27%CP</t>
  </si>
  <si>
    <t>Pecom - IPB22* - 27%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</si>
</sst>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1" xfId="2" applyFont="1" applyBorder="1" applyAlignment="1">
      <alignment horizontal="right"/>
    </xf>
    <xf numFmtId="44" fontId="0" fillId="0" borderId="1" xfId="1" applyFont="1" applyBorder="1"/>
    <xf numFmtId="0" fontId="4" fillId="0" borderId="0" xfId="0" applyFont="1" applyAlignment="1">
      <alignment horizontal="center"/>
    </xf>
    <xf numFmtId="44" fontId="0" fillId="3" borderId="1" xfId="1" applyFont="1" applyFill="1" applyBorder="1" applyAlignment="1">
      <alignment horizontal="center"/>
    </xf>
    <xf numFmtId="9" fontId="0" fillId="3" borderId="1" xfId="3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4" fontId="0" fillId="0" borderId="0" xfId="0" applyNumberFormat="1"/>
    <xf numFmtId="0" fontId="7" fillId="5" borderId="4" xfId="4" applyFont="1" applyFill="1" applyBorder="1" applyAlignment="1">
      <alignment horizontal="center" vertical="center" wrapText="1"/>
    </xf>
    <xf numFmtId="0" fontId="7" fillId="5" borderId="0" xfId="4" applyFont="1" applyFill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center" vertical="center" wrapText="1"/>
    </xf>
    <xf numFmtId="0" fontId="7" fillId="5" borderId="6" xfId="4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4" fontId="0" fillId="7" borderId="8" xfId="0" applyNumberFormat="1" applyFill="1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164" fontId="1" fillId="7" borderId="9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/>
    </xf>
    <xf numFmtId="0" fontId="2" fillId="2" borderId="13" xfId="2" applyFont="1" applyBorder="1" applyAlignment="1">
      <alignment horizontal="center"/>
    </xf>
    <xf numFmtId="44" fontId="0" fillId="0" borderId="0" xfId="1" applyFont="1" applyBorder="1"/>
    <xf numFmtId="0" fontId="2" fillId="0" borderId="0" xfId="2" applyFont="1" applyFill="1" applyBorder="1" applyAlignment="1">
      <alignment horizontal="right"/>
    </xf>
    <xf numFmtId="0" fontId="0" fillId="11" borderId="14" xfId="0" applyFill="1" applyBorder="1"/>
    <xf numFmtId="0" fontId="0" fillId="11" borderId="15" xfId="0" applyFill="1" applyBorder="1" applyAlignment="1">
      <alignment horizontal="center"/>
    </xf>
    <xf numFmtId="44" fontId="0" fillId="11" borderId="15" xfId="1" applyFont="1" applyFill="1" applyBorder="1" applyAlignment="1">
      <alignment horizontal="center"/>
    </xf>
    <xf numFmtId="44" fontId="0" fillId="11" borderId="16" xfId="1" applyFont="1" applyFill="1" applyBorder="1" applyAlignment="1">
      <alignment horizontal="center"/>
    </xf>
    <xf numFmtId="0" fontId="0" fillId="11" borderId="17" xfId="0" applyFill="1" applyBorder="1"/>
    <xf numFmtId="0" fontId="0" fillId="11" borderId="18" xfId="0" applyFill="1" applyBorder="1" applyAlignment="1">
      <alignment horizontal="center"/>
    </xf>
    <xf numFmtId="44" fontId="0" fillId="11" borderId="18" xfId="1" applyFont="1" applyFill="1" applyBorder="1" applyAlignment="1">
      <alignment horizontal="center"/>
    </xf>
    <xf numFmtId="44" fontId="0" fillId="11" borderId="19" xfId="1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 applyAlignment="1">
      <alignment horizontal="center"/>
    </xf>
    <xf numFmtId="44" fontId="0" fillId="3" borderId="21" xfId="1" applyFont="1" applyFill="1" applyBorder="1" applyAlignment="1">
      <alignment horizontal="center"/>
    </xf>
    <xf numFmtId="44" fontId="0" fillId="3" borderId="22" xfId="1" applyFont="1" applyFill="1" applyBorder="1" applyAlignment="1">
      <alignment horizontal="center"/>
    </xf>
    <xf numFmtId="0" fontId="0" fillId="10" borderId="14" xfId="0" applyFill="1" applyBorder="1"/>
    <xf numFmtId="0" fontId="0" fillId="10" borderId="15" xfId="0" applyFill="1" applyBorder="1" applyAlignment="1">
      <alignment horizontal="center"/>
    </xf>
    <xf numFmtId="44" fontId="0" fillId="10" borderId="16" xfId="1" applyFont="1" applyFill="1" applyBorder="1" applyAlignment="1">
      <alignment horizontal="center"/>
    </xf>
    <xf numFmtId="0" fontId="0" fillId="10" borderId="17" xfId="0" applyFill="1" applyBorder="1"/>
    <xf numFmtId="0" fontId="0" fillId="10" borderId="18" xfId="0" applyFill="1" applyBorder="1" applyAlignment="1">
      <alignment horizontal="center"/>
    </xf>
    <xf numFmtId="44" fontId="0" fillId="10" borderId="18" xfId="1" applyFont="1" applyFill="1" applyBorder="1" applyAlignment="1">
      <alignment horizontal="center"/>
    </xf>
    <xf numFmtId="44" fontId="0" fillId="10" borderId="19" xfId="1" applyFont="1" applyFill="1" applyBorder="1" applyAlignment="1">
      <alignment horizontal="center"/>
    </xf>
    <xf numFmtId="44" fontId="0" fillId="10" borderId="23" xfId="1" applyFont="1" applyFill="1" applyBorder="1" applyAlignment="1">
      <alignment horizontal="center"/>
    </xf>
    <xf numFmtId="0" fontId="0" fillId="11" borderId="24" xfId="0" applyFill="1" applyBorder="1"/>
    <xf numFmtId="0" fontId="0" fillId="11" borderId="25" xfId="0" applyFill="1" applyBorder="1" applyAlignment="1">
      <alignment horizontal="center"/>
    </xf>
    <xf numFmtId="44" fontId="0" fillId="11" borderId="25" xfId="1" applyFont="1" applyFill="1" applyBorder="1" applyAlignment="1">
      <alignment horizontal="center"/>
    </xf>
    <xf numFmtId="44" fontId="0" fillId="11" borderId="26" xfId="1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44" fontId="0" fillId="11" borderId="23" xfId="1" applyFont="1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4" fontId="1" fillId="0" borderId="9" xfId="3" applyNumberFormat="1" applyFont="1" applyFill="1" applyBorder="1" applyAlignment="1">
      <alignment horizontal="center" vertical="center"/>
    </xf>
    <xf numFmtId="44" fontId="0" fillId="0" borderId="0" xfId="0" applyNumberFormat="1"/>
    <xf numFmtId="9" fontId="0" fillId="0" borderId="0" xfId="3" applyFont="1"/>
    <xf numFmtId="0" fontId="0" fillId="12" borderId="1" xfId="0" applyFill="1" applyBorder="1"/>
    <xf numFmtId="44" fontId="0" fillId="12" borderId="18" xfId="1" applyFont="1" applyFill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12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10" fontId="5" fillId="4" borderId="3" xfId="0" applyNumberFormat="1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4" fontId="0" fillId="12" borderId="8" xfId="0" applyNumberFormat="1" applyFill="1" applyBorder="1" applyAlignment="1">
      <alignment horizontal="center" vertical="center"/>
    </xf>
    <xf numFmtId="3" fontId="0" fillId="12" borderId="8" xfId="0" applyNumberFormat="1" applyFill="1" applyBorder="1" applyAlignment="1">
      <alignment horizontal="center" vertical="center"/>
    </xf>
    <xf numFmtId="2" fontId="0" fillId="12" borderId="8" xfId="0" applyNumberFormat="1" applyFill="1" applyBorder="1" applyAlignment="1">
      <alignment horizontal="center" vertical="center"/>
    </xf>
    <xf numFmtId="2" fontId="10" fillId="12" borderId="8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164" fontId="1" fillId="12" borderId="9" xfId="3" applyNumberFormat="1" applyFont="1" applyFill="1" applyBorder="1" applyAlignment="1">
      <alignment horizontal="center" vertical="center"/>
    </xf>
  </cellXfs>
  <cellStyles count="5">
    <cellStyle name="Énfasis6" xfId="2" builtinId="49"/>
    <cellStyle name="Moneda" xfId="1" builtinId="4"/>
    <cellStyle name="Normal" xfId="0" builtinId="0"/>
    <cellStyle name="Normal 2" xfId="4" xr:uid="{D4D23BBF-B4BD-40AC-ABAD-ECEB2F569B5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66675</xdr:rowOff>
    </xdr:from>
    <xdr:to>
      <xdr:col>4</xdr:col>
      <xdr:colOff>695962</xdr:colOff>
      <xdr:row>7</xdr:row>
      <xdr:rowOff>181177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426EA6-8588-00AF-F93D-90109627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6675"/>
          <a:ext cx="4563112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D978-1261-4597-86D4-98842B610139}">
  <dimension ref="B10:L53"/>
  <sheetViews>
    <sheetView showGridLines="0" tabSelected="1" topLeftCell="A31" workbookViewId="0">
      <selection activeCell="F41" sqref="F41"/>
    </sheetView>
  </sheetViews>
  <sheetFormatPr baseColWidth="10" defaultRowHeight="15" x14ac:dyDescent="0.25"/>
  <cols>
    <col min="1" max="1" width="3.140625" customWidth="1"/>
    <col min="2" max="2" width="35.5703125" customWidth="1"/>
    <col min="6" max="6" width="13" bestFit="1" customWidth="1"/>
    <col min="7" max="7" width="6.28515625" customWidth="1"/>
    <col min="8" max="8" width="40.140625" customWidth="1"/>
    <col min="10" max="11" width="13" bestFit="1" customWidth="1"/>
  </cols>
  <sheetData>
    <row r="10" spans="2:6" x14ac:dyDescent="0.25">
      <c r="C10" s="71" t="s">
        <v>32</v>
      </c>
      <c r="D10" s="72"/>
      <c r="E10" s="72"/>
      <c r="F10" s="73"/>
    </row>
    <row r="11" spans="2:6" x14ac:dyDescent="0.25">
      <c r="C11" s="4" t="s">
        <v>1</v>
      </c>
      <c r="D11" s="4" t="s">
        <v>4</v>
      </c>
      <c r="E11" s="4" t="s">
        <v>2</v>
      </c>
      <c r="F11" s="4" t="s">
        <v>7</v>
      </c>
    </row>
    <row r="12" spans="2:6" x14ac:dyDescent="0.25">
      <c r="B12" s="1" t="s">
        <v>0</v>
      </c>
      <c r="C12" s="2">
        <v>445</v>
      </c>
      <c r="D12" s="2">
        <f>C12*30.5</f>
        <v>13572.5</v>
      </c>
      <c r="E12" s="3">
        <v>4.09</v>
      </c>
      <c r="F12" s="3">
        <f>E12*D12</f>
        <v>55511.525000000001</v>
      </c>
    </row>
    <row r="13" spans="2:6" x14ac:dyDescent="0.25">
      <c r="B13" s="1" t="s">
        <v>3</v>
      </c>
      <c r="C13" s="2">
        <v>180</v>
      </c>
      <c r="D13" s="2">
        <f t="shared" ref="D13:D15" si="0">C13*30.5</f>
        <v>5490</v>
      </c>
      <c r="E13" s="3">
        <v>5.17</v>
      </c>
      <c r="F13" s="3">
        <f t="shared" ref="F13:F15" si="1">E13*D13</f>
        <v>28383.3</v>
      </c>
    </row>
    <row r="14" spans="2:6" x14ac:dyDescent="0.25">
      <c r="B14" s="1" t="s">
        <v>5</v>
      </c>
      <c r="C14" s="2">
        <v>180</v>
      </c>
      <c r="D14" s="2">
        <f t="shared" si="0"/>
        <v>5490</v>
      </c>
      <c r="E14" s="3">
        <v>4.93</v>
      </c>
      <c r="F14" s="3">
        <f t="shared" si="1"/>
        <v>27065.699999999997</v>
      </c>
    </row>
    <row r="15" spans="2:6" x14ac:dyDescent="0.25">
      <c r="B15" s="1" t="s">
        <v>6</v>
      </c>
      <c r="C15" s="2">
        <v>631</v>
      </c>
      <c r="D15" s="2">
        <f t="shared" si="0"/>
        <v>19245.5</v>
      </c>
      <c r="E15" s="3">
        <v>5.17</v>
      </c>
      <c r="F15" s="3">
        <f t="shared" si="1"/>
        <v>99499.235000000001</v>
      </c>
    </row>
    <row r="16" spans="2:6" x14ac:dyDescent="0.25">
      <c r="E16" s="5" t="s">
        <v>8</v>
      </c>
      <c r="F16" s="6">
        <f>SUM(F12:F15)</f>
        <v>210459.76</v>
      </c>
    </row>
    <row r="19" spans="2:12" x14ac:dyDescent="0.25">
      <c r="C19" s="7" t="s">
        <v>9</v>
      </c>
      <c r="D19" s="7" t="s">
        <v>11</v>
      </c>
    </row>
    <row r="20" spans="2:12" x14ac:dyDescent="0.25">
      <c r="C20" s="7" t="s">
        <v>10</v>
      </c>
      <c r="D20" s="7" t="s">
        <v>10</v>
      </c>
      <c r="E20" s="7" t="s">
        <v>12</v>
      </c>
    </row>
    <row r="21" spans="2:12" x14ac:dyDescent="0.25">
      <c r="B21" s="1" t="s">
        <v>0</v>
      </c>
      <c r="C21" s="3">
        <v>4.09</v>
      </c>
      <c r="D21" s="8">
        <v>5.7</v>
      </c>
      <c r="E21" s="9">
        <f>(D21-C21)/C21</f>
        <v>0.39364303178484117</v>
      </c>
      <c r="G21" t="s">
        <v>13</v>
      </c>
    </row>
    <row r="22" spans="2:12" x14ac:dyDescent="0.25">
      <c r="B22" s="1" t="s">
        <v>3</v>
      </c>
      <c r="C22" s="3">
        <v>5.17</v>
      </c>
      <c r="D22" s="10">
        <f>C22*(1+$E$21)</f>
        <v>7.2051344743276289</v>
      </c>
      <c r="E22" s="1"/>
      <c r="G22" t="s">
        <v>14</v>
      </c>
    </row>
    <row r="23" spans="2:12" x14ac:dyDescent="0.25">
      <c r="B23" s="1" t="s">
        <v>5</v>
      </c>
      <c r="C23" s="3">
        <v>4.93</v>
      </c>
      <c r="D23" s="10">
        <f t="shared" ref="D23:D24" si="2">C23*(1+$E$21)</f>
        <v>6.8706601466992669</v>
      </c>
      <c r="E23" s="1"/>
      <c r="G23" t="s">
        <v>14</v>
      </c>
    </row>
    <row r="24" spans="2:12" x14ac:dyDescent="0.25">
      <c r="B24" s="1" t="s">
        <v>6</v>
      </c>
      <c r="C24" s="3">
        <v>5.17</v>
      </c>
      <c r="D24" s="10">
        <f t="shared" si="2"/>
        <v>7.2051344743276289</v>
      </c>
      <c r="E24" s="1"/>
      <c r="G24" t="s">
        <v>14</v>
      </c>
    </row>
    <row r="28" spans="2:12" x14ac:dyDescent="0.25">
      <c r="C28" s="71" t="s">
        <v>33</v>
      </c>
      <c r="D28" s="72"/>
      <c r="E28" s="72"/>
      <c r="F28" s="73"/>
    </row>
    <row r="29" spans="2:12" x14ac:dyDescent="0.25">
      <c r="C29" s="4" t="s">
        <v>1</v>
      </c>
      <c r="D29" s="4" t="s">
        <v>4</v>
      </c>
      <c r="E29" s="4" t="s">
        <v>2</v>
      </c>
      <c r="F29" s="4" t="s">
        <v>7</v>
      </c>
      <c r="I29" s="74" t="s">
        <v>34</v>
      </c>
      <c r="J29" s="74"/>
      <c r="K29" s="74"/>
    </row>
    <row r="30" spans="2:12" x14ac:dyDescent="0.25">
      <c r="B30" s="1" t="s">
        <v>0</v>
      </c>
      <c r="C30" s="2">
        <v>445</v>
      </c>
      <c r="D30" s="2">
        <f>C30*30.5</f>
        <v>13572.5</v>
      </c>
      <c r="E30" s="3">
        <f>D21</f>
        <v>5.7</v>
      </c>
      <c r="F30" s="3">
        <f>E30*D30</f>
        <v>77363.25</v>
      </c>
      <c r="I30" s="4" t="s">
        <v>4</v>
      </c>
      <c r="J30" s="4" t="s">
        <v>2</v>
      </c>
      <c r="K30" s="4" t="s">
        <v>7</v>
      </c>
    </row>
    <row r="31" spans="2:12" x14ac:dyDescent="0.25">
      <c r="B31" s="1" t="s">
        <v>3</v>
      </c>
      <c r="C31" s="2">
        <v>180</v>
      </c>
      <c r="D31" s="2">
        <f t="shared" ref="D31:D33" si="3">C31*30.5</f>
        <v>5490</v>
      </c>
      <c r="E31" s="3">
        <f t="shared" ref="E31:E33" si="4">D22</f>
        <v>7.2051344743276289</v>
      </c>
      <c r="F31" s="3">
        <f t="shared" ref="F31:F33" si="5">E31*D31</f>
        <v>39556.188264058685</v>
      </c>
      <c r="H31" s="1" t="str">
        <f>'PQ PECOM'!C5</f>
        <v>IPB22 - 30%CP</v>
      </c>
      <c r="I31" s="2">
        <f>SUM(D12:D15)</f>
        <v>43798</v>
      </c>
      <c r="J31" s="3">
        <f>'PQ PECOM'!I5</f>
        <v>6.22</v>
      </c>
      <c r="K31" s="3">
        <f>J31*I31</f>
        <v>272423.56</v>
      </c>
      <c r="L31" s="26">
        <f>(K31-F34)/F34</f>
        <v>-7.1196067591475037E-2</v>
      </c>
    </row>
    <row r="32" spans="2:12" x14ac:dyDescent="0.25">
      <c r="B32" s="1" t="s">
        <v>5</v>
      </c>
      <c r="C32" s="2">
        <v>180</v>
      </c>
      <c r="D32" s="2">
        <f t="shared" si="3"/>
        <v>5490</v>
      </c>
      <c r="E32" s="3">
        <f t="shared" si="4"/>
        <v>6.8706601466992669</v>
      </c>
      <c r="F32" s="3">
        <f t="shared" si="5"/>
        <v>37719.924205378979</v>
      </c>
      <c r="H32" s="1" t="str">
        <f>'PQ PECOM'!C6</f>
        <v>IPB22 - 25%CP</v>
      </c>
      <c r="I32" s="2">
        <f>I31</f>
        <v>43798</v>
      </c>
      <c r="J32" s="3">
        <f>'PQ PECOM'!I6</f>
        <v>5.74</v>
      </c>
      <c r="K32" s="3">
        <f>J32*I32</f>
        <v>251400.52000000002</v>
      </c>
      <c r="L32" s="26">
        <f>(K32-F34)/F34</f>
        <v>-0.14287225530145761</v>
      </c>
    </row>
    <row r="33" spans="2:10" x14ac:dyDescent="0.25">
      <c r="B33" s="1" t="s">
        <v>6</v>
      </c>
      <c r="C33" s="2">
        <v>631</v>
      </c>
      <c r="D33" s="2">
        <f t="shared" si="3"/>
        <v>19245.5</v>
      </c>
      <c r="E33" s="3">
        <f t="shared" si="4"/>
        <v>7.2051344743276289</v>
      </c>
      <c r="F33" s="3">
        <f t="shared" si="5"/>
        <v>138666.41552567238</v>
      </c>
    </row>
    <row r="34" spans="2:10" x14ac:dyDescent="0.25">
      <c r="E34" s="5" t="s">
        <v>8</v>
      </c>
      <c r="F34" s="6">
        <f>SUM(F30:F33)</f>
        <v>293305.77799511002</v>
      </c>
    </row>
    <row r="35" spans="2:10" x14ac:dyDescent="0.25">
      <c r="E35" s="29"/>
      <c r="F35" s="28"/>
    </row>
    <row r="37" spans="2:10" x14ac:dyDescent="0.25">
      <c r="C37" s="71" t="s">
        <v>41</v>
      </c>
      <c r="D37" s="72"/>
      <c r="E37" s="72"/>
      <c r="F37" s="73"/>
    </row>
    <row r="38" spans="2:10" ht="15.75" thickBot="1" x14ac:dyDescent="0.3">
      <c r="C38" s="27" t="s">
        <v>1</v>
      </c>
      <c r="D38" s="27" t="s">
        <v>4</v>
      </c>
      <c r="E38" s="27" t="s">
        <v>2</v>
      </c>
      <c r="F38" s="27" t="s">
        <v>7</v>
      </c>
      <c r="H38" s="4" t="s">
        <v>39</v>
      </c>
    </row>
    <row r="39" spans="2:10" x14ac:dyDescent="0.25">
      <c r="B39" s="42" t="s">
        <v>43</v>
      </c>
      <c r="C39" s="43">
        <f>C40</f>
        <v>1436</v>
      </c>
      <c r="D39" s="43">
        <f>D40</f>
        <v>43798</v>
      </c>
      <c r="E39" s="49">
        <f>AVERAGE(E12:E15)</f>
        <v>4.84</v>
      </c>
      <c r="F39" s="44">
        <f>F16</f>
        <v>210459.76</v>
      </c>
      <c r="H39" s="1" t="s">
        <v>45</v>
      </c>
    </row>
    <row r="40" spans="2:10" ht="15.75" thickBot="1" x14ac:dyDescent="0.3">
      <c r="B40" s="45" t="s">
        <v>44</v>
      </c>
      <c r="C40" s="46">
        <f>SUM(C30:C33)</f>
        <v>1436</v>
      </c>
      <c r="D40" s="46">
        <f>SUM(D30:D33)</f>
        <v>43798</v>
      </c>
      <c r="E40" s="47">
        <f>AVERAGE(E30:E33)</f>
        <v>6.7452322738386314</v>
      </c>
      <c r="F40" s="48">
        <f>F34</f>
        <v>293305.77799511002</v>
      </c>
      <c r="H40" s="1" t="s">
        <v>37</v>
      </c>
      <c r="J40" t="s">
        <v>65</v>
      </c>
    </row>
    <row r="41" spans="2:10" ht="15.75" thickBot="1" x14ac:dyDescent="0.3">
      <c r="B41" s="38" t="s">
        <v>38</v>
      </c>
      <c r="C41" s="39">
        <f>C40</f>
        <v>1436</v>
      </c>
      <c r="D41" s="39">
        <f>D40</f>
        <v>43798</v>
      </c>
      <c r="E41" s="40">
        <v>5.38</v>
      </c>
      <c r="F41" s="41">
        <f>D41*E41</f>
        <v>235633.24</v>
      </c>
      <c r="H41" s="1" t="s">
        <v>40</v>
      </c>
      <c r="J41" s="67">
        <f>F39*1.2</f>
        <v>252551.712</v>
      </c>
    </row>
    <row r="42" spans="2:10" ht="15.75" thickBot="1" x14ac:dyDescent="0.3">
      <c r="B42" s="30" t="s">
        <v>50</v>
      </c>
      <c r="C42" s="54"/>
      <c r="D42" s="54"/>
      <c r="E42" s="55">
        <v>6.35</v>
      </c>
      <c r="F42" s="56"/>
      <c r="H42" s="1"/>
    </row>
    <row r="43" spans="2:10" x14ac:dyDescent="0.25">
      <c r="B43" s="30" t="s">
        <v>46</v>
      </c>
      <c r="C43" s="31">
        <f>C41</f>
        <v>1436</v>
      </c>
      <c r="D43" s="31">
        <f>D41</f>
        <v>43798</v>
      </c>
      <c r="E43" s="32">
        <f>J31</f>
        <v>6.22</v>
      </c>
      <c r="F43" s="33">
        <f t="shared" ref="F43:F51" si="6">E43*D43</f>
        <v>272423.56</v>
      </c>
      <c r="H43" s="1" t="str">
        <f>H31</f>
        <v>IPB22 - 30%CP</v>
      </c>
      <c r="J43" t="s">
        <v>66</v>
      </c>
    </row>
    <row r="44" spans="2:10" x14ac:dyDescent="0.25">
      <c r="B44" s="50" t="s">
        <v>47</v>
      </c>
      <c r="C44" s="51">
        <f t="shared" ref="C44:C51" si="7">C43</f>
        <v>1436</v>
      </c>
      <c r="D44" s="51">
        <f t="shared" ref="D44:D51" si="8">D43</f>
        <v>43798</v>
      </c>
      <c r="E44" s="52">
        <f>J32</f>
        <v>5.74</v>
      </c>
      <c r="F44" s="53">
        <f t="shared" si="6"/>
        <v>251400.52000000002</v>
      </c>
      <c r="H44" s="1" t="str">
        <f>H32</f>
        <v>IPB22 - 25%CP</v>
      </c>
      <c r="J44" s="67">
        <f>F39*1.15</f>
        <v>242028.72399999999</v>
      </c>
    </row>
    <row r="45" spans="2:10" ht="15.75" thickBot="1" x14ac:dyDescent="0.3">
      <c r="B45" s="34" t="s">
        <v>48</v>
      </c>
      <c r="C45" s="35">
        <f t="shared" si="7"/>
        <v>1436</v>
      </c>
      <c r="D45" s="35">
        <f t="shared" si="8"/>
        <v>43798</v>
      </c>
      <c r="E45" s="36">
        <f>'PQ PECOM'!I7</f>
        <v>5.38</v>
      </c>
      <c r="F45" s="37">
        <f t="shared" si="6"/>
        <v>235633.24</v>
      </c>
      <c r="H45" s="1" t="s">
        <v>49</v>
      </c>
    </row>
    <row r="46" spans="2:10" x14ac:dyDescent="0.25">
      <c r="B46" s="30" t="s">
        <v>55</v>
      </c>
      <c r="C46" s="31">
        <f>C44</f>
        <v>1436</v>
      </c>
      <c r="D46" s="31">
        <f>D44</f>
        <v>43798</v>
      </c>
      <c r="E46" s="52">
        <f>'PQ PECOM'!I9</f>
        <v>5.6979999999999995</v>
      </c>
      <c r="F46" s="33">
        <f t="shared" si="6"/>
        <v>249561.00399999999</v>
      </c>
      <c r="G46" s="68">
        <f>(E46-$E$39)/$E$39</f>
        <v>0.17727272727272719</v>
      </c>
      <c r="H46" s="69" t="str">
        <f>'PQ PECOM'!C9</f>
        <v>IPB22* - 30%CP</v>
      </c>
    </row>
    <row r="47" spans="2:10" x14ac:dyDescent="0.25">
      <c r="B47" s="50" t="s">
        <v>68</v>
      </c>
      <c r="C47" s="51">
        <f t="shared" si="7"/>
        <v>1436</v>
      </c>
      <c r="D47" s="51">
        <f t="shared" si="8"/>
        <v>43798</v>
      </c>
      <c r="E47" s="52">
        <f>'PQ PECOM'!I10</f>
        <v>5.5129999999999999</v>
      </c>
      <c r="F47" s="53">
        <f t="shared" si="6"/>
        <v>241458.37399999998</v>
      </c>
      <c r="G47" s="68">
        <f t="shared" ref="G47:G51" si="9">(E47-$E$39)/$E$39</f>
        <v>0.13904958677685952</v>
      </c>
      <c r="H47" s="69" t="str">
        <f>'PQ PECOM'!C10</f>
        <v>IPB22* - 27%CP</v>
      </c>
    </row>
    <row r="48" spans="2:10" ht="15.75" thickBot="1" x14ac:dyDescent="0.3">
      <c r="B48" s="34" t="s">
        <v>56</v>
      </c>
      <c r="C48" s="35">
        <f>C47+86</f>
        <v>1522</v>
      </c>
      <c r="D48" s="35">
        <f>+C48*30.5</f>
        <v>46421</v>
      </c>
      <c r="E48" s="70">
        <f>'PQ PECOM'!I11</f>
        <v>5.3279999999999994</v>
      </c>
      <c r="F48" s="37">
        <f t="shared" si="6"/>
        <v>247331.08799999996</v>
      </c>
      <c r="G48" s="68">
        <f t="shared" si="9"/>
        <v>0.10082644628099165</v>
      </c>
      <c r="H48" s="69" t="str">
        <f>'PQ PECOM'!C11</f>
        <v>IPB22* - 25%CP</v>
      </c>
    </row>
    <row r="49" spans="2:8" x14ac:dyDescent="0.25">
      <c r="B49" s="30" t="s">
        <v>57</v>
      </c>
      <c r="C49" s="31">
        <f>C47</f>
        <v>1436</v>
      </c>
      <c r="D49" s="31">
        <f>D47</f>
        <v>43798</v>
      </c>
      <c r="E49" s="32">
        <f>'PQ PECOM'!I13</f>
        <v>5.5692000000000004</v>
      </c>
      <c r="F49" s="33">
        <f t="shared" si="6"/>
        <v>243919.82160000002</v>
      </c>
      <c r="G49" s="68">
        <f t="shared" si="9"/>
        <v>0.15066115702479349</v>
      </c>
      <c r="H49" s="1" t="str">
        <f>'PQ PECOM'!C13</f>
        <v>IPB22** - 30%CP</v>
      </c>
    </row>
    <row r="50" spans="2:8" x14ac:dyDescent="0.25">
      <c r="B50" s="50" t="s">
        <v>58</v>
      </c>
      <c r="C50" s="51">
        <f t="shared" si="7"/>
        <v>1436</v>
      </c>
      <c r="D50" s="51">
        <f t="shared" si="8"/>
        <v>43798</v>
      </c>
      <c r="E50" s="52">
        <f>'PQ PECOM'!I14</f>
        <v>5.1407999999999996</v>
      </c>
      <c r="F50" s="53">
        <f t="shared" si="6"/>
        <v>225156.75839999999</v>
      </c>
      <c r="G50" s="68">
        <f t="shared" si="9"/>
        <v>6.2148760330578458E-2</v>
      </c>
      <c r="H50" s="1" t="str">
        <f>'PQ PECOM'!C14</f>
        <v>IPB22** - 25%CP</v>
      </c>
    </row>
    <row r="51" spans="2:8" ht="15.75" thickBot="1" x14ac:dyDescent="0.3">
      <c r="B51" s="34" t="s">
        <v>59</v>
      </c>
      <c r="C51" s="35">
        <f t="shared" si="7"/>
        <v>1436</v>
      </c>
      <c r="D51" s="35">
        <f t="shared" si="8"/>
        <v>43798</v>
      </c>
      <c r="E51" s="36">
        <f>'PQ PECOM'!I15</f>
        <v>4.8194999999999997</v>
      </c>
      <c r="F51" s="37">
        <f t="shared" si="6"/>
        <v>211084.46099999998</v>
      </c>
      <c r="G51" s="68">
        <f t="shared" si="9"/>
        <v>-4.2355371900826833E-3</v>
      </c>
      <c r="H51" s="1" t="str">
        <f>'PQ PECOM'!C15</f>
        <v>IPB22** - 20%CP</v>
      </c>
    </row>
    <row r="53" spans="2:8" x14ac:dyDescent="0.25">
      <c r="C53">
        <f>C51*30.5</f>
        <v>43798</v>
      </c>
      <c r="E53" s="67">
        <f>E47*0.95</f>
        <v>5.2373499999999993</v>
      </c>
    </row>
  </sheetData>
  <mergeCells count="4">
    <mergeCell ref="C10:F10"/>
    <mergeCell ref="C28:F28"/>
    <mergeCell ref="I29:K29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175-76CA-4722-90D8-E271E1481EE8}">
  <dimension ref="A1:N18"/>
  <sheetViews>
    <sheetView workbookViewId="0">
      <selection activeCell="P16" sqref="P16"/>
    </sheetView>
  </sheetViews>
  <sheetFormatPr baseColWidth="10" defaultRowHeight="15" x14ac:dyDescent="0.25"/>
  <cols>
    <col min="3" max="3" width="15.7109375" customWidth="1"/>
  </cols>
  <sheetData>
    <row r="1" spans="1:14" x14ac:dyDescent="0.25">
      <c r="A1" t="s">
        <v>15</v>
      </c>
      <c r="C1">
        <v>853</v>
      </c>
      <c r="D1" s="11">
        <v>45372</v>
      </c>
      <c r="E1" t="s">
        <v>16</v>
      </c>
      <c r="M1" s="75" t="s">
        <v>17</v>
      </c>
      <c r="N1" s="76"/>
    </row>
    <row r="2" spans="1:14" x14ac:dyDescent="0.25">
      <c r="M2" s="77">
        <v>5.5E-2</v>
      </c>
      <c r="N2" s="78"/>
    </row>
    <row r="3" spans="1:14" ht="26.25" thickBot="1" x14ac:dyDescent="0.3">
      <c r="A3" s="12" t="s">
        <v>18</v>
      </c>
      <c r="B3" s="13" t="s">
        <v>19</v>
      </c>
      <c r="C3" s="14" t="s">
        <v>20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6" t="s">
        <v>30</v>
      </c>
      <c r="N3" s="16" t="s">
        <v>30</v>
      </c>
    </row>
    <row r="4" spans="1:14" ht="35.25" customHeight="1" thickBot="1" x14ac:dyDescent="0.3">
      <c r="A4" s="17" t="s">
        <v>9</v>
      </c>
      <c r="B4" s="18" t="s">
        <v>31</v>
      </c>
      <c r="C4" s="19" t="s">
        <v>42</v>
      </c>
      <c r="D4" s="20">
        <v>3.9</v>
      </c>
      <c r="E4" s="21">
        <f>1436*30.5</f>
        <v>43798</v>
      </c>
      <c r="F4" s="20"/>
      <c r="G4" s="22">
        <f>(843+421+345)/22/C1</f>
        <v>8.5740168389640839E-2</v>
      </c>
      <c r="H4" s="22">
        <f>+D4+G4+F4</f>
        <v>3.9857401683896407</v>
      </c>
      <c r="I4" s="23">
        <v>6.35</v>
      </c>
      <c r="J4" s="24">
        <f>I4/H4</f>
        <v>1.5931796182703979</v>
      </c>
      <c r="K4" s="21">
        <f>E4*H4</f>
        <v>174567.44789512947</v>
      </c>
      <c r="L4" s="21">
        <f>I4*E4</f>
        <v>278117.3</v>
      </c>
      <c r="M4" s="21">
        <f>ROUND(L4-K4-$M$2*L4,0)</f>
        <v>88253</v>
      </c>
      <c r="N4" s="25">
        <f t="shared" ref="N4" si="0">+M4/L4</f>
        <v>0.3173229425138242</v>
      </c>
    </row>
    <row r="5" spans="1:14" ht="35.25" customHeight="1" thickBot="1" x14ac:dyDescent="0.3">
      <c r="A5" s="17" t="s">
        <v>9</v>
      </c>
      <c r="B5" s="18" t="s">
        <v>31</v>
      </c>
      <c r="C5" s="19" t="s">
        <v>35</v>
      </c>
      <c r="D5" s="20">
        <v>3.9</v>
      </c>
      <c r="E5" s="21">
        <f>E4</f>
        <v>43798</v>
      </c>
      <c r="F5" s="20"/>
      <c r="G5" s="22">
        <v>0.09</v>
      </c>
      <c r="H5" s="22">
        <f>+D5+G5+F5</f>
        <v>3.9899999999999998</v>
      </c>
      <c r="I5" s="23">
        <v>6.22</v>
      </c>
      <c r="J5" s="24">
        <f>I5/H5</f>
        <v>1.5588972431077694</v>
      </c>
      <c r="K5" s="21">
        <f>E5*H5</f>
        <v>174754.02</v>
      </c>
      <c r="L5" s="21">
        <f>I5*E5</f>
        <v>272423.56</v>
      </c>
      <c r="M5" s="21">
        <f>ROUND(L5-K5-$M$2*L5,0)</f>
        <v>82686</v>
      </c>
      <c r="N5" s="25">
        <f t="shared" ref="N5" si="1">+M5/L5</f>
        <v>0.30352000392330236</v>
      </c>
    </row>
    <row r="6" spans="1:14" ht="35.25" customHeight="1" thickBot="1" x14ac:dyDescent="0.3">
      <c r="A6" s="17" t="s">
        <v>9</v>
      </c>
      <c r="B6" s="18" t="s">
        <v>31</v>
      </c>
      <c r="C6" s="19" t="s">
        <v>36</v>
      </c>
      <c r="D6" s="20">
        <v>3.9</v>
      </c>
      <c r="E6" s="21">
        <f>E5</f>
        <v>43798</v>
      </c>
      <c r="F6" s="20"/>
      <c r="G6" s="22">
        <v>0.09</v>
      </c>
      <c r="H6" s="22">
        <f>+D6+G6+F6</f>
        <v>3.9899999999999998</v>
      </c>
      <c r="I6" s="23">
        <v>5.74</v>
      </c>
      <c r="J6" s="24">
        <f>I6/H6</f>
        <v>1.4385964912280702</v>
      </c>
      <c r="K6" s="21">
        <f>E6*H6</f>
        <v>174754.02</v>
      </c>
      <c r="L6" s="21">
        <f>I6*E6</f>
        <v>251400.52000000002</v>
      </c>
      <c r="M6" s="21">
        <f>ROUND(L6-K6-$M$2*L6,0)</f>
        <v>62819</v>
      </c>
      <c r="N6" s="25">
        <f t="shared" ref="N6" si="2">+M6/L6</f>
        <v>0.24987617368492315</v>
      </c>
    </row>
    <row r="7" spans="1:14" ht="35.25" customHeight="1" thickBot="1" x14ac:dyDescent="0.3">
      <c r="A7" s="17" t="s">
        <v>9</v>
      </c>
      <c r="B7" s="18" t="s">
        <v>31</v>
      </c>
      <c r="C7" s="19" t="s">
        <v>49</v>
      </c>
      <c r="D7" s="20">
        <v>3.9</v>
      </c>
      <c r="E7" s="21">
        <f>E6</f>
        <v>43798</v>
      </c>
      <c r="F7" s="20"/>
      <c r="G7" s="22">
        <v>0.09</v>
      </c>
      <c r="H7" s="22">
        <f>+D7+G7+F7</f>
        <v>3.9899999999999998</v>
      </c>
      <c r="I7" s="23">
        <v>5.38</v>
      </c>
      <c r="J7" s="24">
        <f>I7/H7</f>
        <v>1.3483709273182958</v>
      </c>
      <c r="K7" s="21">
        <f>E7*H7</f>
        <v>174754.02</v>
      </c>
      <c r="L7" s="21">
        <f>I7*E7</f>
        <v>235633.24</v>
      </c>
      <c r="M7" s="21">
        <f>ROUND(L7-K7-$M$2*L7,0)</f>
        <v>47919</v>
      </c>
      <c r="N7" s="25">
        <f t="shared" ref="N7" si="3">+M7/L7</f>
        <v>0.20336264951413477</v>
      </c>
    </row>
    <row r="8" spans="1:14" ht="6.75" customHeight="1" thickBot="1" x14ac:dyDescent="0.3"/>
    <row r="9" spans="1:14" ht="35.25" customHeight="1" thickBot="1" x14ac:dyDescent="0.3">
      <c r="A9" s="17" t="s">
        <v>9</v>
      </c>
      <c r="B9" s="18" t="s">
        <v>31</v>
      </c>
      <c r="C9" s="19" t="s">
        <v>60</v>
      </c>
      <c r="D9" s="20">
        <v>3.61</v>
      </c>
      <c r="E9" s="21">
        <f>E7</f>
        <v>43798</v>
      </c>
      <c r="F9" s="20"/>
      <c r="G9" s="22">
        <v>0.09</v>
      </c>
      <c r="H9" s="22">
        <f>+D9+G9+F9</f>
        <v>3.6999999999999997</v>
      </c>
      <c r="I9" s="23">
        <f>J9*H9</f>
        <v>5.6979999999999995</v>
      </c>
      <c r="J9" s="24">
        <v>1.54</v>
      </c>
      <c r="K9" s="21">
        <f>E9*H9</f>
        <v>162052.59999999998</v>
      </c>
      <c r="L9" s="21">
        <f>I9*E9</f>
        <v>249561.00399999999</v>
      </c>
      <c r="M9" s="21">
        <f>ROUND(L9-K9-$M$2*L9,0)</f>
        <v>73783</v>
      </c>
      <c r="N9" s="25">
        <f t="shared" ref="N9" si="4">+M9/L9</f>
        <v>0.29565115870426617</v>
      </c>
    </row>
    <row r="10" spans="1:14" ht="35.25" customHeight="1" thickBot="1" x14ac:dyDescent="0.3">
      <c r="A10" s="17" t="s">
        <v>9</v>
      </c>
      <c r="B10" s="18" t="s">
        <v>31</v>
      </c>
      <c r="C10" s="19" t="s">
        <v>67</v>
      </c>
      <c r="D10" s="20">
        <v>3.61</v>
      </c>
      <c r="E10" s="21">
        <f>E9</f>
        <v>43798</v>
      </c>
      <c r="F10" s="20"/>
      <c r="G10" s="22">
        <v>0.09</v>
      </c>
      <c r="H10" s="22">
        <f>+D10+G10+F10</f>
        <v>3.6999999999999997</v>
      </c>
      <c r="I10" s="23">
        <f>J10*H10</f>
        <v>5.5129999999999999</v>
      </c>
      <c r="J10" s="24">
        <v>1.49</v>
      </c>
      <c r="K10" s="21">
        <f>E10*H10</f>
        <v>162052.59999999998</v>
      </c>
      <c r="L10" s="21">
        <f>I10*E10</f>
        <v>241458.37399999998</v>
      </c>
      <c r="M10" s="21">
        <f>ROUND(L10-K10-$M$2*L10,0)</f>
        <v>66126</v>
      </c>
      <c r="N10" s="25">
        <f t="shared" ref="N10:N13" si="5">+M10/L10</f>
        <v>0.2738608684576001</v>
      </c>
    </row>
    <row r="11" spans="1:14" ht="35.25" customHeight="1" thickBot="1" x14ac:dyDescent="0.3">
      <c r="A11" s="80" t="s">
        <v>9</v>
      </c>
      <c r="B11" s="81" t="s">
        <v>31</v>
      </c>
      <c r="C11" s="82" t="s">
        <v>61</v>
      </c>
      <c r="D11" s="83">
        <v>3.61</v>
      </c>
      <c r="E11" s="84">
        <f>E10</f>
        <v>43798</v>
      </c>
      <c r="F11" s="83"/>
      <c r="G11" s="85">
        <v>0.09</v>
      </c>
      <c r="H11" s="85">
        <f>+D11+G11+F11</f>
        <v>3.6999999999999997</v>
      </c>
      <c r="I11" s="86">
        <f>J11*H11</f>
        <v>5.3279999999999994</v>
      </c>
      <c r="J11" s="87">
        <v>1.44</v>
      </c>
      <c r="K11" s="84">
        <f>E11*H11</f>
        <v>162052.59999999998</v>
      </c>
      <c r="L11" s="84">
        <f>I11*E11</f>
        <v>233355.74399999998</v>
      </c>
      <c r="M11" s="84">
        <f>ROUND(L11-K11-$M$2*L11,0)</f>
        <v>58469</v>
      </c>
      <c r="N11" s="88">
        <f t="shared" ref="N11" si="6">+M11/L11</f>
        <v>0.2505573636104711</v>
      </c>
    </row>
    <row r="12" spans="1:14" ht="9" customHeight="1" thickBot="1" x14ac:dyDescent="0.3">
      <c r="A12" s="58"/>
      <c r="B12" s="59"/>
      <c r="C12" s="60"/>
      <c r="D12" s="61"/>
      <c r="E12" s="62"/>
      <c r="F12" s="61"/>
      <c r="G12" s="63"/>
      <c r="H12" s="63"/>
      <c r="I12" s="64"/>
      <c r="J12" s="65"/>
      <c r="K12" s="62"/>
      <c r="L12" s="62"/>
      <c r="M12" s="62"/>
      <c r="N12" s="66"/>
    </row>
    <row r="13" spans="1:14" ht="35.25" customHeight="1" thickBot="1" x14ac:dyDescent="0.3">
      <c r="A13" s="17" t="s">
        <v>9</v>
      </c>
      <c r="B13" s="18" t="s">
        <v>31</v>
      </c>
      <c r="C13" s="19" t="s">
        <v>63</v>
      </c>
      <c r="D13" s="20">
        <v>3.48</v>
      </c>
      <c r="E13" s="21">
        <f>E14</f>
        <v>43798</v>
      </c>
      <c r="F13" s="20"/>
      <c r="G13" s="22">
        <v>0.09</v>
      </c>
      <c r="H13" s="22">
        <f>+D13+G13+F13</f>
        <v>3.57</v>
      </c>
      <c r="I13" s="23">
        <f>J13*H13</f>
        <v>5.5692000000000004</v>
      </c>
      <c r="J13" s="24">
        <v>1.56</v>
      </c>
      <c r="K13" s="21">
        <f>E13*H13</f>
        <v>156358.85999999999</v>
      </c>
      <c r="L13" s="21">
        <f>I13*E13</f>
        <v>243919.82160000002</v>
      </c>
      <c r="M13" s="21">
        <f>ROUND(L13-K13-$M$2*L13,0)</f>
        <v>74145</v>
      </c>
      <c r="N13" s="25">
        <f t="shared" si="5"/>
        <v>0.30397283629367822</v>
      </c>
    </row>
    <row r="14" spans="1:14" ht="35.25" customHeight="1" thickBot="1" x14ac:dyDescent="0.3">
      <c r="A14" s="17" t="s">
        <v>9</v>
      </c>
      <c r="B14" s="18" t="s">
        <v>31</v>
      </c>
      <c r="C14" s="19" t="s">
        <v>62</v>
      </c>
      <c r="D14" s="20">
        <v>3.48</v>
      </c>
      <c r="E14" s="21">
        <f>E9</f>
        <v>43798</v>
      </c>
      <c r="F14" s="20"/>
      <c r="G14" s="22">
        <v>0.09</v>
      </c>
      <c r="H14" s="22">
        <f>+D14+G14+F14</f>
        <v>3.57</v>
      </c>
      <c r="I14" s="23">
        <f>J14*H14</f>
        <v>5.1407999999999996</v>
      </c>
      <c r="J14" s="24">
        <v>1.44</v>
      </c>
      <c r="K14" s="21">
        <f>E14*H14</f>
        <v>156358.85999999999</v>
      </c>
      <c r="L14" s="21">
        <f>I14*E14</f>
        <v>225156.75839999999</v>
      </c>
      <c r="M14" s="21">
        <f>ROUND(L14-K14-$M$2*L14,0)</f>
        <v>56414</v>
      </c>
      <c r="N14" s="25">
        <f>+M14/L14</f>
        <v>0.25055432668726857</v>
      </c>
    </row>
    <row r="15" spans="1:14" ht="35.25" customHeight="1" thickBot="1" x14ac:dyDescent="0.3">
      <c r="A15" s="17" t="s">
        <v>9</v>
      </c>
      <c r="B15" s="18" t="s">
        <v>31</v>
      </c>
      <c r="C15" s="19" t="s">
        <v>64</v>
      </c>
      <c r="D15" s="20">
        <v>3.48</v>
      </c>
      <c r="E15" s="21">
        <f>E10</f>
        <v>43798</v>
      </c>
      <c r="F15" s="20"/>
      <c r="G15" s="22">
        <v>0.09</v>
      </c>
      <c r="H15" s="22">
        <f>+D15+G15+F15</f>
        <v>3.57</v>
      </c>
      <c r="I15" s="23">
        <f>J15*H15</f>
        <v>4.8194999999999997</v>
      </c>
      <c r="J15" s="24">
        <v>1.35</v>
      </c>
      <c r="K15" s="21">
        <f>E15*H15</f>
        <v>156358.85999999999</v>
      </c>
      <c r="L15" s="21">
        <f>I15*E15</f>
        <v>211084.46099999998</v>
      </c>
      <c r="M15" s="21">
        <f>ROUND(L15-K15-$M$2*L15,0)</f>
        <v>43116</v>
      </c>
      <c r="N15" s="25">
        <f>+M15/L15</f>
        <v>0.20425946938841702</v>
      </c>
    </row>
    <row r="17" spans="2:5" ht="15" customHeight="1" x14ac:dyDescent="0.25">
      <c r="B17" s="57" t="s">
        <v>51</v>
      </c>
      <c r="C17" s="79" t="s">
        <v>53</v>
      </c>
      <c r="D17" s="79"/>
      <c r="E17" s="79"/>
    </row>
    <row r="18" spans="2:5" ht="15" customHeight="1" x14ac:dyDescent="0.25">
      <c r="B18" s="57" t="s">
        <v>52</v>
      </c>
      <c r="C18" s="79" t="s">
        <v>54</v>
      </c>
      <c r="D18" s="79"/>
      <c r="E18" s="79"/>
    </row>
  </sheetData>
  <mergeCells count="4">
    <mergeCell ref="M1:N1"/>
    <mergeCell ref="M2:N2"/>
    <mergeCell ref="C17:E17"/>
    <mergeCell ref="C18:E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98AEB958-D2AC-4EC6-92B7-1C4143541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14FA8-4B08-40D9-9137-5EE36333EC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5305F-E656-4531-99A8-BC92EDB67222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Actual Champion X</vt:lpstr>
      <vt:lpstr>PQ PECOM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Bergerat, Juan Gabriel</cp:lastModifiedBy>
  <dcterms:created xsi:type="dcterms:W3CDTF">2024-03-20T12:02:44Z</dcterms:created>
  <dcterms:modified xsi:type="dcterms:W3CDTF">2024-05-22T13:10:14Z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