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comments9.xml" ContentType="application/vnd.openxmlformats-officedocument.spreadsheetml.comments+xml"/>
  <Override PartName="/xl/drawings/drawing17.xml" ContentType="application/vnd.openxmlformats-officedocument.drawing+xml"/>
  <Override PartName="/xl/comments10.xml" ContentType="application/vnd.openxmlformats-officedocument.spreadsheetml.comments+xml"/>
  <Override PartName="/xl/drawings/drawing18.xml" ContentType="application/vnd.openxmlformats-officedocument.drawing+xml"/>
  <Override PartName="/xl/comments11.xml" ContentType="application/vnd.openxmlformats-officedocument.spreadsheetml.comments+xml"/>
  <Override PartName="/xl/drawings/drawing19.xml" ContentType="application/vnd.openxmlformats-officedocument.drawing+xml"/>
  <Override PartName="/xl/comments12.xml" ContentType="application/vnd.openxmlformats-officedocument.spreadsheetml.comments+xml"/>
  <Override PartName="/xl/drawings/drawing20.xml" ContentType="application/vnd.openxmlformats-officedocument.drawing+xml"/>
  <Override PartName="/xl/comments13.xml" ContentType="application/vnd.openxmlformats-officedocument.spreadsheetml.comments+xml"/>
  <Override PartName="/xl/drawings/drawing21.xml" ContentType="application/vnd.openxmlformats-officedocument.drawing+xml"/>
  <Override PartName="/xl/comments14.xml" ContentType="application/vnd.openxmlformats-officedocument.spreadsheetml.comments+xml"/>
  <Override PartName="/xl/drawings/drawing22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5.May-24/1. PLUSPE-SALTA/"/>
    </mc:Choice>
  </mc:AlternateContent>
  <xr:revisionPtr revIDLastSave="405" documentId="8_{5E3F0F7E-F3C7-417A-B5C5-1E8C8C351D8B}" xr6:coauthVersionLast="47" xr6:coauthVersionMax="47" xr10:uidLastSave="{07F5F9F3-D395-46FB-AA61-8BE26AC35D82}"/>
  <bookViews>
    <workbookView xWindow="-120" yWindow="-120" windowWidth="24240" windowHeight="13140" tabRatio="885" activeTab="6" xr2:uid="{00000000-000D-0000-FFFF-FFFF00000000}"/>
  </bookViews>
  <sheets>
    <sheet name="Planilla Certificacion " sheetId="1" r:id="rId1"/>
    <sheet name="Monitoreo de Scio" sheetId="72" r:id="rId2"/>
    <sheet name="Monitoreo de PQ" sheetId="79" r:id="rId3"/>
    <sheet name="WPU06" sheetId="78" r:id="rId4"/>
    <sheet name="USD" sheetId="76" r:id="rId5"/>
    <sheet name="Ce-1458" sheetId="37" state="hidden" r:id="rId6"/>
    <sheet name="MO 2023-24" sheetId="80" r:id="rId7"/>
    <sheet name="IPIM" sheetId="74" r:id="rId8"/>
    <sheet name="GO" sheetId="75" r:id="rId9"/>
    <sheet name="Pta Vanson" sheetId="58" state="hidden" r:id="rId10"/>
    <sheet name="Pta Vanson (2)" sheetId="59" state="hidden" r:id="rId11"/>
    <sheet name="Pta Vanson (3)" sheetId="60" state="hidden" r:id="rId12"/>
    <sheet name="R-11" sheetId="61" state="hidden" r:id="rId13"/>
    <sheet name="R-15" sheetId="66" state="hidden" r:id="rId14"/>
    <sheet name="R-1003" sheetId="67" state="hidden" r:id="rId15"/>
    <sheet name="R-1003 (2)" sheetId="68" state="hidden" r:id="rId16"/>
    <sheet name="R-1004" sheetId="63" state="hidden" r:id="rId17"/>
    <sheet name="R-1005" sheetId="55" state="hidden" r:id="rId18"/>
    <sheet name="R-1007" sheetId="56" state="hidden" r:id="rId19"/>
    <sheet name="R-1007 (2)" sheetId="69" state="hidden" r:id="rId20"/>
    <sheet name="R-1009" sheetId="64" state="hidden" r:id="rId21"/>
    <sheet name="R-1010" sheetId="65" state="hidden" r:id="rId22"/>
    <sheet name="R-1011" sheetId="70" state="hidden" r:id="rId23"/>
    <sheet name="R-1011 (2)" sheetId="71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\0" localSheetId="6">#REF!</definedName>
    <definedName name="\0">#REF!</definedName>
    <definedName name="\00" localSheetId="6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6" hidden="1">#REF!</definedName>
    <definedName name="_Fill" hidden="1">#REF!</definedName>
    <definedName name="_GOR2">#REF!</definedName>
    <definedName name="_Key1" localSheetId="6" hidden="1">#REF!</definedName>
    <definedName name="_Key1" hidden="1">#REF!</definedName>
    <definedName name="_Key2" localSheetId="6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6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localSheetId="6" hidden="1">#REF!</definedName>
    <definedName name="aa" hidden="1">#REF!</definedName>
    <definedName name="aaaa" localSheetId="6" hidden="1">#REF!</definedName>
    <definedName name="aaaa" hidden="1">#REF!</definedName>
    <definedName name="AbrirImprimir" localSheetId="6">[8]!AbrirImprimir</definedName>
    <definedName name="AbrirImprimir" localSheetId="2">[8]!AbrirImprimir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localSheetId="6" hidden="1">#REF!</definedName>
    <definedName name="aqerqwer" hidden="1">#REF!</definedName>
    <definedName name="areaniv" localSheetId="6">#REF!</definedName>
    <definedName name="areaniv">#REF!</definedName>
    <definedName name="ary">#REF!</definedName>
    <definedName name="asd">#REF!</definedName>
    <definedName name="asdf">#REF!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 localSheetId="6">[8]!BorrarHoja</definedName>
    <definedName name="BorrarHoja" localSheetId="2">[8]!BorrarHoja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 localSheetId="6">'MO 2023-24'!continua</definedName>
    <definedName name="continua">[0]!continua</definedName>
    <definedName name="controasist">[32]Hoja1!$H$1:$H$4</definedName>
    <definedName name="Control" localSheetId="6">#REF!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 localSheetId="6">#REF!</definedName>
    <definedName name="COTA">#REF!</definedName>
    <definedName name="Coti" localSheetId="6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 localSheetId="6">#REF!</definedName>
    <definedName name="CP">#REF!</definedName>
    <definedName name="CPG" localSheetId="6">#REF!</definedName>
    <definedName name="CPG">#REF!</definedName>
    <definedName name="CPL" localSheetId="6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 localSheetId="6">#REF!</definedName>
    <definedName name="Datosaingresar">#REF!</definedName>
    <definedName name="datosimp" localSheetId="6">#REF!</definedName>
    <definedName name="datosimp">#REF!</definedName>
    <definedName name="datosparo" localSheetId="6">#REF!</definedName>
    <definedName name="datosparo">#REF!</definedName>
    <definedName name="dd" localSheetId="6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 localSheetId="6">#REF!</definedName>
    <definedName name="det">#REF!</definedName>
    <definedName name="dete" localSheetId="6">#REF!</definedName>
    <definedName name="dete">#REF!</definedName>
    <definedName name="dhsl" localSheetId="6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 localSheetId="6">#REF!</definedName>
    <definedName name="DIFF">#REF!</definedName>
    <definedName name="Dirección" localSheetId="6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 localSheetId="6">#REF!</definedName>
    <definedName name="EMPRESA_DEL_GRUPO">#REF!</definedName>
    <definedName name="END" localSheetId="6">'MO 2023-24'!END</definedName>
    <definedName name="END">[0]!END</definedName>
    <definedName name="entAPI" localSheetId="6">#REF!</definedName>
    <definedName name="entAPI">#REF!</definedName>
    <definedName name="entBAF">'[16]Entrada Tk Bafle'!$A$7:$P$81</definedName>
    <definedName name="enter150" localSheetId="6">#REF!</definedName>
    <definedName name="enter150">#REF!</definedName>
    <definedName name="enter600" localSheetId="6">#REF!</definedName>
    <definedName name="enter600">#REF!</definedName>
    <definedName name="entidad" localSheetId="6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6">#REF!</definedName>
    <definedName name="et">#REF!</definedName>
    <definedName name="ETAPA">[38]MODELO!$D$7</definedName>
    <definedName name="EVI" localSheetId="6">#REF!</definedName>
    <definedName name="EVI">#REF!</definedName>
    <definedName name="ex_despues" localSheetId="6">#REF!</definedName>
    <definedName name="ex_despues">#REF!</definedName>
    <definedName name="exdesp" localSheetId="6">[21]Sheet1!#REF!</definedName>
    <definedName name="exdesp">[21]Sheet1!#REF!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 localSheetId="6">#REF!</definedName>
    <definedName name="Fecha">#REF!</definedName>
    <definedName name="Fecha_Antes" localSheetId="6">#REF!</definedName>
    <definedName name="Fecha_Antes">#REF!</definedName>
    <definedName name="Fecha_Cierre">'[12]Datos Generales'!$C$3</definedName>
    <definedName name="Fecha_despues" localSheetId="6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 localSheetId="6">#REF!</definedName>
    <definedName name="FTF">#REF!</definedName>
    <definedName name="FU" localSheetId="6">#REF!</definedName>
    <definedName name="FU">#REF!</definedName>
    <definedName name="fv" localSheetId="6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 localSheetId="6">#REF!</definedName>
    <definedName name="GAST">#REF!</definedName>
    <definedName name="GC3500_PRICES">'[42]MASTER TABLE'!$I$547:$I$564</definedName>
    <definedName name="GDEP" localSheetId="6">#REF!</definedName>
    <definedName name="GDEP">#REF!</definedName>
    <definedName name="GENERAL">#N/A</definedName>
    <definedName name="GETDAT" localSheetId="6">#REF!</definedName>
    <definedName name="GETDAT">#REF!</definedName>
    <definedName name="gf" localSheetId="6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 localSheetId="6">[8]!GrabarCambios</definedName>
    <definedName name="GrabarCambios" localSheetId="2">[8]!GrabarCambios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 localSheetId="6">#REF!</definedName>
    <definedName name="HeatValue">#REF!</definedName>
    <definedName name="HERRA" localSheetId="6">#REF!</definedName>
    <definedName name="HERRA">#REF!</definedName>
    <definedName name="herramientas" localSheetId="6">[44]Equipos!#REF!</definedName>
    <definedName name="herramientas">[44]Equipos!#REF!</definedName>
    <definedName name="hh" localSheetId="6">#REF!</definedName>
    <definedName name="hh">#REF!</definedName>
    <definedName name="hi" localSheetId="6">#REF!</definedName>
    <definedName name="hi">#REF!</definedName>
    <definedName name="Hijo1" localSheetId="6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 localSheetId="6">#REF!</definedName>
    <definedName name="Income">#REF!</definedName>
    <definedName name="Indices">[46]Validaciones!$B$79:$B$83</definedName>
    <definedName name="InfoGlob">'[47]Informe global'!$A$6:$AA$90</definedName>
    <definedName name="INI" localSheetId="6">#REF!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 localSheetId="6">#REF!</definedName>
    <definedName name="INT">#REF!</definedName>
    <definedName name="INV" localSheetId="6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 localSheetId="6">#REF!</definedName>
    <definedName name="j">#REF!</definedName>
    <definedName name="jj" localSheetId="6">#REF!</definedName>
    <definedName name="jj">#REF!</definedName>
    <definedName name="JJJF">'[7]PROD DIA Y MES'!$A$1:$P$55</definedName>
    <definedName name="k" localSheetId="6">#REF!</definedName>
    <definedName name="k">#REF!</definedName>
    <definedName name="KFAC" localSheetId="6">#REF!</definedName>
    <definedName name="KFAC">#REF!</definedName>
    <definedName name="kk" localSheetId="6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 localSheetId="6">#REF!</definedName>
    <definedName name="ListaCombustibles">#REF!</definedName>
    <definedName name="ListaModelos">'[51]Controles procesos'!$B$29:$B$37</definedName>
    <definedName name="ListaNeumaticos" localSheetId="6">#REF!</definedName>
    <definedName name="ListaNeumaticos">#REF!</definedName>
    <definedName name="ListaSueldos" localSheetId="6">#REF!</definedName>
    <definedName name="ListaSueldos">#REF!</definedName>
    <definedName name="ListaTiemposUnidades">[50]Datos!$K$6:$K$10</definedName>
    <definedName name="ll" localSheetId="6">#REF!</definedName>
    <definedName name="ll">#REF!</definedName>
    <definedName name="LOC" localSheetId="6">#REF!</definedName>
    <definedName name="LOC">#REF!</definedName>
    <definedName name="LubeF4000" localSheetId="6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6">'MO 2023-24'!Macro1</definedName>
    <definedName name="Macro1">[0]!Macro1</definedName>
    <definedName name="Macro10" localSheetId="6">'MO 2023-24'!Macro10</definedName>
    <definedName name="Macro10">[0]!Macro10</definedName>
    <definedName name="Macro2" localSheetId="6">'MO 2023-24'!Macro2</definedName>
    <definedName name="Macro2">[0]!Macro2</definedName>
    <definedName name="Macro20" localSheetId="6">'MO 2023-24'!Macro20</definedName>
    <definedName name="Macro20">[0]!Macro20</definedName>
    <definedName name="Macro4" localSheetId="6">[8]!Macro4</definedName>
    <definedName name="Macro4" localSheetId="2">[8]!Macro4</definedName>
    <definedName name="Macro4">[8]!Macro4</definedName>
    <definedName name="Macro6" localSheetId="6">'MO 2023-24'!Macro6</definedName>
    <definedName name="Macro6">[0]!Macro6</definedName>
    <definedName name="Macro60" localSheetId="6">'MO 2023-24'!Macro60</definedName>
    <definedName name="Macro60">[0]!Macro60</definedName>
    <definedName name="Macro7" localSheetId="6">'MO 2023-24'!Macro7</definedName>
    <definedName name="Macro7">[0]!Macro7</definedName>
    <definedName name="Macro70" localSheetId="6">'MO 2023-24'!Macro70</definedName>
    <definedName name="Macro70">[0]!Macro70</definedName>
    <definedName name="ManejoDefensivo" localSheetId="6">#REF!</definedName>
    <definedName name="ManejoDefensivo">#REF!</definedName>
    <definedName name="maquina1">[32]Hoja1!$E$1:$E$14</definedName>
    <definedName name="Máquinas">[9]Maq!$A$6:$A$33</definedName>
    <definedName name="mas" localSheetId="6">#REF!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 localSheetId="6">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 localSheetId="6">[8]!Módulo3.Sector2</definedName>
    <definedName name="Módulo3.Sector2" localSheetId="2">[8]!Módulo3.Sector2</definedName>
    <definedName name="Módulo3.Sector2">[8]!Módulo3.Sector2</definedName>
    <definedName name="Módulo4.Sector3" localSheetId="6">[8]!Módulo4.Sector3</definedName>
    <definedName name="Módulo4.Sector3" localSheetId="2">[8]!Módulo4.Sector3</definedName>
    <definedName name="Módulo4.Sector3">[8]!Módulo4.Sector3</definedName>
    <definedName name="Módulo5.Sector4" localSheetId="6">[8]!Módulo5.Sector4</definedName>
    <definedName name="Módulo5.Sector4" localSheetId="2">[8]!Módulo5.Sector4</definedName>
    <definedName name="Módulo5.Sector4">[8]!Módulo5.Sector4</definedName>
    <definedName name="Módulo6.Sector5" localSheetId="6">[8]!Módulo6.Sector5</definedName>
    <definedName name="Módulo6.Sector5" localSheetId="2">[8]!Módulo6.Sector5</definedName>
    <definedName name="Módulo6.Sector5">[8]!Módulo6.Sector5</definedName>
    <definedName name="MOI">#REF!</definedName>
    <definedName name="Moneda">[12]Resumen!$X$2</definedName>
    <definedName name="MONTO" localSheetId="6">#REF!</definedName>
    <definedName name="MONTO">#REF!</definedName>
    <definedName name="Monto_Descuento_Bolívares" localSheetId="6">#REF!</definedName>
    <definedName name="Monto_Descuento_Bolívares">#REF!</definedName>
    <definedName name="Monto_Descuento_Dólares" localSheetId="6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 localSheetId="6">#REF!</definedName>
    <definedName name="MSG">#REF!</definedName>
    <definedName name="MSG0" localSheetId="6">#REF!</definedName>
    <definedName name="MSG0">#REF!</definedName>
    <definedName name="MtoF4000" localSheetId="6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 localSheetId="6">#REF!</definedName>
    <definedName name="nbreTotal1">#REF!</definedName>
    <definedName name="nbreTotal10" localSheetId="6">#REF!</definedName>
    <definedName name="nbreTotal10">#REF!</definedName>
    <definedName name="nbreTotal2" localSheetId="6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 localSheetId="6">#REF!</definedName>
    <definedName name="NeumaticosF4000">#REF!</definedName>
    <definedName name="NeumaticosPerf" localSheetId="6">#REF!</definedName>
    <definedName name="NeumaticosPerf">#REF!</definedName>
    <definedName name="NeumaticosRanger" localSheetId="6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 localSheetId="6">#REF!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 localSheetId="6">#REF!</definedName>
    <definedName name="OILT">#REF!</definedName>
    <definedName name="OiltransC" localSheetId="6">#REF!</definedName>
    <definedName name="OiltransC">#REF!</definedName>
    <definedName name="OPC_ELEG" localSheetId="6">[1]Sheet5!#REF!</definedName>
    <definedName name="OPC_ELEG">[1]Sheet5!#REF!</definedName>
    <definedName name="operador" localSheetId="6">#REF!</definedName>
    <definedName name="operador">#REF!</definedName>
    <definedName name="Operadores" localSheetId="6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6">#REF!</definedName>
    <definedName name="Overhead">#REF!</definedName>
    <definedName name="p" localSheetId="6">#REF!</definedName>
    <definedName name="p">#REF!</definedName>
    <definedName name="P.1" localSheetId="6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 localSheetId="6">#REF!</definedName>
    <definedName name="PESOS150">#REF!</definedName>
    <definedName name="pesos600" localSheetId="6">#REF!</definedName>
    <definedName name="pesos600">#REF!</definedName>
    <definedName name="PESOS83">'[55]#¡REF'!$K$28</definedName>
    <definedName name="PESOS85">'[55]RESUMEN GRAL'!#REF!</definedName>
    <definedName name="Petróleo_y_Gas_Occidente" localSheetId="6">#REF!</definedName>
    <definedName name="Petróleo_y_Gas_Occidente">#REF!</definedName>
    <definedName name="Pf" localSheetId="6">#REF!</definedName>
    <definedName name="Pf">#REF!</definedName>
    <definedName name="PGAS1" localSheetId="6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 localSheetId="6">#REF!</definedName>
    <definedName name="Pinyeccion">#REF!</definedName>
    <definedName name="PKR" localSheetId="6">#REF!</definedName>
    <definedName name="PKR">#REF!</definedName>
    <definedName name="PLA" localSheetId="6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>#REF!</definedName>
    <definedName name="pp">[39]ESPESOR!$C$13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6">#REF!,#REF!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 localSheetId="6">#REF!</definedName>
    <definedName name="production">#REF!</definedName>
    <definedName name="prof" localSheetId="6">#REF!</definedName>
    <definedName name="prof">#REF!</definedName>
    <definedName name="Proveedores" localSheetId="6">#REF!</definedName>
    <definedName name="Proveedores">#REF!</definedName>
    <definedName name="PROVINCIA">'[11]MO - Petrolero Privado'!$E$8</definedName>
    <definedName name="PRTR" localSheetId="6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 localSheetId="6">#REF!</definedName>
    <definedName name="Qabg">#REF!</definedName>
    <definedName name="Qabo" localSheetId="6">#REF!</definedName>
    <definedName name="Qabo">#REF!</definedName>
    <definedName name="qfh" localSheetId="6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 localSheetId="6">#REF!</definedName>
    <definedName name="RECUP">#REF!</definedName>
    <definedName name="RED" localSheetId="6">#REF!</definedName>
    <definedName name="RED">#REF!</definedName>
    <definedName name="Refin" localSheetId="6">#REF!</definedName>
    <definedName name="Refin">#REF!</definedName>
    <definedName name="region2">[32]Hoja1!$G$1:$G$5</definedName>
    <definedName name="renglon" localSheetId="6">#REF!</definedName>
    <definedName name="renglon">#REF!</definedName>
    <definedName name="Rep">'[45]Sop Dif '!$K$5</definedName>
    <definedName name="reparacion" localSheetId="6">#REF!</definedName>
    <definedName name="reparacion">#REF!</definedName>
    <definedName name="RES">[54]PARAM!$A$1</definedName>
    <definedName name="residuales" localSheetId="6">#REF!</definedName>
    <definedName name="residuales">#REF!</definedName>
    <definedName name="resu150" localSheetId="6">#REF!</definedName>
    <definedName name="resu150">#REF!</definedName>
    <definedName name="resum600" localSheetId="6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 localSheetId="6">#REF!</definedName>
    <definedName name="ROWS">#REF!</definedName>
    <definedName name="Roygas" localSheetId="6">#REF!</definedName>
    <definedName name="Roygas">#REF!</definedName>
    <definedName name="Royoil" localSheetId="6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 localSheetId="6">#REF!</definedName>
    <definedName name="Salesret">#REF!</definedName>
    <definedName name="Salinidad" localSheetId="6">#REF!</definedName>
    <definedName name="Salinidad">#REF!</definedName>
    <definedName name="Salinidad_Antes" localSheetId="6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 localSheetId="6">#REF!</definedName>
    <definedName name="SDAT">#REF!</definedName>
    <definedName name="Sector" localSheetId="6">#REF!</definedName>
    <definedName name="Sector">#REF!</definedName>
    <definedName name="Sector1" localSheetId="6">[8]!Sector1</definedName>
    <definedName name="Sector1" localSheetId="2">[8]!Sector1</definedName>
    <definedName name="Sector1">[8]!Sector1</definedName>
    <definedName name="Sector2">#N/A</definedName>
    <definedName name="SectorTanque1" localSheetId="6">[8]!SectorTanque1</definedName>
    <definedName name="SectorTanque1" localSheetId="2">[8]!SectorTanque1</definedName>
    <definedName name="SectorTanque1">[8]!SectorTanque1</definedName>
    <definedName name="SEG">[1]Sheet6!#REF!</definedName>
    <definedName name="Segurodeobra">[44]MOI!#REF!</definedName>
    <definedName name="SeguroRanger" localSheetId="6">#REF!</definedName>
    <definedName name="SeguroRanger">#REF!</definedName>
    <definedName name="SELECCION">[1]Sheet5!#REF!</definedName>
    <definedName name="SelloModelo">[61]DataCombos2!$D$6:$D$165</definedName>
    <definedName name="Semanas_por_mes" localSheetId="6">#REF!</definedName>
    <definedName name="Semanas_por_mes">#REF!</definedName>
    <definedName name="SEPAR" localSheetId="6">#REF!</definedName>
    <definedName name="SEPAR">#REF!</definedName>
    <definedName name="SERIE" localSheetId="6">#REF!</definedName>
    <definedName name="SERIE">#REF!</definedName>
    <definedName name="sf">[15]Data!$J$14</definedName>
    <definedName name="SH">[62]InfTerm!#REF!</definedName>
    <definedName name="shdf" localSheetId="6">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 localSheetId="6">#REF!</definedName>
    <definedName name="STARP">#REF!</definedName>
    <definedName name="STAT" localSheetId="6">#REF!</definedName>
    <definedName name="STAT">#REF!</definedName>
    <definedName name="Sub_Total_Bolívares" localSheetId="6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 localSheetId="6">#REF!</definedName>
    <definedName name="tabladatos">#REF!</definedName>
    <definedName name="TableName">"Dummy"</definedName>
    <definedName name="Tanque2" localSheetId="6">[8]!Tanque2</definedName>
    <definedName name="Tanque2" localSheetId="2">[8]!Tanque2</definedName>
    <definedName name="Tanque2">[8]!Tanque2</definedName>
    <definedName name="Tanque3" localSheetId="6">[8]!Tanque3</definedName>
    <definedName name="Tanque3" localSheetId="2">[8]!Tanque3</definedName>
    <definedName name="Tanque3">[8]!Tanque3</definedName>
    <definedName name="Tanque4" localSheetId="6">[8]!Tanque4</definedName>
    <definedName name="Tanque4" localSheetId="2">[8]!Tanque4</definedName>
    <definedName name="Tanque4">[8]!Tanque4</definedName>
    <definedName name="Tanque5" localSheetId="6">[8]!Tanque5</definedName>
    <definedName name="Tanque5" localSheetId="2">[8]!Tanque5</definedName>
    <definedName name="Tanque5">[8]!Tanque5</definedName>
    <definedName name="Tanque6" localSheetId="6">[8]!Tanque6</definedName>
    <definedName name="Tanque6" localSheetId="2">[8]!Tanque6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 localSheetId="6">#REF!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 localSheetId="6">#REF!</definedName>
    <definedName name="TP">#REF!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 localSheetId="6">#REF!</definedName>
    <definedName name="UNION150">#REF!</definedName>
    <definedName name="UNIT" localSheetId="6">#REF!</definedName>
    <definedName name="UNIT">#REF!</definedName>
    <definedName name="UNITC" localSheetId="6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 localSheetId="6">#REF!</definedName>
    <definedName name="Utilidad">#REF!</definedName>
    <definedName name="UTS">[15]Data!$K$14</definedName>
    <definedName name="uu" localSheetId="6">'MO 2023-24'!uu</definedName>
    <definedName name="uu">[0]!uu</definedName>
    <definedName name="v" localSheetId="6">#REF!</definedName>
    <definedName name="v">#REF!</definedName>
    <definedName name="V0" localSheetId="6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6">#REF!</definedName>
    <definedName name="Vehículos">#REF!</definedName>
    <definedName name="VERGUENZA" localSheetId="6">#REF!</definedName>
    <definedName name="VERGUENZA">#REF!</definedName>
    <definedName name="Vestimenta" localSheetId="6">#REF!</definedName>
    <definedName name="Vestimenta">#REF!</definedName>
    <definedName name="VfluidC">[20]Datos!$F$62</definedName>
    <definedName name="VgasC" localSheetId="6">#REF!</definedName>
    <definedName name="VgasC">#REF!</definedName>
    <definedName name="Viandas" localSheetId="6">#REF!</definedName>
    <definedName name="Viandas">#REF!</definedName>
    <definedName name="VInjecC">[20]Datos!$F$66</definedName>
    <definedName name="VM" localSheetId="6">#REF!</definedName>
    <definedName name="VM">#REF!</definedName>
    <definedName name="VnpozosC">[20]Datos!$F$72</definedName>
    <definedName name="VoilC" localSheetId="6">#REF!</definedName>
    <definedName name="VoilC">#REF!</definedName>
    <definedName name="VOLVER" localSheetId="6">[69]!VOLVER</definedName>
    <definedName name="VOLVER" localSheetId="2">[69]!VOLVER</definedName>
    <definedName name="VOLVER">[69]!VOLVER</definedName>
    <definedName name="vp">[15]Data!$H$16</definedName>
    <definedName name="VtasNetas">#REF!</definedName>
    <definedName name="VwatC">[20]Datos!#REF!</definedName>
    <definedName name="VwellC" localSheetId="6">#REF!</definedName>
    <definedName name="VwellC">#REF!</definedName>
    <definedName name="w" localSheetId="6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6" hidden="1">{#N/A,#N/A,FALSE,"SERIE_150";#N/A,#N/A,FALSE,"SERIE_600 "}</definedName>
    <definedName name="wrn.COMPUMAT." hidden="1">{#N/A,#N/A,FALSE,"SERIE_150";#N/A,#N/A,FALSE,"SERIE_600 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6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6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6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6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localSheetId="6" hidden="1">{#N/A,#N/A,FALSE,"ENE"}</definedName>
    <definedName name="wrn.pull97." hidden="1">{#N/A,#N/A,FALSE,"ENE"}</definedName>
    <definedName name="wrn.pull98." localSheetId="6" hidden="1">{#N/A,#N/A,FALSE,"ENE"}</definedName>
    <definedName name="wrn.pull98." hidden="1">{#N/A,#N/A,FALSE,"ENE"}</definedName>
    <definedName name="wrn.Sale_Local_Q2." localSheetId="6" hidden="1">{"Sales_Local_Q2",#N/A,FALSE,"Q1_2000"}</definedName>
    <definedName name="wrn.Sale_Local_Q2." hidden="1">{"Sales_Local_Q2",#N/A,FALSE,"Q1_2000"}</definedName>
    <definedName name="wrn.Sale_Local_Q4." localSheetId="6" hidden="1">{"Sales_Local_Q4",#N/A,FALSE,"Q4_1999"}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 localSheetId="6">#REF!</definedName>
    <definedName name="xxx">#REF!</definedName>
    <definedName name="xxxx" localSheetId="6">#REF!</definedName>
    <definedName name="xxxx">#REF!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 localSheetId="6">#REF!</definedName>
    <definedName name="yak">#REF!</definedName>
    <definedName name="yar" localSheetId="6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37" i="80" l="1"/>
  <c r="BE36" i="80"/>
  <c r="BE35" i="80"/>
  <c r="BD32" i="80"/>
  <c r="BF32" i="80" s="1"/>
  <c r="BE31" i="80"/>
  <c r="BD31" i="80"/>
  <c r="BF31" i="80" s="1"/>
  <c r="BE30" i="80"/>
  <c r="BD30" i="80"/>
  <c r="BF30" i="80" s="1"/>
  <c r="BD36" i="80" s="1"/>
  <c r="BF36" i="80" s="1"/>
  <c r="BE29" i="80"/>
  <c r="BE20" i="80"/>
  <c r="BD19" i="80"/>
  <c r="BF19" i="80" s="1"/>
  <c r="BE18" i="80"/>
  <c r="BD15" i="80"/>
  <c r="BF15" i="80" s="1"/>
  <c r="BE10" i="80"/>
  <c r="BF2" i="80"/>
  <c r="BD29" i="80" s="1"/>
  <c r="BF29" i="80" s="1"/>
  <c r="K11" i="72"/>
  <c r="F3" i="72"/>
  <c r="K10" i="72"/>
  <c r="K12" i="72"/>
  <c r="K13" i="72"/>
  <c r="L70" i="80"/>
  <c r="I70" i="80"/>
  <c r="F70" i="80"/>
  <c r="C70" i="80"/>
  <c r="M60" i="80"/>
  <c r="J60" i="80"/>
  <c r="G60" i="80"/>
  <c r="D60" i="80"/>
  <c r="M56" i="80"/>
  <c r="J56" i="80"/>
  <c r="G56" i="80"/>
  <c r="D56" i="80"/>
  <c r="M53" i="80"/>
  <c r="L73" i="80" s="1"/>
  <c r="J53" i="80"/>
  <c r="I73" i="80" s="1"/>
  <c r="BA37" i="80"/>
  <c r="AW37" i="80"/>
  <c r="AS37" i="80"/>
  <c r="AO37" i="80"/>
  <c r="AK37" i="80"/>
  <c r="AG37" i="80"/>
  <c r="AC37" i="80"/>
  <c r="Y37" i="80"/>
  <c r="U37" i="80"/>
  <c r="Q37" i="80"/>
  <c r="M37" i="80"/>
  <c r="I37" i="80"/>
  <c r="E37" i="80"/>
  <c r="L32" i="80"/>
  <c r="N32" i="80" s="1"/>
  <c r="H32" i="80"/>
  <c r="J32" i="80" s="1"/>
  <c r="F32" i="80"/>
  <c r="BA31" i="80"/>
  <c r="AS31" i="80"/>
  <c r="AO31" i="80"/>
  <c r="AC31" i="80"/>
  <c r="Q31" i="80"/>
  <c r="I31" i="80"/>
  <c r="F31" i="80"/>
  <c r="BA30" i="80"/>
  <c r="AO30" i="80"/>
  <c r="AC30" i="80"/>
  <c r="U30" i="80"/>
  <c r="Q30" i="80"/>
  <c r="I30" i="80"/>
  <c r="F30" i="80"/>
  <c r="D36" i="80" s="1"/>
  <c r="BA29" i="80"/>
  <c r="AW29" i="80"/>
  <c r="AS29" i="80"/>
  <c r="AO29" i="80"/>
  <c r="AK29" i="80"/>
  <c r="AG29" i="80"/>
  <c r="AC29" i="80"/>
  <c r="Y29" i="80"/>
  <c r="U29" i="80"/>
  <c r="Q29" i="80"/>
  <c r="N29" i="80"/>
  <c r="M29" i="80"/>
  <c r="L29" i="80"/>
  <c r="I29" i="80"/>
  <c r="H29" i="80"/>
  <c r="J29" i="80" s="1"/>
  <c r="E29" i="80"/>
  <c r="F29" i="80" s="1"/>
  <c r="F23" i="80"/>
  <c r="BA20" i="80"/>
  <c r="AW20" i="80"/>
  <c r="AS20" i="80"/>
  <c r="AO20" i="80"/>
  <c r="AK20" i="80"/>
  <c r="AG20" i="80"/>
  <c r="AC20" i="80"/>
  <c r="Y20" i="80"/>
  <c r="U20" i="80"/>
  <c r="Q20" i="80"/>
  <c r="M20" i="80"/>
  <c r="I20" i="80"/>
  <c r="E20" i="80"/>
  <c r="L19" i="80"/>
  <c r="N19" i="80" s="1"/>
  <c r="H19" i="80"/>
  <c r="J19" i="80" s="1"/>
  <c r="F19" i="80"/>
  <c r="BA18" i="80"/>
  <c r="AW18" i="80"/>
  <c r="AS18" i="80"/>
  <c r="AO18" i="80"/>
  <c r="AK18" i="80"/>
  <c r="AG18" i="80"/>
  <c r="AC18" i="80"/>
  <c r="Y18" i="80"/>
  <c r="U18" i="80"/>
  <c r="Q18" i="80"/>
  <c r="M18" i="80"/>
  <c r="L18" i="80"/>
  <c r="N18" i="80" s="1"/>
  <c r="I18" i="80"/>
  <c r="J18" i="80" s="1"/>
  <c r="H18" i="80"/>
  <c r="F18" i="80"/>
  <c r="E18" i="80"/>
  <c r="N17" i="80"/>
  <c r="L17" i="80"/>
  <c r="H17" i="80"/>
  <c r="J17" i="80" s="1"/>
  <c r="F17" i="80"/>
  <c r="L16" i="80"/>
  <c r="N16" i="80" s="1"/>
  <c r="H16" i="80"/>
  <c r="J16" i="80" s="1"/>
  <c r="F16" i="80"/>
  <c r="L15" i="80"/>
  <c r="N15" i="80" s="1"/>
  <c r="H15" i="80"/>
  <c r="J15" i="80" s="1"/>
  <c r="F15" i="80"/>
  <c r="L14" i="80"/>
  <c r="N14" i="80" s="1"/>
  <c r="H14" i="80"/>
  <c r="J14" i="80" s="1"/>
  <c r="F14" i="80"/>
  <c r="H13" i="80"/>
  <c r="J13" i="80" s="1"/>
  <c r="F13" i="80"/>
  <c r="D13" i="80"/>
  <c r="L12" i="80"/>
  <c r="N12" i="80" s="1"/>
  <c r="J12" i="80"/>
  <c r="H12" i="80"/>
  <c r="F12" i="80"/>
  <c r="I10" i="80"/>
  <c r="M10" i="80" s="1"/>
  <c r="Q10" i="80" s="1"/>
  <c r="U10" i="80" s="1"/>
  <c r="Y10" i="80" s="1"/>
  <c r="AC10" i="80" s="1"/>
  <c r="AG10" i="80" s="1"/>
  <c r="AK10" i="80" s="1"/>
  <c r="AO10" i="80" s="1"/>
  <c r="AS10" i="80" s="1"/>
  <c r="AW10" i="80" s="1"/>
  <c r="BA10" i="80" s="1"/>
  <c r="H10" i="80"/>
  <c r="J10" i="80" s="1"/>
  <c r="J9" i="80" s="1"/>
  <c r="D10" i="80"/>
  <c r="F10" i="80" s="1"/>
  <c r="N8" i="80"/>
  <c r="J8" i="80"/>
  <c r="AX3" i="80"/>
  <c r="AT3" i="80"/>
  <c r="AS30" i="80" s="1"/>
  <c r="AL3" i="80"/>
  <c r="AH3" i="80"/>
  <c r="AG30" i="80" s="1"/>
  <c r="Z3" i="80"/>
  <c r="Y30" i="80" s="1"/>
  <c r="V3" i="80"/>
  <c r="U31" i="80" s="1"/>
  <c r="N3" i="80"/>
  <c r="M30" i="80" s="1"/>
  <c r="BD37" i="80" l="1"/>
  <c r="BF37" i="80" s="1"/>
  <c r="BF33" i="80"/>
  <c r="BF34" i="80" s="1"/>
  <c r="BD12" i="80"/>
  <c r="BD16" i="80"/>
  <c r="BF16" i="80" s="1"/>
  <c r="BF8" i="80"/>
  <c r="BD17" i="80"/>
  <c r="BF17" i="80" s="1"/>
  <c r="BD14" i="80"/>
  <c r="BF14" i="80" s="1"/>
  <c r="BD18" i="80"/>
  <c r="BF18" i="80" s="1"/>
  <c r="K14" i="72"/>
  <c r="G3" i="72" s="1"/>
  <c r="F9" i="80"/>
  <c r="AF31" i="80"/>
  <c r="AH31" i="80" s="1"/>
  <c r="AZ31" i="80"/>
  <c r="BB31" i="80" s="1"/>
  <c r="T31" i="80"/>
  <c r="V31" i="80" s="1"/>
  <c r="AN31" i="80"/>
  <c r="AP31" i="80" s="1"/>
  <c r="H31" i="80"/>
  <c r="J31" i="80" s="1"/>
  <c r="AB31" i="80"/>
  <c r="AD31" i="80" s="1"/>
  <c r="D37" i="80"/>
  <c r="F37" i="80" s="1"/>
  <c r="AV31" i="80"/>
  <c r="P31" i="80"/>
  <c r="R31" i="80" s="1"/>
  <c r="F33" i="80"/>
  <c r="L31" i="80"/>
  <c r="N31" i="80" s="1"/>
  <c r="X31" i="80"/>
  <c r="Z31" i="80" s="1"/>
  <c r="AR31" i="80"/>
  <c r="AT31" i="80" s="1"/>
  <c r="AJ31" i="80"/>
  <c r="D53" i="80"/>
  <c r="C73" i="80" s="1"/>
  <c r="D67" i="80" s="1"/>
  <c r="D74" i="80" s="1"/>
  <c r="G53" i="80"/>
  <c r="F73" i="80" s="1"/>
  <c r="G67" i="80" s="1"/>
  <c r="G74" i="80" s="1"/>
  <c r="Y31" i="80"/>
  <c r="J67" i="80"/>
  <c r="J74" i="80" s="1"/>
  <c r="N9" i="80"/>
  <c r="L10" i="80"/>
  <c r="N10" i="80" s="1"/>
  <c r="L13" i="80"/>
  <c r="N13" i="80" s="1"/>
  <c r="H37" i="80"/>
  <c r="J37" i="80" s="1"/>
  <c r="L37" i="80"/>
  <c r="N37" i="80" s="1"/>
  <c r="M67" i="80"/>
  <c r="AK30" i="80"/>
  <c r="AK31" i="80"/>
  <c r="AW30" i="80"/>
  <c r="AW31" i="80"/>
  <c r="AG31" i="80"/>
  <c r="R2" i="80"/>
  <c r="J27" i="80"/>
  <c r="M31" i="80"/>
  <c r="M74" i="80"/>
  <c r="BD13" i="80" l="1"/>
  <c r="BF13" i="80" s="1"/>
  <c r="BF12" i="80"/>
  <c r="BD10" i="80"/>
  <c r="BF10" i="80" s="1"/>
  <c r="BF27" i="80" s="1"/>
  <c r="BF9" i="80"/>
  <c r="AW35" i="80"/>
  <c r="Q35" i="80"/>
  <c r="AK35" i="80"/>
  <c r="E35" i="80"/>
  <c r="Y35" i="80"/>
  <c r="AS35" i="80"/>
  <c r="M35" i="80"/>
  <c r="AG35" i="80"/>
  <c r="BA35" i="80"/>
  <c r="AO35" i="80"/>
  <c r="I35" i="80"/>
  <c r="AC35" i="80"/>
  <c r="U35" i="80"/>
  <c r="AC36" i="80"/>
  <c r="AW36" i="80"/>
  <c r="Q36" i="80"/>
  <c r="AK36" i="80"/>
  <c r="E36" i="80"/>
  <c r="F36" i="80" s="1"/>
  <c r="Y36" i="80"/>
  <c r="AS36" i="80"/>
  <c r="M36" i="80"/>
  <c r="U36" i="80"/>
  <c r="AG36" i="80"/>
  <c r="I36" i="80"/>
  <c r="AO36" i="80"/>
  <c r="BA36" i="80"/>
  <c r="H22" i="80"/>
  <c r="J22" i="80" s="1"/>
  <c r="H20" i="80"/>
  <c r="J20" i="80" s="1"/>
  <c r="H11" i="80"/>
  <c r="J11" i="80" s="1"/>
  <c r="H21" i="80"/>
  <c r="J21" i="80" s="1"/>
  <c r="N27" i="80"/>
  <c r="AL31" i="80"/>
  <c r="P17" i="80"/>
  <c r="R17" i="80" s="1"/>
  <c r="P32" i="80"/>
  <c r="R32" i="80" s="1"/>
  <c r="P19" i="80"/>
  <c r="R19" i="80" s="1"/>
  <c r="P15" i="80"/>
  <c r="R15" i="80" s="1"/>
  <c r="P14" i="80"/>
  <c r="R14" i="80" s="1"/>
  <c r="P18" i="80"/>
  <c r="R18" i="80" s="1"/>
  <c r="V2" i="80"/>
  <c r="P16" i="80"/>
  <c r="R16" i="80" s="1"/>
  <c r="P12" i="80"/>
  <c r="P29" i="80"/>
  <c r="R29" i="80" s="1"/>
  <c r="R8" i="80"/>
  <c r="AX31" i="80"/>
  <c r="F27" i="80"/>
  <c r="BD21" i="80" l="1"/>
  <c r="BF21" i="80" s="1"/>
  <c r="BD20" i="80"/>
  <c r="BF20" i="80" s="1"/>
  <c r="BD22" i="80"/>
  <c r="BF22" i="80" s="1"/>
  <c r="BD11" i="80"/>
  <c r="BF11" i="80" s="1"/>
  <c r="BF23" i="80" s="1"/>
  <c r="BD24" i="80" s="1"/>
  <c r="BF24" i="80" s="1"/>
  <c r="P10" i="80"/>
  <c r="R10" i="80" s="1"/>
  <c r="J23" i="80"/>
  <c r="H24" i="80" s="1"/>
  <c r="J24" i="80" s="1"/>
  <c r="P37" i="80"/>
  <c r="R37" i="80" s="1"/>
  <c r="P13" i="80"/>
  <c r="R13" i="80" s="1"/>
  <c r="R12" i="80"/>
  <c r="D22" i="80"/>
  <c r="F22" i="80" s="1"/>
  <c r="D11" i="80"/>
  <c r="F11" i="80" s="1"/>
  <c r="D20" i="80"/>
  <c r="F20" i="80" s="1"/>
  <c r="D21" i="80"/>
  <c r="F21" i="80" s="1"/>
  <c r="T29" i="80"/>
  <c r="V29" i="80" s="1"/>
  <c r="T12" i="80"/>
  <c r="T17" i="80"/>
  <c r="V17" i="80" s="1"/>
  <c r="T15" i="80"/>
  <c r="V15" i="80" s="1"/>
  <c r="T19" i="80"/>
  <c r="V19" i="80" s="1"/>
  <c r="T14" i="80"/>
  <c r="V14" i="80" s="1"/>
  <c r="T16" i="80"/>
  <c r="V16" i="80" s="1"/>
  <c r="T32" i="80"/>
  <c r="V32" i="80" s="1"/>
  <c r="Z2" i="80"/>
  <c r="V8" i="80"/>
  <c r="T18" i="80"/>
  <c r="V18" i="80" s="1"/>
  <c r="L22" i="80"/>
  <c r="N22" i="80" s="1"/>
  <c r="L21" i="80"/>
  <c r="N21" i="80" s="1"/>
  <c r="L20" i="80"/>
  <c r="N20" i="80" s="1"/>
  <c r="L11" i="80"/>
  <c r="N11" i="80" s="1"/>
  <c r="BF25" i="80" l="1"/>
  <c r="D24" i="80"/>
  <c r="F24" i="80" s="1"/>
  <c r="F25" i="80" s="1"/>
  <c r="N23" i="80"/>
  <c r="L24" i="80" s="1"/>
  <c r="N24" i="80" s="1"/>
  <c r="N25" i="80" s="1"/>
  <c r="V9" i="80"/>
  <c r="T10" i="80"/>
  <c r="V10" i="80" s="1"/>
  <c r="T13" i="80"/>
  <c r="V13" i="80" s="1"/>
  <c r="V12" i="80"/>
  <c r="R9" i="80"/>
  <c r="J25" i="80"/>
  <c r="T37" i="80"/>
  <c r="V37" i="80" s="1"/>
  <c r="X29" i="80"/>
  <c r="Z29" i="80" s="1"/>
  <c r="X12" i="80"/>
  <c r="X17" i="80"/>
  <c r="Z17" i="80" s="1"/>
  <c r="X18" i="80"/>
  <c r="Z18" i="80" s="1"/>
  <c r="X14" i="80"/>
  <c r="Z14" i="80" s="1"/>
  <c r="Z8" i="80"/>
  <c r="X16" i="80"/>
  <c r="Z16" i="80" s="1"/>
  <c r="X32" i="80"/>
  <c r="Z32" i="80" s="1"/>
  <c r="X15" i="80"/>
  <c r="Z15" i="80" s="1"/>
  <c r="AD2" i="80"/>
  <c r="X19" i="80"/>
  <c r="Z19" i="80" s="1"/>
  <c r="BD35" i="80" l="1"/>
  <c r="BF35" i="80" s="1"/>
  <c r="BF38" i="80" s="1"/>
  <c r="BF40" i="80" s="1"/>
  <c r="O25" i="80"/>
  <c r="L35" i="80"/>
  <c r="N35" i="80" s="1"/>
  <c r="AB30" i="80"/>
  <c r="AD30" i="80" s="1"/>
  <c r="AB36" i="80" s="1"/>
  <c r="AD36" i="80" s="1"/>
  <c r="AV30" i="80"/>
  <c r="AX30" i="80" s="1"/>
  <c r="AV36" i="80" s="1"/>
  <c r="AX36" i="80" s="1"/>
  <c r="P30" i="80"/>
  <c r="R30" i="80" s="1"/>
  <c r="D35" i="80"/>
  <c r="F35" i="80" s="1"/>
  <c r="F38" i="80" s="1"/>
  <c r="F40" i="80" s="1"/>
  <c r="AJ30" i="80"/>
  <c r="AL30" i="80" s="1"/>
  <c r="AJ36" i="80" s="1"/>
  <c r="AL36" i="80" s="1"/>
  <c r="X30" i="80"/>
  <c r="Z30" i="80" s="1"/>
  <c r="X36" i="80" s="1"/>
  <c r="Z36" i="80" s="1"/>
  <c r="AR30" i="80"/>
  <c r="AT30" i="80" s="1"/>
  <c r="AR36" i="80" s="1"/>
  <c r="AT36" i="80" s="1"/>
  <c r="L30" i="80"/>
  <c r="N30" i="80" s="1"/>
  <c r="AN30" i="80"/>
  <c r="AP30" i="80" s="1"/>
  <c r="AN36" i="80" s="1"/>
  <c r="AP36" i="80" s="1"/>
  <c r="AF30" i="80"/>
  <c r="AH30" i="80" s="1"/>
  <c r="AF36" i="80" s="1"/>
  <c r="AH36" i="80" s="1"/>
  <c r="H30" i="80"/>
  <c r="J30" i="80" s="1"/>
  <c r="AZ30" i="80"/>
  <c r="BB30" i="80" s="1"/>
  <c r="AZ36" i="80" s="1"/>
  <c r="BB36" i="80" s="1"/>
  <c r="T30" i="80"/>
  <c r="V30" i="80" s="1"/>
  <c r="F47" i="80"/>
  <c r="X10" i="80"/>
  <c r="Z10" i="80" s="1"/>
  <c r="V27" i="80"/>
  <c r="H35" i="80"/>
  <c r="J35" i="80" s="1"/>
  <c r="AB17" i="80"/>
  <c r="AD17" i="80" s="1"/>
  <c r="AB32" i="80"/>
  <c r="AD32" i="80" s="1"/>
  <c r="AB19" i="80"/>
  <c r="AD19" i="80" s="1"/>
  <c r="AB18" i="80"/>
  <c r="AD18" i="80" s="1"/>
  <c r="AB16" i="80"/>
  <c r="AD16" i="80" s="1"/>
  <c r="AB15" i="80"/>
  <c r="AD15" i="80" s="1"/>
  <c r="AB29" i="80"/>
  <c r="AD29" i="80" s="1"/>
  <c r="AB14" i="80"/>
  <c r="AD14" i="80" s="1"/>
  <c r="AH2" i="80"/>
  <c r="AB12" i="80"/>
  <c r="AD8" i="80"/>
  <c r="Z12" i="80"/>
  <c r="X13" i="80"/>
  <c r="Z13" i="80" s="1"/>
  <c r="X37" i="80"/>
  <c r="Z37" i="80" s="1"/>
  <c r="Z33" i="80"/>
  <c r="R27" i="80"/>
  <c r="BF44" i="80" l="1"/>
  <c r="BF42" i="80"/>
  <c r="F42" i="80"/>
  <c r="F44" i="80"/>
  <c r="Z9" i="80"/>
  <c r="P36" i="80"/>
  <c r="R36" i="80" s="1"/>
  <c r="R33" i="80"/>
  <c r="R34" i="80" s="1"/>
  <c r="Z34" i="80"/>
  <c r="L36" i="80"/>
  <c r="N36" i="80" s="1"/>
  <c r="N33" i="80"/>
  <c r="H36" i="80"/>
  <c r="J36" i="80" s="1"/>
  <c r="J38" i="80" s="1"/>
  <c r="J33" i="80"/>
  <c r="AB37" i="80"/>
  <c r="AD37" i="80" s="1"/>
  <c r="AD33" i="80"/>
  <c r="AD34" i="80" s="1"/>
  <c r="T20" i="80"/>
  <c r="V20" i="80" s="1"/>
  <c r="T22" i="80"/>
  <c r="V22" i="80" s="1"/>
  <c r="T11" i="80"/>
  <c r="V11" i="80" s="1"/>
  <c r="T21" i="80"/>
  <c r="V21" i="80" s="1"/>
  <c r="N38" i="80"/>
  <c r="AF18" i="80"/>
  <c r="AH18" i="80" s="1"/>
  <c r="AF17" i="80"/>
  <c r="AH17" i="80" s="1"/>
  <c r="AF32" i="80"/>
  <c r="AH32" i="80" s="1"/>
  <c r="AF19" i="80"/>
  <c r="AH19" i="80" s="1"/>
  <c r="AF29" i="80"/>
  <c r="AH29" i="80" s="1"/>
  <c r="AF15" i="80"/>
  <c r="AH15" i="80" s="1"/>
  <c r="AF14" i="80"/>
  <c r="AH14" i="80" s="1"/>
  <c r="AF12" i="80"/>
  <c r="AH8" i="80"/>
  <c r="AF16" i="80"/>
  <c r="AH16" i="80" s="1"/>
  <c r="AL2" i="80"/>
  <c r="AB10" i="80"/>
  <c r="AD10" i="80" s="1"/>
  <c r="T36" i="80"/>
  <c r="V36" i="80" s="1"/>
  <c r="V33" i="80"/>
  <c r="P21" i="80"/>
  <c r="R21" i="80" s="1"/>
  <c r="P20" i="80"/>
  <c r="R20" i="80" s="1"/>
  <c r="P11" i="80"/>
  <c r="R11" i="80" s="1"/>
  <c r="P22" i="80"/>
  <c r="R22" i="80" s="1"/>
  <c r="AB13" i="80"/>
  <c r="AD13" i="80" s="1"/>
  <c r="AD12" i="80"/>
  <c r="V34" i="80" l="1"/>
  <c r="AJ12" i="80"/>
  <c r="AL8" i="80"/>
  <c r="AJ16" i="80"/>
  <c r="AL16" i="80" s="1"/>
  <c r="AJ15" i="80"/>
  <c r="AL15" i="80" s="1"/>
  <c r="AJ17" i="80"/>
  <c r="AL17" i="80" s="1"/>
  <c r="AJ14" i="80"/>
  <c r="AL14" i="80" s="1"/>
  <c r="AJ29" i="80"/>
  <c r="AL29" i="80" s="1"/>
  <c r="AJ32" i="80"/>
  <c r="AL32" i="80" s="1"/>
  <c r="AJ18" i="80"/>
  <c r="AL18" i="80" s="1"/>
  <c r="AJ19" i="80"/>
  <c r="AL19" i="80" s="1"/>
  <c r="AP2" i="80"/>
  <c r="AD9" i="80"/>
  <c r="AF10" i="80"/>
  <c r="AH10" i="80" s="1"/>
  <c r="J34" i="80"/>
  <c r="J40" i="80"/>
  <c r="AF13" i="80"/>
  <c r="AH13" i="80" s="1"/>
  <c r="AH12" i="80"/>
  <c r="Z27" i="80"/>
  <c r="AF37" i="80"/>
  <c r="AH37" i="80" s="1"/>
  <c r="AH33" i="80"/>
  <c r="AH34" i="80" s="1"/>
  <c r="O33" i="80"/>
  <c r="N34" i="80"/>
  <c r="N40" i="80"/>
  <c r="R23" i="80"/>
  <c r="R25" i="80"/>
  <c r="P24" i="80"/>
  <c r="R24" i="80" s="1"/>
  <c r="V23" i="80"/>
  <c r="V25" i="80" s="1"/>
  <c r="T24" i="80"/>
  <c r="V24" i="80" s="1"/>
  <c r="T35" i="80" l="1"/>
  <c r="V35" i="80" s="1"/>
  <c r="V38" i="80" s="1"/>
  <c r="V40" i="80" s="1"/>
  <c r="AH9" i="80"/>
  <c r="AN18" i="80"/>
  <c r="AP18" i="80" s="1"/>
  <c r="AN12" i="80"/>
  <c r="AN29" i="80"/>
  <c r="AP29" i="80" s="1"/>
  <c r="AN17" i="80"/>
  <c r="AP17" i="80" s="1"/>
  <c r="AN32" i="80"/>
  <c r="AP32" i="80" s="1"/>
  <c r="AP8" i="80"/>
  <c r="AN16" i="80"/>
  <c r="AP16" i="80" s="1"/>
  <c r="AN15" i="80"/>
  <c r="AP15" i="80" s="1"/>
  <c r="AN14" i="80"/>
  <c r="AP14" i="80" s="1"/>
  <c r="AT2" i="80"/>
  <c r="AN19" i="80"/>
  <c r="AP19" i="80" s="1"/>
  <c r="X22" i="80"/>
  <c r="Z22" i="80" s="1"/>
  <c r="X11" i="80"/>
  <c r="Z11" i="80" s="1"/>
  <c r="X21" i="80"/>
  <c r="Z21" i="80" s="1"/>
  <c r="X20" i="80"/>
  <c r="Z20" i="80" s="1"/>
  <c r="AL27" i="80"/>
  <c r="AJ10" i="80"/>
  <c r="AL10" i="80" s="1"/>
  <c r="AL9" i="80"/>
  <c r="AJ13" i="80"/>
  <c r="AL13" i="80" s="1"/>
  <c r="AL12" i="80"/>
  <c r="P35" i="80"/>
  <c r="R35" i="80" s="1"/>
  <c r="R38" i="80" s="1"/>
  <c r="R40" i="80"/>
  <c r="S25" i="80"/>
  <c r="N44" i="80"/>
  <c r="N42" i="80"/>
  <c r="J44" i="80"/>
  <c r="J42" i="80"/>
  <c r="AJ37" i="80"/>
  <c r="AL37" i="80" s="1"/>
  <c r="AL33" i="80"/>
  <c r="AL34" i="80" s="1"/>
  <c r="AD27" i="80"/>
  <c r="V42" i="80" l="1"/>
  <c r="V44" i="80"/>
  <c r="AB22" i="80"/>
  <c r="AD22" i="80" s="1"/>
  <c r="AB21" i="80"/>
  <c r="AD21" i="80" s="1"/>
  <c r="AB20" i="80"/>
  <c r="AD20" i="80" s="1"/>
  <c r="AB11" i="80"/>
  <c r="AD11" i="80" s="1"/>
  <c r="AN37" i="80"/>
  <c r="AP37" i="80" s="1"/>
  <c r="AP33" i="80"/>
  <c r="AP34" i="80" s="1"/>
  <c r="AN13" i="80"/>
  <c r="AP13" i="80" s="1"/>
  <c r="AP12" i="80"/>
  <c r="AJ22" i="80"/>
  <c r="AL22" i="80" s="1"/>
  <c r="AJ11" i="80"/>
  <c r="AL11" i="80" s="1"/>
  <c r="AL23" i="80" s="1"/>
  <c r="AJ21" i="80"/>
  <c r="AL21" i="80" s="1"/>
  <c r="AJ20" i="80"/>
  <c r="AL20" i="80" s="1"/>
  <c r="AR29" i="80"/>
  <c r="AT29" i="80" s="1"/>
  <c r="AR17" i="80"/>
  <c r="AT17" i="80" s="1"/>
  <c r="AR32" i="80"/>
  <c r="AT32" i="80" s="1"/>
  <c r="AR19" i="80"/>
  <c r="AT19" i="80" s="1"/>
  <c r="AR16" i="80"/>
  <c r="AT16" i="80" s="1"/>
  <c r="AR15" i="80"/>
  <c r="AT15" i="80" s="1"/>
  <c r="AR14" i="80"/>
  <c r="AT14" i="80" s="1"/>
  <c r="AX2" i="80"/>
  <c r="AT8" i="80"/>
  <c r="AR18" i="80"/>
  <c r="AT18" i="80" s="1"/>
  <c r="AR12" i="80"/>
  <c r="R42" i="80"/>
  <c r="R44" i="80"/>
  <c r="AN10" i="80"/>
  <c r="AP10" i="80" s="1"/>
  <c r="Z23" i="80"/>
  <c r="X24" i="80"/>
  <c r="Z24" i="80" s="1"/>
  <c r="Z25" i="80"/>
  <c r="AH27" i="80"/>
  <c r="AP27" i="80" l="1"/>
  <c r="AR13" i="80"/>
  <c r="AT13" i="80" s="1"/>
  <c r="AT12" i="80"/>
  <c r="AD23" i="80"/>
  <c r="AP9" i="80"/>
  <c r="AF21" i="80"/>
  <c r="AH21" i="80" s="1"/>
  <c r="AF20" i="80"/>
  <c r="AH20" i="80" s="1"/>
  <c r="AF11" i="80"/>
  <c r="AH11" i="80" s="1"/>
  <c r="AF22" i="80"/>
  <c r="AH22" i="80" s="1"/>
  <c r="X35" i="80"/>
  <c r="Z35" i="80" s="1"/>
  <c r="Z38" i="80" s="1"/>
  <c r="Z40" i="80" s="1"/>
  <c r="AJ24" i="80"/>
  <c r="AL24" i="80" s="1"/>
  <c r="AL25" i="80" s="1"/>
  <c r="AR10" i="80"/>
  <c r="AT10" i="80" s="1"/>
  <c r="AT9" i="80" s="1"/>
  <c r="AT33" i="80"/>
  <c r="AT34" i="80" s="1"/>
  <c r="AR37" i="80"/>
  <c r="AT37" i="80" s="1"/>
  <c r="AV17" i="80"/>
  <c r="AX17" i="80" s="1"/>
  <c r="AV32" i="80"/>
  <c r="AX32" i="80" s="1"/>
  <c r="AV19" i="80"/>
  <c r="AX19" i="80" s="1"/>
  <c r="AV15" i="80"/>
  <c r="AX15" i="80" s="1"/>
  <c r="AV14" i="80"/>
  <c r="AX14" i="80" s="1"/>
  <c r="AV18" i="80"/>
  <c r="AX18" i="80" s="1"/>
  <c r="AV16" i="80"/>
  <c r="AX16" i="80" s="1"/>
  <c r="AV12" i="80"/>
  <c r="AX8" i="80"/>
  <c r="AV29" i="80"/>
  <c r="AX29" i="80" s="1"/>
  <c r="BB2" i="80"/>
  <c r="Z51" i="80" l="1"/>
  <c r="Z42" i="80"/>
  <c r="Z44" i="80"/>
  <c r="AJ35" i="80"/>
  <c r="AL35" i="80" s="1"/>
  <c r="AL38" i="80" s="1"/>
  <c r="AL40" i="80" s="1"/>
  <c r="AT27" i="80"/>
  <c r="AX27" i="80"/>
  <c r="AV10" i="80"/>
  <c r="AX10" i="80" s="1"/>
  <c r="AX9" i="80"/>
  <c r="AV13" i="80"/>
  <c r="AX13" i="80" s="1"/>
  <c r="AX12" i="80"/>
  <c r="AX33" i="80"/>
  <c r="AX34" i="80" s="1"/>
  <c r="AV37" i="80"/>
  <c r="AX37" i="80" s="1"/>
  <c r="AB24" i="80"/>
  <c r="AD24" i="80" s="1"/>
  <c r="AD25" i="80" s="1"/>
  <c r="AZ18" i="80"/>
  <c r="BB18" i="80" s="1"/>
  <c r="AZ29" i="80"/>
  <c r="BB29" i="80" s="1"/>
  <c r="AZ12" i="80"/>
  <c r="AZ17" i="80"/>
  <c r="BB17" i="80" s="1"/>
  <c r="BB8" i="80"/>
  <c r="AZ16" i="80"/>
  <c r="BB16" i="80" s="1"/>
  <c r="AZ19" i="80"/>
  <c r="BB19" i="80" s="1"/>
  <c r="AZ14" i="80"/>
  <c r="BB14" i="80" s="1"/>
  <c r="AZ15" i="80"/>
  <c r="BB15" i="80" s="1"/>
  <c r="AZ32" i="80"/>
  <c r="BB32" i="80" s="1"/>
  <c r="AH25" i="80"/>
  <c r="AF24" i="80"/>
  <c r="AH24" i="80" s="1"/>
  <c r="AH23" i="80"/>
  <c r="AN22" i="80"/>
  <c r="AP22" i="80" s="1"/>
  <c r="AN20" i="80"/>
  <c r="AP20" i="80" s="1"/>
  <c r="AN11" i="80"/>
  <c r="AP11" i="80" s="1"/>
  <c r="AN21" i="80"/>
  <c r="AP21" i="80" s="1"/>
  <c r="AB35" i="80" l="1"/>
  <c r="AD35" i="80" s="1"/>
  <c r="AD38" i="80" s="1"/>
  <c r="AD40" i="80" s="1"/>
  <c r="AL44" i="80"/>
  <c r="AR22" i="80"/>
  <c r="AT22" i="80" s="1"/>
  <c r="AR21" i="80"/>
  <c r="AT21" i="80" s="1"/>
  <c r="AR20" i="80"/>
  <c r="AT20" i="80" s="1"/>
  <c r="AR11" i="80"/>
  <c r="AT11" i="80" s="1"/>
  <c r="AZ10" i="80"/>
  <c r="BB10" i="80" s="1"/>
  <c r="BB9" i="80" s="1"/>
  <c r="AP23" i="80"/>
  <c r="AN24" i="80" s="1"/>
  <c r="AP24" i="80" s="1"/>
  <c r="AZ37" i="80"/>
  <c r="BB37" i="80" s="1"/>
  <c r="BB33" i="80"/>
  <c r="AH40" i="80"/>
  <c r="AF35" i="80"/>
  <c r="AH35" i="80" s="1"/>
  <c r="AH38" i="80" s="1"/>
  <c r="AZ13" i="80"/>
  <c r="BB13" i="80" s="1"/>
  <c r="BB12" i="80"/>
  <c r="AV21" i="80"/>
  <c r="AX21" i="80" s="1"/>
  <c r="AV20" i="80"/>
  <c r="AX20" i="80" s="1"/>
  <c r="AV22" i="80"/>
  <c r="AX22" i="80" s="1"/>
  <c r="AV11" i="80"/>
  <c r="AX11" i="80" s="1"/>
  <c r="AE40" i="80" l="1"/>
  <c r="AD42" i="80"/>
  <c r="AD44" i="80"/>
  <c r="BB27" i="80"/>
  <c r="AT23" i="80"/>
  <c r="AR24" i="80"/>
  <c r="AT24" i="80" s="1"/>
  <c r="AT25" i="80"/>
  <c r="AH42" i="80"/>
  <c r="AH44" i="80"/>
  <c r="AH46" i="80"/>
  <c r="AX23" i="80"/>
  <c r="AV24" i="80" s="1"/>
  <c r="AX24" i="80" s="1"/>
  <c r="AX25" i="80" s="1"/>
  <c r="AP25" i="80"/>
  <c r="AL42" i="80"/>
  <c r="BB34" i="80"/>
  <c r="AV35" i="80" l="1"/>
  <c r="AX35" i="80" s="1"/>
  <c r="AX38" i="80" s="1"/>
  <c r="AX40" i="80"/>
  <c r="AN35" i="80"/>
  <c r="AP35" i="80" s="1"/>
  <c r="AP38" i="80" s="1"/>
  <c r="AP40" i="80" s="1"/>
  <c r="AZ20" i="80"/>
  <c r="BB20" i="80" s="1"/>
  <c r="AZ22" i="80"/>
  <c r="BB22" i="80" s="1"/>
  <c r="AZ11" i="80"/>
  <c r="BB11" i="80" s="1"/>
  <c r="AZ21" i="80"/>
  <c r="BB21" i="80" s="1"/>
  <c r="AR35" i="80"/>
  <c r="AT35" i="80" s="1"/>
  <c r="AT38" i="80" s="1"/>
  <c r="AT40" i="80" s="1"/>
  <c r="AT44" i="80" l="1"/>
  <c r="AT42" i="80"/>
  <c r="AP44" i="80"/>
  <c r="AQ42" i="80"/>
  <c r="AP42" i="80"/>
  <c r="AX42" i="80"/>
  <c r="AX44" i="80"/>
  <c r="BB23" i="80"/>
  <c r="AZ24" i="80" l="1"/>
  <c r="BB24" i="80" s="1"/>
  <c r="BB25" i="80" s="1"/>
  <c r="AZ35" i="80" l="1"/>
  <c r="BB35" i="80" s="1"/>
  <c r="BB38" i="80" s="1"/>
  <c r="BB40" i="80" l="1"/>
  <c r="BB42" i="80" l="1"/>
  <c r="BB44" i="80"/>
  <c r="J15" i="79" l="1"/>
  <c r="I15" i="79"/>
  <c r="H15" i="79"/>
  <c r="G15" i="79"/>
  <c r="J18" i="79"/>
  <c r="I18" i="79"/>
  <c r="H18" i="79"/>
  <c r="F18" i="79"/>
  <c r="J17" i="79"/>
  <c r="I17" i="79"/>
  <c r="H17" i="79"/>
  <c r="J16" i="79"/>
  <c r="I16" i="79"/>
  <c r="H16" i="79"/>
  <c r="E16" i="79"/>
  <c r="E17" i="79" s="1"/>
  <c r="H19" i="79" l="1"/>
  <c r="I19" i="79"/>
  <c r="J19" i="79"/>
  <c r="G19" i="79"/>
  <c r="J13" i="72"/>
  <c r="I13" i="72"/>
  <c r="H13" i="72"/>
  <c r="J12" i="72"/>
  <c r="I12" i="72"/>
  <c r="H12" i="72"/>
  <c r="J11" i="72"/>
  <c r="I11" i="72"/>
  <c r="H11" i="72"/>
  <c r="E11" i="72"/>
  <c r="E12" i="72" s="1"/>
  <c r="F5" i="79" l="1"/>
  <c r="F9" i="79"/>
  <c r="F6" i="79"/>
  <c r="F10" i="79"/>
  <c r="J20" i="79"/>
  <c r="F7" i="79"/>
  <c r="F3" i="79"/>
  <c r="G3" i="79" s="1"/>
  <c r="F4" i="79"/>
  <c r="F8" i="79"/>
  <c r="I20" i="79"/>
  <c r="E6" i="79"/>
  <c r="E10" i="79"/>
  <c r="E3" i="79"/>
  <c r="E7" i="79"/>
  <c r="E4" i="79"/>
  <c r="E8" i="79"/>
  <c r="E5" i="79"/>
  <c r="E9" i="79"/>
  <c r="D9" i="79"/>
  <c r="D3" i="79"/>
  <c r="D10" i="79"/>
  <c r="H20" i="79"/>
  <c r="D4" i="79"/>
  <c r="D5" i="79"/>
  <c r="D6" i="79"/>
  <c r="D8" i="79"/>
  <c r="D7" i="79"/>
  <c r="F13" i="72" l="1"/>
  <c r="H21" i="1" l="1"/>
  <c r="C20" i="1"/>
  <c r="C19" i="1"/>
  <c r="C18" i="1"/>
  <c r="C21" i="1"/>
  <c r="J127" i="71"/>
  <c r="I127" i="71"/>
  <c r="F127" i="71"/>
  <c r="D21" i="71"/>
  <c r="D20" i="71"/>
  <c r="D19" i="71"/>
  <c r="J127" i="70"/>
  <c r="I127" i="70"/>
  <c r="F127" i="70"/>
  <c r="D21" i="70"/>
  <c r="D20" i="70"/>
  <c r="D19" i="70"/>
  <c r="F127" i="65"/>
  <c r="D19" i="65"/>
  <c r="F127" i="64"/>
  <c r="D19" i="64"/>
  <c r="J153" i="69"/>
  <c r="I153" i="69"/>
  <c r="F153" i="69"/>
  <c r="F127" i="63"/>
  <c r="F182" i="55"/>
  <c r="D19" i="55"/>
  <c r="D19" i="63"/>
  <c r="D23" i="68"/>
  <c r="F127" i="67"/>
  <c r="J127" i="68"/>
  <c r="I127" i="68"/>
  <c r="F127" i="68"/>
  <c r="D22" i="68"/>
  <c r="D21" i="68"/>
  <c r="D20" i="68"/>
  <c r="D19" i="68"/>
  <c r="J127" i="67"/>
  <c r="I127" i="67"/>
  <c r="D20" i="67"/>
  <c r="D19" i="67"/>
  <c r="F127" i="66"/>
  <c r="D21" i="66"/>
  <c r="D22" i="66"/>
  <c r="J127" i="66"/>
  <c r="I127" i="66"/>
  <c r="D20" i="66"/>
  <c r="D19" i="66"/>
  <c r="F127" i="61"/>
  <c r="D19" i="61"/>
  <c r="F127" i="60"/>
  <c r="D19" i="60"/>
  <c r="F127" i="59"/>
  <c r="D19" i="59"/>
  <c r="D23" i="59"/>
  <c r="D22" i="59"/>
  <c r="F127" i="58"/>
  <c r="J127" i="65"/>
  <c r="I127" i="65"/>
  <c r="D21" i="65"/>
  <c r="D20" i="65"/>
  <c r="J127" i="64"/>
  <c r="I127" i="64"/>
  <c r="D21" i="64"/>
  <c r="D20" i="64"/>
  <c r="J127" i="63"/>
  <c r="I127" i="63"/>
  <c r="D20" i="63"/>
  <c r="J127" i="61"/>
  <c r="I127" i="61"/>
  <c r="D20" i="61"/>
  <c r="J127" i="60"/>
  <c r="I127" i="60"/>
  <c r="D24" i="60"/>
  <c r="D23" i="60"/>
  <c r="D22" i="60"/>
  <c r="D21" i="60"/>
  <c r="D20" i="60"/>
  <c r="J127" i="59"/>
  <c r="I127" i="59"/>
  <c r="D21" i="59"/>
  <c r="D20" i="59"/>
  <c r="F153" i="56" l="1"/>
  <c r="H20" i="1"/>
  <c r="D21" i="58"/>
  <c r="D22" i="58"/>
  <c r="D23" i="58"/>
  <c r="D24" i="58"/>
  <c r="J127" i="58"/>
  <c r="I127" i="58"/>
  <c r="D20" i="58"/>
  <c r="J153" i="56" l="1"/>
  <c r="I153" i="56"/>
  <c r="D20" i="55" l="1"/>
  <c r="H19" i="1" l="1"/>
  <c r="J182" i="55"/>
  <c r="I182" i="55"/>
  <c r="J132" i="37" l="1"/>
  <c r="I132" i="37"/>
  <c r="F132" i="37"/>
  <c r="H24" i="1" l="1"/>
  <c r="H17" i="1" l="1"/>
  <c r="H25" i="1" l="1"/>
  <c r="H23" i="1"/>
  <c r="H22" i="1" l="1"/>
  <c r="H18" i="1" l="1"/>
  <c r="H16" i="1"/>
  <c r="H27" i="1" l="1"/>
  <c r="H31" i="1" s="1"/>
  <c r="E3" i="72" l="1"/>
  <c r="I14" i="72"/>
  <c r="H14" i="72"/>
  <c r="D3" i="72" s="1"/>
  <c r="G22" i="1" s="1"/>
  <c r="H29" i="1" s="1"/>
  <c r="J14" i="72"/>
  <c r="G14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A388C96F-A461-4F35-A629-9BF1DC58086E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DB3D1D4B-92E6-4FAC-A1C6-AC90C147EADC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E3483B2A-67CE-4956-9C61-0048C9B343AF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AA256C9E-893F-4BA9-BA69-D11BC2D1EFC9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0005F85C-9B9B-48CE-8F6F-93DB26C0912A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6DD81DC4-B302-43C9-8851-09E16B159F62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CE999544-AB4C-48F8-8A37-D16868F3A359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EF5C1A7A-1BD1-4CB9-8270-D36CC8FC9CFE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DA9D5024-21E0-48ED-BC58-01E090155833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69415DA1-2040-42BD-A11D-4E726EC5F89D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1A1C3E92-EF98-4054-B147-38EAA34227C8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EA6C007A-507E-4BE7-AE35-E7B47066940D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AC743D24-49D9-4A92-94F3-7561662A460F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70A9FDE1-2B2C-4331-B0B7-68C607DC8B88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Navarro, Roberto (Tartagal)</author>
  </authors>
  <commentList>
    <comment ref="K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Navarro, Roberto (Tartagal):</t>
        </r>
        <r>
          <rPr>
            <sz val="9"/>
            <color indexed="81"/>
            <rFont val="Tahoma"/>
            <family val="2"/>
          </rPr>
          <t xml:space="preserve">
En Reserva Bomba Mirbla Mod Ism.2.5 DEC 225</t>
        </r>
      </text>
    </comment>
  </commentList>
</comments>
</file>

<file path=xl/sharedStrings.xml><?xml version="1.0" encoding="utf-8"?>
<sst xmlns="http://schemas.openxmlformats.org/spreadsheetml/2006/main" count="1276" uniqueCount="282">
  <si>
    <t>Periodo Certificado:</t>
  </si>
  <si>
    <t>Cantidad</t>
  </si>
  <si>
    <t>Unidad</t>
  </si>
  <si>
    <t>Subtotal</t>
  </si>
  <si>
    <t>Item</t>
  </si>
  <si>
    <t>Por Pluspetrol S.A</t>
  </si>
  <si>
    <t xml:space="preserve">FORM NUMBER: </t>
  </si>
  <si>
    <t>REV:</t>
  </si>
  <si>
    <t>PAGE:</t>
  </si>
  <si>
    <t>ORIGINAL ISSUE DATE:</t>
  </si>
  <si>
    <t>REVISION DATE:</t>
  </si>
  <si>
    <t>N/A</t>
  </si>
  <si>
    <t>PREPARED BY:</t>
  </si>
  <si>
    <t>REVIEWED BY:</t>
  </si>
  <si>
    <t>APPROVED BY:</t>
  </si>
  <si>
    <t>TITTLE</t>
  </si>
  <si>
    <t>PLANILLA DE CONTROL - DOSIFICACION DE PRODUCTO QUIMICO</t>
  </si>
  <si>
    <t>Cliente</t>
  </si>
  <si>
    <t>Yacimiento</t>
  </si>
  <si>
    <t>Punto de inyección</t>
  </si>
  <si>
    <t>POZO POR CAPILAR</t>
  </si>
  <si>
    <t>Producto dosificado</t>
  </si>
  <si>
    <t>Fecha inicio tratamiento</t>
  </si>
  <si>
    <t>Dosis Recomendada</t>
  </si>
  <si>
    <t>Bomba dosificadora</t>
  </si>
  <si>
    <t>Observaciones</t>
  </si>
  <si>
    <t>NOTA:</t>
  </si>
  <si>
    <t>PLUSPETROL</t>
  </si>
  <si>
    <t>CENTENARIO</t>
  </si>
  <si>
    <t>N° de Pozo</t>
  </si>
  <si>
    <t>TOTALES</t>
  </si>
  <si>
    <t>Yacimiento:   Centenario</t>
  </si>
  <si>
    <t>PLANILLA DE CERTIFICACION DE SERVICIOS</t>
  </si>
  <si>
    <t>CE- 1458</t>
  </si>
  <si>
    <t>Cliente:</t>
  </si>
  <si>
    <t>-------------------------------</t>
  </si>
  <si>
    <t>---------------------------------</t>
  </si>
  <si>
    <t xml:space="preserve">                 Original</t>
  </si>
  <si>
    <t>Certificacion N°:</t>
  </si>
  <si>
    <t>Acuerdo Marco N°:</t>
  </si>
  <si>
    <t>Codigo</t>
  </si>
  <si>
    <t>UN</t>
  </si>
  <si>
    <t>Alq. Equipo dosif. Quimicos de 240 l/mes</t>
  </si>
  <si>
    <t>Alq. Equipo dosif. Quimicos de 1000 l/mes</t>
  </si>
  <si>
    <t>Reposicion prod. Quim. en campo/dia</t>
  </si>
  <si>
    <t xml:space="preserve">Equipo dosificacion </t>
  </si>
  <si>
    <t>240 lts</t>
  </si>
  <si>
    <t>1000 lts</t>
  </si>
  <si>
    <t>PLANILLA CERTIFICACION DE PRODUCTOS Y SERVICIOS</t>
  </si>
  <si>
    <t>FECHA</t>
  </si>
  <si>
    <t>Stock Inicial</t>
  </si>
  <si>
    <t>Reposición</t>
  </si>
  <si>
    <t>Stock Final</t>
  </si>
  <si>
    <t xml:space="preserve">Presión </t>
  </si>
  <si>
    <t>Servicio de</t>
  </si>
  <si>
    <t xml:space="preserve">Nivel </t>
  </si>
  <si>
    <t>[Lts]</t>
  </si>
  <si>
    <t>[Lts/d]</t>
  </si>
  <si>
    <t>Recorrida</t>
  </si>
  <si>
    <t>[cm]</t>
  </si>
  <si>
    <t>Consumo</t>
  </si>
  <si>
    <t>Dosis</t>
  </si>
  <si>
    <r>
      <t>[kg/cm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]</t>
    </r>
  </si>
  <si>
    <t>limpieza y cambio de resorte en bomba</t>
  </si>
  <si>
    <t>548 - 1000</t>
  </si>
  <si>
    <t>51 - 93</t>
  </si>
  <si>
    <t>ajusta dosis</t>
  </si>
  <si>
    <t>limpieza y lubricacion de bomba</t>
  </si>
  <si>
    <t>cambio de resorte en bomba</t>
  </si>
  <si>
    <t>cambio de empaquetadura en bomba</t>
  </si>
  <si>
    <t>se agrega glicerina a lubricador de bomba</t>
  </si>
  <si>
    <t>569 - 1000</t>
  </si>
  <si>
    <t>53 - 93</t>
  </si>
  <si>
    <t>cambio de resorte y lubricacion en bomba</t>
  </si>
  <si>
    <t xml:space="preserve">limpieza y lubricacion de bomba </t>
  </si>
  <si>
    <t>494 - 989</t>
  </si>
  <si>
    <t>46 - 92</t>
  </si>
  <si>
    <t>cambio de resorte y lubricacion de bomba</t>
  </si>
  <si>
    <t>pozo cerrado</t>
  </si>
  <si>
    <t>Reposicion de quimico</t>
  </si>
  <si>
    <t xml:space="preserve">limpieza de frecuenciador </t>
  </si>
  <si>
    <t xml:space="preserve">liquido en cabezal de bomba </t>
  </si>
  <si>
    <t>se saca capilar , pinchado en punzados</t>
  </si>
  <si>
    <t>reinicio de dosificacion - llenado de capilar 60 lt</t>
  </si>
  <si>
    <t>618 - 1000</t>
  </si>
  <si>
    <t>57,5 - 93</t>
  </si>
  <si>
    <t xml:space="preserve">reposicion de quimico </t>
  </si>
  <si>
    <t>ajusta dosis ( - )</t>
  </si>
  <si>
    <t xml:space="preserve">sube dosis a 35 lts y cierra pozo </t>
  </si>
  <si>
    <t>376 - 935</t>
  </si>
  <si>
    <t>35 - 87</t>
  </si>
  <si>
    <t>valvula obstruida en alimentacion de gas a bba</t>
  </si>
  <si>
    <t>bomba parada , valvula que alimenta bba cerrada</t>
  </si>
  <si>
    <t>317 - 1000</t>
  </si>
  <si>
    <t>29,5 - 93</t>
  </si>
  <si>
    <t>451 - 1000</t>
  </si>
  <si>
    <t>42 - 93</t>
  </si>
  <si>
    <t>bomba parada por pluspetrol - pozo cerrado</t>
  </si>
  <si>
    <t>582 - 532</t>
  </si>
  <si>
    <t>54 - 49,5</t>
  </si>
  <si>
    <t>145 - 591</t>
  </si>
  <si>
    <t>13,5 - 93</t>
  </si>
  <si>
    <t>96 - 634</t>
  </si>
  <si>
    <t>.9 - 59</t>
  </si>
  <si>
    <t>446 - 989</t>
  </si>
  <si>
    <t>41,5 - 93</t>
  </si>
  <si>
    <t>reposicion de quimico - limpieza y lubricacion de bba</t>
  </si>
  <si>
    <t>419 - 1000</t>
  </si>
  <si>
    <t>39 - 93</t>
  </si>
  <si>
    <t>279 - 1000</t>
  </si>
  <si>
    <t>26 - 93</t>
  </si>
  <si>
    <t xml:space="preserve">Reposicion de quimico </t>
  </si>
  <si>
    <t>sep de liquidos lleno - limpieza de bomba</t>
  </si>
  <si>
    <t>499 - 1000</t>
  </si>
  <si>
    <t>46,5 - 93</t>
  </si>
  <si>
    <t xml:space="preserve">pozo cerrado </t>
  </si>
  <si>
    <t>510 - 1000</t>
  </si>
  <si>
    <t>47,5 - 93</t>
  </si>
  <si>
    <t>cambio de producto</t>
  </si>
  <si>
    <t>R-1011</t>
  </si>
  <si>
    <t>RAMOS</t>
  </si>
  <si>
    <t>TITLE</t>
  </si>
  <si>
    <t>PREPARED BY:    ROBERTO NAVARRO</t>
  </si>
  <si>
    <t>P. Unitario
USD</t>
  </si>
  <si>
    <t>P. Total
USD</t>
  </si>
  <si>
    <t>Consumo Prom.</t>
  </si>
  <si>
    <t>Por PQB-PECOM</t>
  </si>
  <si>
    <t>R-1005</t>
  </si>
  <si>
    <t>Control de dosis OK. Sistema E/S normal</t>
  </si>
  <si>
    <t>R-1007</t>
  </si>
  <si>
    <t>Total USD</t>
  </si>
  <si>
    <t>R-15</t>
  </si>
  <si>
    <t>Se ajusta empaquetadura por pérdida cuerpo Bba</t>
  </si>
  <si>
    <t>Consumo Prom</t>
  </si>
  <si>
    <t>Sistema E/Scio normal</t>
  </si>
  <si>
    <t>Fecha : 24/10/2023</t>
  </si>
  <si>
    <t>BX960</t>
  </si>
  <si>
    <t>DBS3000</t>
  </si>
  <si>
    <t>CY8760W</t>
  </si>
  <si>
    <t>FBS2000</t>
  </si>
  <si>
    <t>PLANTA VANSON TRATAM AGUA PRODUCCION</t>
  </si>
  <si>
    <t>600 lts</t>
  </si>
  <si>
    <t>DOSIVAC DEC 40   S/N 22238-07</t>
  </si>
  <si>
    <t>MIRBLA ISM 1.4 DG-225P</t>
  </si>
  <si>
    <t>P. Unitario
ARS/UM</t>
  </si>
  <si>
    <t>AL</t>
  </si>
  <si>
    <t>Servicio Mensual</t>
  </si>
  <si>
    <t>Bomba eléctrica</t>
  </si>
  <si>
    <t>Bomba Neumática</t>
  </si>
  <si>
    <t>Contenedor de 1000 litros</t>
  </si>
  <si>
    <t>Total ARS</t>
  </si>
  <si>
    <t>Skid de inyección ex-Baker. Falta pintado, Se cambian FDS y etiqueta SGA</t>
  </si>
  <si>
    <t>Se cambia isocontenedor</t>
  </si>
  <si>
    <t>Skid de inyección ex-Baker. Falta pintado, corrosión en jaula. Se cambian FDS y etiqueta SGA</t>
  </si>
  <si>
    <t>R-11</t>
  </si>
  <si>
    <t>Cabecera Flowline</t>
  </si>
  <si>
    <t>Desemulsionante DBS3000</t>
  </si>
  <si>
    <t>R-1003</t>
  </si>
  <si>
    <t>Bactericida BX960</t>
  </si>
  <si>
    <t>R-1004</t>
  </si>
  <si>
    <t>inhibidor de corrosión CY8760W</t>
  </si>
  <si>
    <t>LINC Modelo 8111181 S/N A7451</t>
  </si>
  <si>
    <t>R-1009</t>
  </si>
  <si>
    <t>R-1010</t>
  </si>
  <si>
    <t>Skid de inyección ex-Baker. Falta pintado, contenedor roto. Se cambian FDS y etiqueta SGA</t>
  </si>
  <si>
    <t>Se sugiere cambio de bomba</t>
  </si>
  <si>
    <t>Williams 2,08 Lph</t>
  </si>
  <si>
    <t>Skid de inyección ex-Baker. Falta pintado. Se cambian FDS y etiqueta SGA</t>
  </si>
  <si>
    <t>Base</t>
  </si>
  <si>
    <t>Estructura de Costo</t>
  </si>
  <si>
    <t>Índice en formula</t>
  </si>
  <si>
    <t>Fuente de datos</t>
  </si>
  <si>
    <t>Mes base</t>
  </si>
  <si>
    <t>Incidencia en EC</t>
  </si>
  <si>
    <t>Mano de Obra</t>
  </si>
  <si>
    <t>Según variación de costo de Salario testigo según CCT643/12</t>
  </si>
  <si>
    <t>Combustibles - Lubriucantes</t>
  </si>
  <si>
    <t>Secretaría de energía de la nación - Gasoil Grado 3 - Precio Venta al Publico - ACA - RUTA NAC. N° 34 Y REPUBLICA</t>
  </si>
  <si>
    <t>Insumos generales</t>
  </si>
  <si>
    <t>Indec</t>
  </si>
  <si>
    <t>Mantenimiento de Skids - Laboratorio</t>
  </si>
  <si>
    <t>Dólar venta divisas. BNA</t>
  </si>
  <si>
    <t>ago-23 (ultimo día hábil)</t>
  </si>
  <si>
    <t>Valor Base</t>
  </si>
  <si>
    <t>Aumento REM</t>
  </si>
  <si>
    <t>Aumento NO REM</t>
  </si>
  <si>
    <t>$Valor</t>
  </si>
  <si>
    <t>Rellenadores</t>
  </si>
  <si>
    <t>REMUNERATI$VO</t>
  </si>
  <si>
    <t>Básico</t>
  </si>
  <si>
    <t>L</t>
  </si>
  <si>
    <t>Turno A, B, Y</t>
  </si>
  <si>
    <t>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</si>
  <si>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</si>
  <si>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</si>
  <si>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</si>
  <si>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</si>
  <si>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</si>
  <si>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</si>
  <si>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</si>
  <si>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</si>
  <si>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</si>
  <si>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</si>
  <si>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</si>
  <si>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</si>
  <si>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</si>
  <si>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</si>
  <si>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</si>
  <si>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</si>
  <si>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</si>
  <si>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</si>
  <si>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</si>
  <si>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</si>
  <si>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</si>
  <si>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</si>
  <si>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</si>
  <si>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</si>
  <si>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</si>
  <si>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</si>
  <si>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</si>
  <si>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</si>
  <si>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</si>
  <si>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</si>
  <si>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</si>
  <si>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JER</t>
  </si>
  <si>
    <t>PETROLEROS</t>
  </si>
  <si>
    <t>JERÁRQUICOS y FC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</si>
  <si>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</si>
  <si>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</si>
  <si>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</si>
  <si>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</si>
  <si>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</si>
  <si>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</si>
  <si>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</si>
  <si>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</si>
  <si>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</si>
  <si>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</si>
  <si>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</si>
  <si>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</si>
  <si>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</si>
  <si>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</si>
  <si>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</si>
  <si>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</si>
  <si>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</si>
  <si>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</si>
  <si>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</si>
  <si>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</si>
  <si>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GO (n-2)</t>
  </si>
  <si>
    <t>IPIM (n-2)</t>
  </si>
  <si>
    <t>Factor de ajuste</t>
  </si>
  <si>
    <t>Mes</t>
  </si>
  <si>
    <t>Valor IPIM NG</t>
  </si>
  <si>
    <t>Valor Vta Público</t>
  </si>
  <si>
    <t>Formula de Ajuste</t>
  </si>
  <si>
    <t>Tarifa</t>
  </si>
  <si>
    <t>Servicio Mensual ARS/mes</t>
  </si>
  <si>
    <t>MO (n)</t>
  </si>
  <si>
    <t>USD (n-1)</t>
  </si>
  <si>
    <t>Mes de ajuste</t>
  </si>
  <si>
    <t xml:space="preserve">Mes </t>
  </si>
  <si>
    <t>Valor USD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</si>
  <si>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</si>
  <si>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</si>
  <si>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</si>
  <si>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</si>
  <si>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</si>
  <si>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</si>
  <si>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WPU06</t>
  </si>
  <si>
    <t>Producer Price Index by Commodity: Chemicals and Allied Products, Index 1982=100, Monthly, Not Seasonally Adjusted</t>
  </si>
  <si>
    <t>Frequency: Monthly</t>
  </si>
  <si>
    <t>observation_date</t>
  </si>
  <si>
    <t>WPU</t>
  </si>
  <si>
    <t>Solventes y otras MP</t>
  </si>
  <si>
    <t>Materias Primas</t>
  </si>
  <si>
    <t>Fabricación, enavasado, logistica</t>
  </si>
  <si>
    <t>Corrección de factores nacionales</t>
  </si>
  <si>
    <t>Precios de Productos Químicos</t>
  </si>
  <si>
    <t>PQ</t>
  </si>
  <si>
    <t>ECY1040</t>
  </si>
  <si>
    <t>ECY930</t>
  </si>
  <si>
    <t>ESB1090</t>
  </si>
  <si>
    <t>BX600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</si>
</sst>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dd/mm/yy;@"/>
    <numFmt numFmtId="167" formatCode="0.0%"/>
    <numFmt numFmtId="168" formatCode="_-* #,##0.000\ _€_-;\-* #,##0.000\ _€_-;_-* &quot;-&quot;??\ _€_-;_-@_-"/>
    <numFmt numFmtId="169" formatCode="_-* #,##0.00\ _€_-;\-* #,##0.00\ _€_-;_-* &quot;-&quot;??\ _€_-;_-@_-"/>
    <numFmt numFmtId="170" formatCode="0.0000"/>
    <numFmt numFmtId="171" formatCode="yyyy\-mm\-dd"/>
    <numFmt numFmtId="172" formatCode="#,##0.0"/>
  </numFmts>
  <fonts count="4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sz val="10"/>
      <color indexed="6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14"/>
      <color indexed="10"/>
      <name val="Calibri"/>
      <family val="2"/>
      <scheme val="minor"/>
    </font>
    <font>
      <sz val="14"/>
      <color indexed="12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theme="0"/>
      <name val="Exo"/>
    </font>
    <font>
      <sz val="8"/>
      <name val="Exo"/>
    </font>
    <font>
      <b/>
      <sz val="8"/>
      <name val="Exo"/>
    </font>
    <font>
      <sz val="8"/>
      <color theme="1"/>
      <name val="Exo"/>
    </font>
    <font>
      <b/>
      <sz val="8"/>
      <color theme="1"/>
      <name val="Exo"/>
    </font>
    <font>
      <b/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 style="thin">
        <color indexed="64"/>
      </right>
      <top style="thin">
        <color indexed="1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64"/>
      </right>
      <top/>
      <bottom style="thin">
        <color indexed="1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9" fontId="40" fillId="0" borderId="0" applyFont="0" applyFill="0" applyBorder="0" applyAlignment="0" applyProtection="0"/>
    <xf numFmtId="0" fontId="40" fillId="0" borderId="0"/>
    <xf numFmtId="0" fontId="5" fillId="0" borderId="0"/>
  </cellStyleXfs>
  <cellXfs count="53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0" fillId="2" borderId="0" xfId="0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0" fontId="10" fillId="0" borderId="0" xfId="0" applyFont="1"/>
    <xf numFmtId="0" fontId="8" fillId="2" borderId="0" xfId="0" applyFont="1" applyFill="1" applyAlignment="1">
      <alignment vertical="center"/>
    </xf>
    <xf numFmtId="0" fontId="9" fillId="0" borderId="0" xfId="0" applyFont="1"/>
    <xf numFmtId="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14" xfId="0" applyFont="1" applyFill="1" applyBorder="1" applyAlignment="1" applyProtection="1">
      <alignment vertical="center"/>
      <protection locked="0"/>
    </xf>
    <xf numFmtId="0" fontId="7" fillId="2" borderId="15" xfId="0" applyFont="1" applyFill="1" applyBorder="1" applyAlignment="1" applyProtection="1">
      <alignment vertical="center"/>
      <protection locked="0"/>
    </xf>
    <xf numFmtId="0" fontId="7" fillId="2" borderId="16" xfId="0" applyFont="1" applyFill="1" applyBorder="1" applyAlignment="1" applyProtection="1">
      <alignment vertical="center"/>
      <protection locked="0"/>
    </xf>
    <xf numFmtId="0" fontId="7" fillId="2" borderId="6" xfId="0" quotePrefix="1" applyFont="1" applyFill="1" applyBorder="1" applyAlignment="1" applyProtection="1">
      <alignment horizontal="left" vertical="center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6" xfId="0" applyFont="1" applyFill="1" applyBorder="1" applyAlignment="1" applyProtection="1">
      <alignment vertical="center"/>
      <protection locked="0"/>
    </xf>
    <xf numFmtId="0" fontId="12" fillId="2" borderId="7" xfId="0" applyFont="1" applyFill="1" applyBorder="1" applyAlignment="1">
      <alignment vertical="center"/>
    </xf>
    <xf numFmtId="0" fontId="12" fillId="2" borderId="8" xfId="0" applyFont="1" applyFill="1" applyBorder="1" applyAlignment="1">
      <alignment vertical="center"/>
    </xf>
    <xf numFmtId="0" fontId="12" fillId="2" borderId="17" xfId="0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Alignment="1" applyProtection="1">
      <alignment horizontal="left" vertical="center"/>
      <protection locked="0"/>
    </xf>
    <xf numFmtId="1" fontId="12" fillId="2" borderId="0" xfId="0" applyNumberFormat="1" applyFont="1" applyFill="1" applyAlignment="1" applyProtection="1">
      <alignment horizontal="left" vertical="center"/>
      <protection locked="0"/>
    </xf>
    <xf numFmtId="0" fontId="12" fillId="2" borderId="0" xfId="0" applyFont="1" applyFill="1" applyAlignment="1">
      <alignment vertical="center"/>
    </xf>
    <xf numFmtId="0" fontId="12" fillId="2" borderId="18" xfId="0" applyFont="1" applyFill="1" applyBorder="1" applyAlignment="1">
      <alignment vertical="center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18" xfId="0" applyFont="1" applyFill="1" applyBorder="1" applyAlignment="1" applyProtection="1">
      <alignment vertical="center"/>
      <protection locked="0"/>
    </xf>
    <xf numFmtId="0" fontId="13" fillId="6" borderId="6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6" fontId="11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33" xfId="0" applyFont="1" applyFill="1" applyBorder="1" applyAlignment="1">
      <alignment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" fontId="11" fillId="2" borderId="33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" fontId="11" fillId="2" borderId="28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7" fillId="2" borderId="17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left" vertical="center"/>
    </xf>
    <xf numFmtId="1" fontId="11" fillId="2" borderId="20" xfId="0" applyNumberFormat="1" applyFont="1" applyFill="1" applyBorder="1" applyAlignment="1">
      <alignment horizontal="left" vertical="center"/>
    </xf>
    <xf numFmtId="0" fontId="11" fillId="2" borderId="21" xfId="0" applyFont="1" applyFill="1" applyBorder="1" applyAlignment="1">
      <alignment horizontal="left" vertical="center"/>
    </xf>
    <xf numFmtId="166" fontId="11" fillId="2" borderId="19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1" fontId="11" fillId="2" borderId="20" xfId="0" applyNumberFormat="1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16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22" fillId="6" borderId="31" xfId="0" applyFont="1" applyFill="1" applyBorder="1"/>
    <xf numFmtId="0" fontId="16" fillId="6" borderId="34" xfId="0" applyFont="1" applyFill="1" applyBorder="1"/>
    <xf numFmtId="0" fontId="22" fillId="6" borderId="32" xfId="0" applyFont="1" applyFill="1" applyBorder="1"/>
    <xf numFmtId="14" fontId="22" fillId="6" borderId="32" xfId="0" applyNumberFormat="1" applyFont="1" applyFill="1" applyBorder="1" applyAlignment="1">
      <alignment horizontal="center"/>
    </xf>
    <xf numFmtId="0" fontId="22" fillId="0" borderId="0" xfId="0" applyFont="1"/>
    <xf numFmtId="0" fontId="18" fillId="0" borderId="0" xfId="0" applyFont="1" applyAlignment="1">
      <alignment horizontal="right"/>
    </xf>
    <xf numFmtId="14" fontId="22" fillId="0" borderId="0" xfId="0" applyNumberFormat="1" applyFont="1" applyAlignment="1">
      <alignment horizontal="center"/>
    </xf>
    <xf numFmtId="0" fontId="23" fillId="0" borderId="0" xfId="0" applyFont="1"/>
    <xf numFmtId="0" fontId="18" fillId="0" borderId="0" xfId="0" applyFont="1"/>
    <xf numFmtId="0" fontId="16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14" fontId="16" fillId="0" borderId="0" xfId="0" applyNumberFormat="1" applyFont="1"/>
    <xf numFmtId="0" fontId="26" fillId="0" borderId="0" xfId="0" applyFont="1" applyAlignment="1">
      <alignment horizontal="left"/>
    </xf>
    <xf numFmtId="0" fontId="17" fillId="4" borderId="35" xfId="0" applyFont="1" applyFill="1" applyBorder="1" applyAlignment="1">
      <alignment horizontal="center"/>
    </xf>
    <xf numFmtId="0" fontId="17" fillId="4" borderId="36" xfId="0" applyFont="1" applyFill="1" applyBorder="1" applyAlignment="1">
      <alignment horizontal="center"/>
    </xf>
    <xf numFmtId="0" fontId="17" fillId="4" borderId="36" xfId="0" applyFont="1" applyFill="1" applyBorder="1" applyAlignment="1">
      <alignment horizontal="center" wrapText="1"/>
    </xf>
    <xf numFmtId="0" fontId="17" fillId="4" borderId="37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0" fontId="16" fillId="0" borderId="2" xfId="0" applyFont="1" applyBorder="1"/>
    <xf numFmtId="4" fontId="16" fillId="0" borderId="2" xfId="0" applyNumberFormat="1" applyFont="1" applyBorder="1" applyAlignment="1">
      <alignment horizontal="center"/>
    </xf>
    <xf numFmtId="4" fontId="25" fillId="0" borderId="4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2" xfId="0" applyFont="1" applyBorder="1"/>
    <xf numFmtId="4" fontId="27" fillId="0" borderId="2" xfId="0" applyNumberFormat="1" applyFont="1" applyBorder="1" applyAlignment="1">
      <alignment horizontal="center"/>
    </xf>
    <xf numFmtId="1" fontId="27" fillId="0" borderId="3" xfId="0" applyNumberFormat="1" applyFont="1" applyBorder="1" applyAlignment="1">
      <alignment horizontal="center"/>
    </xf>
    <xf numFmtId="3" fontId="25" fillId="0" borderId="2" xfId="0" quotePrefix="1" applyNumberFormat="1" applyFont="1" applyBorder="1" applyAlignment="1">
      <alignment horizontal="center"/>
    </xf>
    <xf numFmtId="1" fontId="27" fillId="0" borderId="0" xfId="0" applyNumberFormat="1" applyFont="1" applyAlignment="1">
      <alignment horizontal="center"/>
    </xf>
    <xf numFmtId="0" fontId="28" fillId="0" borderId="0" xfId="0" applyFont="1"/>
    <xf numFmtId="4" fontId="25" fillId="0" borderId="0" xfId="0" applyNumberFormat="1" applyFont="1" applyAlignment="1">
      <alignment horizontal="center"/>
    </xf>
    <xf numFmtId="1" fontId="27" fillId="0" borderId="27" xfId="0" applyNumberFormat="1" applyFont="1" applyBorder="1" applyAlignment="1">
      <alignment horizontal="center"/>
    </xf>
    <xf numFmtId="4" fontId="25" fillId="0" borderId="29" xfId="0" applyNumberFormat="1" applyFont="1" applyBorder="1" applyAlignment="1">
      <alignment horizontal="center"/>
    </xf>
    <xf numFmtId="1" fontId="27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center"/>
    </xf>
    <xf numFmtId="4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right"/>
    </xf>
    <xf numFmtId="4" fontId="24" fillId="0" borderId="26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2" fontId="16" fillId="0" borderId="0" xfId="0" applyNumberFormat="1" applyFont="1" applyAlignment="1">
      <alignment horizontal="center"/>
    </xf>
    <xf numFmtId="2" fontId="16" fillId="0" borderId="0" xfId="0" applyNumberFormat="1" applyFont="1"/>
    <xf numFmtId="0" fontId="25" fillId="0" borderId="0" xfId="0" quotePrefix="1" applyFont="1"/>
    <xf numFmtId="0" fontId="16" fillId="0" borderId="0" xfId="0" quotePrefix="1" applyFont="1"/>
    <xf numFmtId="0" fontId="2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0" fillId="0" borderId="0" xfId="0" applyFont="1"/>
    <xf numFmtId="1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left"/>
    </xf>
    <xf numFmtId="166" fontId="32" fillId="0" borderId="2" xfId="0" applyNumberFormat="1" applyFont="1" applyBorder="1" applyAlignment="1">
      <alignment horizontal="center"/>
    </xf>
    <xf numFmtId="0" fontId="32" fillId="0" borderId="25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166" fontId="33" fillId="5" borderId="2" xfId="0" applyNumberFormat="1" applyFont="1" applyFill="1" applyBorder="1" applyAlignment="1">
      <alignment horizontal="center" vertical="center"/>
    </xf>
    <xf numFmtId="0" fontId="33" fillId="5" borderId="12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1" fontId="33" fillId="5" borderId="2" xfId="0" applyNumberFormat="1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33" fillId="5" borderId="8" xfId="0" applyFont="1" applyFill="1" applyBorder="1" applyAlignment="1">
      <alignment horizontal="center" vertical="center"/>
    </xf>
    <xf numFmtId="0" fontId="33" fillId="5" borderId="6" xfId="0" applyFont="1" applyFill="1" applyBorder="1" applyAlignment="1">
      <alignment horizontal="center" vertical="center"/>
    </xf>
    <xf numFmtId="1" fontId="33" fillId="5" borderId="5" xfId="0" applyNumberFormat="1" applyFont="1" applyFill="1" applyBorder="1" applyAlignment="1">
      <alignment horizontal="center" vertical="center"/>
    </xf>
    <xf numFmtId="164" fontId="33" fillId="5" borderId="2" xfId="0" applyNumberFormat="1" applyFont="1" applyFill="1" applyBorder="1" applyAlignment="1">
      <alignment horizontal="center" vertical="center"/>
    </xf>
    <xf numFmtId="0" fontId="33" fillId="5" borderId="8" xfId="0" applyFont="1" applyFill="1" applyBorder="1" applyAlignment="1">
      <alignment vertical="center"/>
    </xf>
    <xf numFmtId="0" fontId="33" fillId="5" borderId="2" xfId="0" applyFont="1" applyFill="1" applyBorder="1" applyAlignment="1">
      <alignment vertical="center"/>
    </xf>
    <xf numFmtId="164" fontId="33" fillId="5" borderId="5" xfId="0" applyNumberFormat="1" applyFont="1" applyFill="1" applyBorder="1" applyAlignment="1">
      <alignment horizontal="center" vertical="center"/>
    </xf>
    <xf numFmtId="166" fontId="33" fillId="9" borderId="2" xfId="0" applyNumberFormat="1" applyFont="1" applyFill="1" applyBorder="1" applyAlignment="1">
      <alignment horizontal="center" vertical="center"/>
    </xf>
    <xf numFmtId="0" fontId="33" fillId="9" borderId="12" xfId="0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/>
    </xf>
    <xf numFmtId="0" fontId="33" fillId="9" borderId="5" xfId="0" applyFont="1" applyFill="1" applyBorder="1" applyAlignment="1">
      <alignment horizontal="center" vertical="center"/>
    </xf>
    <xf numFmtId="164" fontId="33" fillId="9" borderId="5" xfId="0" applyNumberFormat="1" applyFont="1" applyFill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/>
    </xf>
    <xf numFmtId="1" fontId="33" fillId="9" borderId="5" xfId="0" applyNumberFormat="1" applyFont="1" applyFill="1" applyBorder="1" applyAlignment="1">
      <alignment horizontal="center" vertical="center"/>
    </xf>
    <xf numFmtId="166" fontId="33" fillId="10" borderId="2" xfId="0" applyNumberFormat="1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0" fontId="33" fillId="10" borderId="2" xfId="0" applyFont="1" applyFill="1" applyBorder="1" applyAlignment="1">
      <alignment horizontal="center" vertical="center"/>
    </xf>
    <xf numFmtId="0" fontId="33" fillId="10" borderId="5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164" fontId="33" fillId="10" borderId="5" xfId="0" applyNumberFormat="1" applyFont="1" applyFill="1" applyBorder="1" applyAlignment="1">
      <alignment horizontal="center" vertical="center"/>
    </xf>
    <xf numFmtId="1" fontId="33" fillId="10" borderId="5" xfId="0" applyNumberFormat="1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166" fontId="33" fillId="11" borderId="2" xfId="0" applyNumberFormat="1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33" fillId="11" borderId="5" xfId="0" applyFont="1" applyFill="1" applyBorder="1" applyAlignment="1">
      <alignment horizontal="center" vertical="center"/>
    </xf>
    <xf numFmtId="1" fontId="33" fillId="11" borderId="5" xfId="0" applyNumberFormat="1" applyFont="1" applyFill="1" applyBorder="1" applyAlignment="1">
      <alignment horizontal="center" vertical="center"/>
    </xf>
    <xf numFmtId="0" fontId="33" fillId="11" borderId="8" xfId="0" applyFont="1" applyFill="1" applyBorder="1" applyAlignment="1">
      <alignment horizontal="center" vertical="center"/>
    </xf>
    <xf numFmtId="164" fontId="33" fillId="11" borderId="5" xfId="0" applyNumberFormat="1" applyFont="1" applyFill="1" applyBorder="1" applyAlignment="1">
      <alignment horizontal="center" vertical="center"/>
    </xf>
    <xf numFmtId="166" fontId="33" fillId="8" borderId="2" xfId="0" applyNumberFormat="1" applyFont="1" applyFill="1" applyBorder="1" applyAlignment="1">
      <alignment horizontal="center" vertical="center"/>
    </xf>
    <xf numFmtId="0" fontId="33" fillId="8" borderId="12" xfId="0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6" xfId="0" applyFont="1" applyFill="1" applyBorder="1" applyAlignment="1">
      <alignment horizontal="center" vertical="center"/>
    </xf>
    <xf numFmtId="0" fontId="33" fillId="8" borderId="5" xfId="0" applyFont="1" applyFill="1" applyBorder="1" applyAlignment="1">
      <alignment horizontal="center" vertical="center"/>
    </xf>
    <xf numFmtId="1" fontId="33" fillId="8" borderId="5" xfId="0" applyNumberFormat="1" applyFont="1" applyFill="1" applyBorder="1" applyAlignment="1">
      <alignment horizontal="center" vertical="center"/>
    </xf>
    <xf numFmtId="0" fontId="33" fillId="8" borderId="8" xfId="0" applyFont="1" applyFill="1" applyBorder="1" applyAlignment="1">
      <alignment horizontal="center" vertical="center"/>
    </xf>
    <xf numFmtId="164" fontId="33" fillId="8" borderId="5" xfId="0" applyNumberFormat="1" applyFont="1" applyFill="1" applyBorder="1" applyAlignment="1">
      <alignment horizontal="center" vertical="center"/>
    </xf>
    <xf numFmtId="0" fontId="34" fillId="8" borderId="2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 vertical="center"/>
    </xf>
    <xf numFmtId="166" fontId="33" fillId="12" borderId="2" xfId="0" applyNumberFormat="1" applyFont="1" applyFill="1" applyBorder="1" applyAlignment="1">
      <alignment horizontal="center" vertical="center"/>
    </xf>
    <xf numFmtId="0" fontId="33" fillId="12" borderId="12" xfId="0" applyFont="1" applyFill="1" applyBorder="1" applyAlignment="1">
      <alignment horizontal="center" vertical="center"/>
    </xf>
    <xf numFmtId="0" fontId="33" fillId="12" borderId="2" xfId="0" applyFont="1" applyFill="1" applyBorder="1" applyAlignment="1">
      <alignment horizontal="center" vertical="center"/>
    </xf>
    <xf numFmtId="0" fontId="33" fillId="12" borderId="6" xfId="0" applyFont="1" applyFill="1" applyBorder="1" applyAlignment="1">
      <alignment horizontal="center" vertical="center"/>
    </xf>
    <xf numFmtId="0" fontId="33" fillId="12" borderId="5" xfId="0" applyFont="1" applyFill="1" applyBorder="1" applyAlignment="1">
      <alignment horizontal="center" vertical="center"/>
    </xf>
    <xf numFmtId="1" fontId="33" fillId="12" borderId="5" xfId="0" applyNumberFormat="1" applyFont="1" applyFill="1" applyBorder="1" applyAlignment="1">
      <alignment horizontal="center" vertical="center"/>
    </xf>
    <xf numFmtId="0" fontId="33" fillId="12" borderId="8" xfId="0" applyFont="1" applyFill="1" applyBorder="1" applyAlignment="1">
      <alignment horizontal="center" vertical="center"/>
    </xf>
    <xf numFmtId="164" fontId="33" fillId="12" borderId="5" xfId="0" applyNumberFormat="1" applyFont="1" applyFill="1" applyBorder="1" applyAlignment="1">
      <alignment horizontal="center" vertical="center"/>
    </xf>
    <xf numFmtId="4" fontId="35" fillId="0" borderId="0" xfId="0" applyNumberFormat="1" applyFont="1"/>
    <xf numFmtId="166" fontId="33" fillId="13" borderId="2" xfId="0" applyNumberFormat="1" applyFont="1" applyFill="1" applyBorder="1" applyAlignment="1">
      <alignment horizontal="center" vertical="center"/>
    </xf>
    <xf numFmtId="0" fontId="33" fillId="13" borderId="12" xfId="0" applyFont="1" applyFill="1" applyBorder="1" applyAlignment="1">
      <alignment horizontal="center" vertical="center"/>
    </xf>
    <xf numFmtId="0" fontId="33" fillId="13" borderId="2" xfId="0" applyFont="1" applyFill="1" applyBorder="1" applyAlignment="1">
      <alignment horizontal="center" vertical="center"/>
    </xf>
    <xf numFmtId="0" fontId="33" fillId="13" borderId="6" xfId="0" applyFont="1" applyFill="1" applyBorder="1" applyAlignment="1">
      <alignment horizontal="center" vertical="center"/>
    </xf>
    <xf numFmtId="0" fontId="33" fillId="13" borderId="5" xfId="0" applyFont="1" applyFill="1" applyBorder="1" applyAlignment="1">
      <alignment horizontal="center" vertical="center"/>
    </xf>
    <xf numFmtId="1" fontId="33" fillId="13" borderId="5" xfId="0" applyNumberFormat="1" applyFont="1" applyFill="1" applyBorder="1" applyAlignment="1">
      <alignment horizontal="center" vertical="center"/>
    </xf>
    <xf numFmtId="0" fontId="33" fillId="13" borderId="8" xfId="0" applyFont="1" applyFill="1" applyBorder="1" applyAlignment="1">
      <alignment horizontal="center" vertical="center"/>
    </xf>
    <xf numFmtId="166" fontId="33" fillId="14" borderId="2" xfId="0" applyNumberFormat="1" applyFont="1" applyFill="1" applyBorder="1" applyAlignment="1">
      <alignment horizontal="center" vertical="center"/>
    </xf>
    <xf numFmtId="0" fontId="33" fillId="14" borderId="12" xfId="0" applyFont="1" applyFill="1" applyBorder="1" applyAlignment="1">
      <alignment horizontal="center" vertical="center"/>
    </xf>
    <xf numFmtId="0" fontId="33" fillId="14" borderId="2" xfId="0" applyFont="1" applyFill="1" applyBorder="1" applyAlignment="1">
      <alignment horizontal="center" vertical="center"/>
    </xf>
    <xf numFmtId="0" fontId="33" fillId="14" borderId="6" xfId="0" applyFont="1" applyFill="1" applyBorder="1" applyAlignment="1">
      <alignment horizontal="center" vertical="center"/>
    </xf>
    <xf numFmtId="0" fontId="33" fillId="14" borderId="5" xfId="0" applyFont="1" applyFill="1" applyBorder="1" applyAlignment="1">
      <alignment horizontal="center" vertical="center"/>
    </xf>
    <xf numFmtId="1" fontId="33" fillId="14" borderId="5" xfId="0" applyNumberFormat="1" applyFont="1" applyFill="1" applyBorder="1" applyAlignment="1">
      <alignment horizontal="center" vertical="center"/>
    </xf>
    <xf numFmtId="0" fontId="33" fillId="14" borderId="8" xfId="0" applyFont="1" applyFill="1" applyBorder="1" applyAlignment="1">
      <alignment horizontal="center" vertical="center"/>
    </xf>
    <xf numFmtId="164" fontId="33" fillId="14" borderId="5" xfId="0" applyNumberFormat="1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166" fontId="33" fillId="15" borderId="2" xfId="0" applyNumberFormat="1" applyFont="1" applyFill="1" applyBorder="1" applyAlignment="1">
      <alignment horizontal="center" vertical="center"/>
    </xf>
    <xf numFmtId="0" fontId="33" fillId="15" borderId="12" xfId="0" applyFont="1" applyFill="1" applyBorder="1" applyAlignment="1">
      <alignment horizontal="center" vertical="center"/>
    </xf>
    <xf numFmtId="0" fontId="33" fillId="15" borderId="2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164" fontId="33" fillId="15" borderId="5" xfId="0" applyNumberFormat="1" applyFont="1" applyFill="1" applyBorder="1" applyAlignment="1">
      <alignment horizontal="center" vertical="center"/>
    </xf>
    <xf numFmtId="0" fontId="33" fillId="15" borderId="8" xfId="0" applyFont="1" applyFill="1" applyBorder="1" applyAlignment="1">
      <alignment horizontal="center" vertical="center"/>
    </xf>
    <xf numFmtId="0" fontId="37" fillId="6" borderId="6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1" fontId="33" fillId="8" borderId="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166" fontId="32" fillId="8" borderId="2" xfId="0" applyNumberFormat="1" applyFont="1" applyFill="1" applyBorder="1" applyAlignment="1">
      <alignment horizontal="center"/>
    </xf>
    <xf numFmtId="0" fontId="32" fillId="8" borderId="25" xfId="0" applyFont="1" applyFill="1" applyBorder="1" applyAlignment="1">
      <alignment horizontal="center"/>
    </xf>
    <xf numFmtId="17" fontId="32" fillId="8" borderId="2" xfId="0" applyNumberFormat="1" applyFont="1" applyFill="1" applyBorder="1" applyAlignment="1">
      <alignment horizontal="center"/>
    </xf>
    <xf numFmtId="164" fontId="33" fillId="8" borderId="2" xfId="0" applyNumberFormat="1" applyFont="1" applyFill="1" applyBorder="1" applyAlignment="1">
      <alignment horizontal="center" vertical="center"/>
    </xf>
    <xf numFmtId="166" fontId="11" fillId="8" borderId="2" xfId="0" applyNumberFormat="1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" fontId="11" fillId="8" borderId="5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9" xfId="0" applyFont="1" applyFill="1" applyBorder="1" applyAlignment="1">
      <alignment vertical="center"/>
    </xf>
    <xf numFmtId="0" fontId="11" fillId="8" borderId="33" xfId="0" applyFont="1" applyFill="1" applyBorder="1" applyAlignment="1">
      <alignment vertical="center"/>
    </xf>
    <xf numFmtId="0" fontId="11" fillId="8" borderId="33" xfId="0" applyFont="1" applyFill="1" applyBorder="1" applyAlignment="1">
      <alignment horizontal="center" vertical="center"/>
    </xf>
    <xf numFmtId="1" fontId="11" fillId="8" borderId="33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166" fontId="32" fillId="8" borderId="2" xfId="0" applyNumberFormat="1" applyFont="1" applyFill="1" applyBorder="1" applyAlignment="1">
      <alignment horizontal="center" vertical="center"/>
    </xf>
    <xf numFmtId="0" fontId="32" fillId="8" borderId="25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3" fillId="8" borderId="7" xfId="0" applyFont="1" applyFill="1" applyBorder="1" applyAlignment="1">
      <alignment horizontal="center" vertical="center"/>
    </xf>
    <xf numFmtId="164" fontId="33" fillId="8" borderId="6" xfId="0" applyNumberFormat="1" applyFont="1" applyFill="1" applyBorder="1" applyAlignment="1">
      <alignment horizontal="center" vertical="center"/>
    </xf>
    <xf numFmtId="164" fontId="33" fillId="8" borderId="12" xfId="0" applyNumberFormat="1" applyFont="1" applyFill="1" applyBorder="1" applyAlignment="1">
      <alignment horizontal="center" vertical="center"/>
    </xf>
    <xf numFmtId="164" fontId="32" fillId="8" borderId="2" xfId="0" applyNumberFormat="1" applyFont="1" applyFill="1" applyBorder="1" applyAlignment="1">
      <alignment horizontal="center"/>
    </xf>
    <xf numFmtId="166" fontId="34" fillId="8" borderId="2" xfId="0" applyNumberFormat="1" applyFont="1" applyFill="1" applyBorder="1" applyAlignment="1">
      <alignment horizontal="center"/>
    </xf>
    <xf numFmtId="0" fontId="34" fillId="8" borderId="25" xfId="0" applyFont="1" applyFill="1" applyBorder="1" applyAlignment="1">
      <alignment horizontal="center"/>
    </xf>
    <xf numFmtId="164" fontId="34" fillId="8" borderId="2" xfId="0" applyNumberFormat="1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 vertical="center"/>
    </xf>
    <xf numFmtId="1" fontId="33" fillId="8" borderId="6" xfId="0" applyNumberFormat="1" applyFont="1" applyFill="1" applyBorder="1" applyAlignment="1">
      <alignment horizontal="center" vertical="center"/>
    </xf>
    <xf numFmtId="0" fontId="33" fillId="8" borderId="12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1" xfId="0" applyFont="1" applyFill="1" applyBorder="1" applyAlignment="1">
      <alignment horizontal="center" vertical="center" wrapText="1"/>
    </xf>
    <xf numFmtId="0" fontId="22" fillId="6" borderId="34" xfId="0" applyFont="1" applyFill="1" applyBorder="1"/>
    <xf numFmtId="4" fontId="16" fillId="0" borderId="12" xfId="0" applyNumberFormat="1" applyFont="1" applyBorder="1" applyAlignment="1">
      <alignment horizontal="center"/>
    </xf>
    <xf numFmtId="4" fontId="27" fillId="0" borderId="12" xfId="0" applyNumberFormat="1" applyFont="1" applyBorder="1" applyAlignment="1">
      <alignment horizontal="center"/>
    </xf>
    <xf numFmtId="1" fontId="27" fillId="0" borderId="34" xfId="0" applyNumberFormat="1" applyFont="1" applyBorder="1" applyAlignment="1">
      <alignment horizontal="center"/>
    </xf>
    <xf numFmtId="1" fontId="27" fillId="0" borderId="31" xfId="0" applyNumberFormat="1" applyFont="1" applyBorder="1" applyAlignment="1">
      <alignment horizontal="center"/>
    </xf>
    <xf numFmtId="0" fontId="42" fillId="0" borderId="2" xfId="2" applyFont="1" applyBorder="1" applyAlignment="1">
      <alignment horizontal="center" vertical="center" wrapText="1"/>
    </xf>
    <xf numFmtId="0" fontId="43" fillId="0" borderId="2" xfId="2" applyFont="1" applyBorder="1" applyAlignment="1">
      <alignment horizontal="center" vertical="center" wrapText="1"/>
    </xf>
    <xf numFmtId="17" fontId="42" fillId="0" borderId="2" xfId="2" applyNumberFormat="1" applyFont="1" applyBorder="1" applyAlignment="1">
      <alignment horizontal="center" vertical="center" wrapText="1"/>
    </xf>
    <xf numFmtId="167" fontId="42" fillId="0" borderId="2" xfId="1" applyNumberFormat="1" applyFont="1" applyBorder="1" applyAlignment="1">
      <alignment horizontal="center" vertical="center" wrapText="1"/>
    </xf>
    <xf numFmtId="0" fontId="44" fillId="0" borderId="2" xfId="2" applyFont="1" applyBorder="1" applyAlignment="1">
      <alignment horizontal="center" vertical="center" wrapText="1"/>
    </xf>
    <xf numFmtId="0" fontId="45" fillId="0" borderId="2" xfId="2" applyFont="1" applyBorder="1" applyAlignment="1">
      <alignment horizontal="center" vertical="center" wrapText="1"/>
    </xf>
    <xf numFmtId="17" fontId="44" fillId="0" borderId="2" xfId="2" applyNumberFormat="1" applyFont="1" applyBorder="1" applyAlignment="1">
      <alignment horizontal="center" vertical="center" wrapText="1"/>
    </xf>
    <xf numFmtId="167" fontId="44" fillId="0" borderId="2" xfId="1" applyNumberFormat="1" applyFont="1" applyBorder="1" applyAlignment="1">
      <alignment horizontal="center" vertical="center" wrapText="1"/>
    </xf>
    <xf numFmtId="9" fontId="10" fillId="0" borderId="0" xfId="0" applyNumberFormat="1" applyFont="1"/>
    <xf numFmtId="0" fontId="10" fillId="0" borderId="0" xfId="0" applyFont="1" applyAlignment="1">
      <alignment horizontal="right"/>
    </xf>
    <xf numFmtId="10" fontId="10" fillId="0" borderId="0" xfId="0" applyNumberFormat="1" applyFont="1"/>
    <xf numFmtId="17" fontId="10" fillId="6" borderId="2" xfId="0" applyNumberFormat="1" applyFont="1" applyFill="1" applyBorder="1"/>
    <xf numFmtId="0" fontId="46" fillId="0" borderId="5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 wrapText="1"/>
    </xf>
    <xf numFmtId="0" fontId="10" fillId="0" borderId="41" xfId="0" applyFont="1" applyBorder="1"/>
    <xf numFmtId="0" fontId="10" fillId="0" borderId="41" xfId="0" applyFont="1" applyBorder="1" applyAlignment="1">
      <alignment horizontal="center" vertical="center"/>
    </xf>
    <xf numFmtId="43" fontId="10" fillId="0" borderId="41" xfId="0" applyNumberFormat="1" applyFont="1" applyBorder="1" applyAlignment="1">
      <alignment horizontal="center" vertical="center"/>
    </xf>
    <xf numFmtId="0" fontId="10" fillId="0" borderId="42" xfId="0" applyFont="1" applyBorder="1"/>
    <xf numFmtId="0" fontId="10" fillId="0" borderId="42" xfId="0" applyFont="1" applyBorder="1" applyAlignment="1">
      <alignment horizontal="center" vertical="center"/>
    </xf>
    <xf numFmtId="9" fontId="10" fillId="0" borderId="42" xfId="0" applyNumberFormat="1" applyFont="1" applyBorder="1" applyAlignment="1">
      <alignment horizontal="center" vertical="center"/>
    </xf>
    <xf numFmtId="43" fontId="10" fillId="0" borderId="42" xfId="0" applyNumberFormat="1" applyFont="1" applyBorder="1" applyAlignment="1">
      <alignment horizontal="center" vertical="center"/>
    </xf>
    <xf numFmtId="1" fontId="10" fillId="0" borderId="42" xfId="0" applyNumberFormat="1" applyFont="1" applyBorder="1" applyAlignment="1">
      <alignment horizontal="center" vertical="center"/>
    </xf>
    <xf numFmtId="2" fontId="10" fillId="0" borderId="42" xfId="0" applyNumberFormat="1" applyFont="1" applyBorder="1" applyAlignment="1">
      <alignment horizontal="center" vertical="center"/>
    </xf>
    <xf numFmtId="43" fontId="10" fillId="17" borderId="42" xfId="0" applyNumberFormat="1" applyFont="1" applyFill="1" applyBorder="1" applyAlignment="1">
      <alignment horizontal="center" vertical="center"/>
    </xf>
    <xf numFmtId="10" fontId="10" fillId="0" borderId="42" xfId="1" applyNumberFormat="1" applyFont="1" applyBorder="1" applyAlignment="1">
      <alignment horizontal="center" vertical="center"/>
    </xf>
    <xf numFmtId="0" fontId="10" fillId="0" borderId="43" xfId="0" applyFont="1" applyBorder="1"/>
    <xf numFmtId="43" fontId="10" fillId="0" borderId="43" xfId="0" applyNumberFormat="1" applyFont="1" applyBorder="1" applyAlignment="1">
      <alignment horizontal="center" vertical="center"/>
    </xf>
    <xf numFmtId="9" fontId="10" fillId="0" borderId="43" xfId="0" applyNumberFormat="1" applyFont="1" applyBorder="1" applyAlignment="1">
      <alignment horizontal="center" vertical="center"/>
    </xf>
    <xf numFmtId="0" fontId="46" fillId="18" borderId="2" xfId="0" applyFont="1" applyFill="1" applyBorder="1"/>
    <xf numFmtId="0" fontId="46" fillId="18" borderId="2" xfId="0" applyFont="1" applyFill="1" applyBorder="1" applyAlignment="1">
      <alignment horizontal="center" vertical="center"/>
    </xf>
    <xf numFmtId="43" fontId="46" fillId="18" borderId="2" xfId="0" applyNumberFormat="1" applyFont="1" applyFill="1" applyBorder="1" applyAlignment="1">
      <alignment horizontal="center" vertical="center"/>
    </xf>
    <xf numFmtId="2" fontId="10" fillId="0" borderId="0" xfId="0" applyNumberFormat="1" applyFont="1"/>
    <xf numFmtId="168" fontId="10" fillId="0" borderId="0" xfId="0" applyNumberFormat="1" applyFont="1"/>
    <xf numFmtId="167" fontId="10" fillId="0" borderId="0" xfId="1" applyNumberFormat="1" applyFont="1"/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43" fontId="10" fillId="0" borderId="2" xfId="0" applyNumberFormat="1" applyFont="1" applyBorder="1" applyAlignment="1">
      <alignment vertical="center"/>
    </xf>
    <xf numFmtId="0" fontId="10" fillId="0" borderId="43" xfId="0" applyFont="1" applyBorder="1" applyAlignment="1">
      <alignment horizontal="center" vertical="center"/>
    </xf>
    <xf numFmtId="10" fontId="10" fillId="0" borderId="43" xfId="0" applyNumberFormat="1" applyFont="1" applyBorder="1" applyAlignment="1">
      <alignment horizontal="center" vertical="center"/>
    </xf>
    <xf numFmtId="169" fontId="10" fillId="0" borderId="0" xfId="0" applyNumberFormat="1" applyFont="1"/>
    <xf numFmtId="0" fontId="10" fillId="0" borderId="44" xfId="0" applyFont="1" applyBorder="1"/>
    <xf numFmtId="43" fontId="10" fillId="0" borderId="44" xfId="0" applyNumberFormat="1" applyFont="1" applyBorder="1" applyAlignment="1">
      <alignment horizontal="center" vertical="center"/>
    </xf>
    <xf numFmtId="2" fontId="10" fillId="0" borderId="44" xfId="0" applyNumberFormat="1" applyFont="1" applyBorder="1" applyAlignment="1">
      <alignment horizontal="center" vertical="center"/>
    </xf>
    <xf numFmtId="10" fontId="10" fillId="0" borderId="41" xfId="0" applyNumberFormat="1" applyFont="1" applyBorder="1" applyAlignment="1">
      <alignment horizontal="center" vertical="center"/>
    </xf>
    <xf numFmtId="10" fontId="10" fillId="0" borderId="42" xfId="0" applyNumberFormat="1" applyFont="1" applyBorder="1" applyAlignment="1">
      <alignment horizontal="center" vertical="center"/>
    </xf>
    <xf numFmtId="10" fontId="10" fillId="0" borderId="44" xfId="0" applyNumberFormat="1" applyFont="1" applyBorder="1" applyAlignment="1">
      <alignment horizontal="center" vertical="center"/>
    </xf>
    <xf numFmtId="43" fontId="46" fillId="18" borderId="2" xfId="0" applyNumberFormat="1" applyFont="1" applyFill="1" applyBorder="1"/>
    <xf numFmtId="0" fontId="46" fillId="19" borderId="12" xfId="0" applyFont="1" applyFill="1" applyBorder="1"/>
    <xf numFmtId="0" fontId="46" fillId="19" borderId="13" xfId="0" applyFont="1" applyFill="1" applyBorder="1"/>
    <xf numFmtId="0" fontId="46" fillId="19" borderId="13" xfId="0" applyFont="1" applyFill="1" applyBorder="1" applyAlignment="1">
      <alignment horizontal="center" vertical="center"/>
    </xf>
    <xf numFmtId="43" fontId="46" fillId="19" borderId="2" xfId="0" applyNumberFormat="1" applyFont="1" applyFill="1" applyBorder="1"/>
    <xf numFmtId="10" fontId="10" fillId="0" borderId="0" xfId="1" applyNumberFormat="1" applyFont="1"/>
    <xf numFmtId="10" fontId="10" fillId="13" borderId="2" xfId="0" applyNumberFormat="1" applyFont="1" applyFill="1" applyBorder="1"/>
    <xf numFmtId="0" fontId="0" fillId="0" borderId="2" xfId="0" applyBorder="1" applyAlignment="1">
      <alignment horizontal="center"/>
    </xf>
    <xf numFmtId="43" fontId="10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/>
    </xf>
    <xf numFmtId="0" fontId="11" fillId="0" borderId="20" xfId="0" applyFont="1" applyBorder="1"/>
    <xf numFmtId="0" fontId="11" fillId="0" borderId="45" xfId="0" applyFont="1" applyBorder="1"/>
    <xf numFmtId="0" fontId="7" fillId="3" borderId="20" xfId="0" applyFont="1" applyFill="1" applyBorder="1"/>
    <xf numFmtId="10" fontId="7" fillId="3" borderId="19" xfId="0" applyNumberFormat="1" applyFont="1" applyFill="1" applyBorder="1"/>
    <xf numFmtId="10" fontId="7" fillId="3" borderId="21" xfId="0" applyNumberFormat="1" applyFont="1" applyFill="1" applyBorder="1"/>
    <xf numFmtId="0" fontId="11" fillId="0" borderId="0" xfId="0" applyFont="1"/>
    <xf numFmtId="10" fontId="7" fillId="0" borderId="0" xfId="0" applyNumberFormat="1" applyFont="1"/>
    <xf numFmtId="0" fontId="11" fillId="0" borderId="46" xfId="0" applyFont="1" applyBorder="1" applyProtection="1">
      <protection locked="0"/>
    </xf>
    <xf numFmtId="10" fontId="11" fillId="20" borderId="47" xfId="0" applyNumberFormat="1" applyFont="1" applyFill="1" applyBorder="1" applyProtection="1">
      <protection locked="0"/>
    </xf>
    <xf numFmtId="0" fontId="11" fillId="0" borderId="48" xfId="0" applyFont="1" applyBorder="1" applyProtection="1">
      <protection locked="0"/>
    </xf>
    <xf numFmtId="0" fontId="11" fillId="0" borderId="45" xfId="0" applyFont="1" applyBorder="1" applyProtection="1">
      <protection locked="0"/>
    </xf>
    <xf numFmtId="10" fontId="11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0" fontId="11" fillId="0" borderId="49" xfId="0" applyFont="1" applyBorder="1" applyProtection="1">
      <protection locked="0"/>
    </xf>
    <xf numFmtId="10" fontId="11" fillId="20" borderId="50" xfId="0" applyNumberFormat="1" applyFont="1" applyFill="1" applyBorder="1" applyProtection="1">
      <protection locked="0"/>
    </xf>
    <xf numFmtId="0" fontId="11" fillId="0" borderId="51" xfId="0" applyFont="1" applyBorder="1" applyProtection="1">
      <protection locked="0"/>
    </xf>
    <xf numFmtId="0" fontId="11" fillId="0" borderId="51" xfId="0" applyFont="1" applyBorder="1" applyAlignment="1" applyProtection="1">
      <alignment horizontal="left" indent="1"/>
      <protection locked="0"/>
    </xf>
    <xf numFmtId="0" fontId="7" fillId="3" borderId="13" xfId="0" applyFont="1" applyFill="1" applyBorder="1"/>
    <xf numFmtId="10" fontId="7" fillId="3" borderId="12" xfId="0" applyNumberFormat="1" applyFont="1" applyFill="1" applyBorder="1"/>
    <xf numFmtId="10" fontId="7" fillId="3" borderId="11" xfId="0" applyNumberFormat="1" applyFont="1" applyFill="1" applyBorder="1"/>
    <xf numFmtId="0" fontId="11" fillId="0" borderId="51" xfId="0" applyFont="1" applyBorder="1" applyAlignment="1">
      <alignment horizontal="left"/>
    </xf>
    <xf numFmtId="10" fontId="11" fillId="21" borderId="50" xfId="0" applyNumberFormat="1" applyFont="1" applyFill="1" applyBorder="1" applyProtection="1">
      <protection locked="0"/>
    </xf>
    <xf numFmtId="0" fontId="0" fillId="0" borderId="2" xfId="0" applyBorder="1"/>
    <xf numFmtId="10" fontId="11" fillId="20" borderId="2" xfId="0" applyNumberFormat="1" applyFont="1" applyFill="1" applyBorder="1" applyProtection="1">
      <protection locked="0"/>
    </xf>
    <xf numFmtId="3" fontId="42" fillId="0" borderId="2" xfId="1" applyNumberFormat="1" applyFont="1" applyBorder="1" applyAlignment="1">
      <alignment horizontal="center" vertical="center" wrapText="1"/>
    </xf>
    <xf numFmtId="1" fontId="42" fillId="0" borderId="2" xfId="1" applyNumberFormat="1" applyFont="1" applyBorder="1" applyAlignment="1">
      <alignment horizontal="center" vertical="center" wrapText="1"/>
    </xf>
    <xf numFmtId="1" fontId="44" fillId="0" borderId="2" xfId="1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17" fontId="36" fillId="18" borderId="2" xfId="0" applyNumberFormat="1" applyFont="1" applyFill="1" applyBorder="1" applyAlignment="1">
      <alignment horizontal="center"/>
    </xf>
    <xf numFmtId="3" fontId="27" fillId="17" borderId="1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42" fillId="0" borderId="2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7" fontId="0" fillId="0" borderId="2" xfId="0" applyNumberFormat="1" applyBorder="1"/>
    <xf numFmtId="0" fontId="48" fillId="16" borderId="2" xfId="0" applyFont="1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5" fillId="0" borderId="0" xfId="3"/>
    <xf numFmtId="171" fontId="5" fillId="0" borderId="0" xfId="3" applyNumberFormat="1"/>
    <xf numFmtId="165" fontId="5" fillId="0" borderId="0" xfId="3" applyNumberFormat="1"/>
    <xf numFmtId="0" fontId="48" fillId="0" borderId="0" xfId="0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7" fontId="48" fillId="16" borderId="2" xfId="0" applyNumberFormat="1" applyFont="1" applyFill="1" applyBorder="1" applyAlignment="1">
      <alignment horizontal="center"/>
    </xf>
    <xf numFmtId="17" fontId="41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9" fontId="0" fillId="0" borderId="0" xfId="1" applyFont="1" applyAlignment="1">
      <alignment horizontal="center"/>
    </xf>
    <xf numFmtId="4" fontId="36" fillId="0" borderId="2" xfId="0" applyNumberFormat="1" applyFont="1" applyBorder="1" applyAlignment="1">
      <alignment horizontal="center"/>
    </xf>
    <xf numFmtId="172" fontId="42" fillId="0" borderId="2" xfId="1" applyNumberFormat="1" applyFont="1" applyBorder="1" applyAlignment="1">
      <alignment horizontal="center" vertical="center" wrapText="1"/>
    </xf>
    <xf numFmtId="164" fontId="44" fillId="0" borderId="2" xfId="1" applyNumberFormat="1" applyFont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3" fontId="36" fillId="0" borderId="2" xfId="0" applyNumberFormat="1" applyFont="1" applyBorder="1" applyAlignment="1">
      <alignment horizontal="center"/>
    </xf>
    <xf numFmtId="10" fontId="46" fillId="0" borderId="0" xfId="0" applyNumberFormat="1" applyFont="1"/>
    <xf numFmtId="10" fontId="10" fillId="17" borderId="0" xfId="0" applyNumberFormat="1" applyFont="1" applyFill="1"/>
    <xf numFmtId="167" fontId="10" fillId="0" borderId="0" xfId="0" applyNumberFormat="1" applyFont="1"/>
    <xf numFmtId="17" fontId="41" fillId="0" borderId="0" xfId="2" applyNumberFormat="1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9" fontId="36" fillId="0" borderId="17" xfId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1" fontId="27" fillId="0" borderId="0" xfId="0" applyNumberFormat="1" applyFont="1" applyAlignment="1">
      <alignment horizontal="center"/>
    </xf>
    <xf numFmtId="17" fontId="41" fillId="16" borderId="5" xfId="2" applyNumberFormat="1" applyFont="1" applyFill="1" applyBorder="1" applyAlignment="1">
      <alignment horizontal="center" vertical="center" wrapText="1"/>
    </xf>
    <xf numFmtId="17" fontId="41" fillId="16" borderId="25" xfId="2" applyNumberFormat="1" applyFont="1" applyFill="1" applyBorder="1" applyAlignment="1">
      <alignment horizontal="center" vertical="center" wrapText="1"/>
    </xf>
    <xf numFmtId="0" fontId="48" fillId="16" borderId="19" xfId="0" applyFont="1" applyFill="1" applyBorder="1" applyAlignment="1">
      <alignment horizontal="center"/>
    </xf>
    <xf numFmtId="0" fontId="48" fillId="16" borderId="20" xfId="0" applyFont="1" applyFill="1" applyBorder="1" applyAlignment="1">
      <alignment horizontal="center"/>
    </xf>
    <xf numFmtId="0" fontId="36" fillId="19" borderId="19" xfId="0" applyFont="1" applyFill="1" applyBorder="1" applyAlignment="1">
      <alignment horizontal="center"/>
    </xf>
    <xf numFmtId="0" fontId="36" fillId="19" borderId="20" xfId="0" applyFont="1" applyFill="1" applyBorder="1" applyAlignment="1">
      <alignment horizontal="center"/>
    </xf>
    <xf numFmtId="0" fontId="41" fillId="16" borderId="5" xfId="2" applyFont="1" applyFill="1" applyBorder="1" applyAlignment="1">
      <alignment horizontal="center" vertical="center" wrapText="1"/>
    </xf>
    <xf numFmtId="0" fontId="41" fillId="16" borderId="25" xfId="2" applyFont="1" applyFill="1" applyBorder="1" applyAlignment="1">
      <alignment horizontal="center" vertical="center" wrapText="1"/>
    </xf>
    <xf numFmtId="0" fontId="48" fillId="16" borderId="2" xfId="0" applyFont="1" applyFill="1" applyBorder="1" applyAlignment="1">
      <alignment horizontal="center"/>
    </xf>
    <xf numFmtId="0" fontId="33" fillId="13" borderId="12" xfId="0" applyFont="1" applyFill="1" applyBorder="1" applyAlignment="1">
      <alignment horizontal="center" vertical="center"/>
    </xf>
    <xf numFmtId="0" fontId="33" fillId="13" borderId="13" xfId="0" applyFont="1" applyFill="1" applyBorder="1" applyAlignment="1">
      <alignment horizontal="center" vertical="center"/>
    </xf>
    <xf numFmtId="0" fontId="33" fillId="13" borderId="11" xfId="0" applyFont="1" applyFill="1" applyBorder="1" applyAlignment="1">
      <alignment horizontal="center" vertical="center"/>
    </xf>
    <xf numFmtId="0" fontId="33" fillId="15" borderId="12" xfId="0" applyFont="1" applyFill="1" applyBorder="1" applyAlignment="1">
      <alignment horizontal="center" vertical="center"/>
    </xf>
    <xf numFmtId="0" fontId="33" fillId="15" borderId="13" xfId="0" applyFont="1" applyFill="1" applyBorder="1" applyAlignment="1">
      <alignment horizontal="center" vertical="center"/>
    </xf>
    <xf numFmtId="0" fontId="33" fillId="15" borderId="11" xfId="0" applyFont="1" applyFill="1" applyBorder="1" applyAlignment="1">
      <alignment horizontal="center" vertical="center"/>
    </xf>
    <xf numFmtId="0" fontId="33" fillId="14" borderId="12" xfId="0" applyFont="1" applyFill="1" applyBorder="1" applyAlignment="1">
      <alignment horizontal="center" vertical="center"/>
    </xf>
    <xf numFmtId="0" fontId="33" fillId="14" borderId="13" xfId="0" applyFont="1" applyFill="1" applyBorder="1" applyAlignment="1">
      <alignment horizontal="center" vertical="center"/>
    </xf>
    <xf numFmtId="0" fontId="33" fillId="14" borderId="11" xfId="0" applyFont="1" applyFill="1" applyBorder="1" applyAlignment="1">
      <alignment horizontal="center" vertical="center"/>
    </xf>
    <xf numFmtId="0" fontId="33" fillId="12" borderId="12" xfId="0" applyFont="1" applyFill="1" applyBorder="1" applyAlignment="1">
      <alignment horizontal="center" vertical="center"/>
    </xf>
    <xf numFmtId="0" fontId="33" fillId="12" borderId="13" xfId="0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6" xfId="0" quotePrefix="1" applyFont="1" applyFill="1" applyBorder="1" applyAlignment="1" applyProtection="1">
      <alignment horizontal="center" vertical="center"/>
      <protection locked="0"/>
    </xf>
    <xf numFmtId="0" fontId="7" fillId="2" borderId="7" xfId="0" quotePrefix="1" applyFont="1" applyFill="1" applyBorder="1" applyAlignment="1" applyProtection="1">
      <alignment horizontal="center" vertical="center"/>
      <protection locked="0"/>
    </xf>
    <xf numFmtId="0" fontId="7" fillId="2" borderId="8" xfId="0" quotePrefix="1" applyFont="1" applyFill="1" applyBorder="1" applyAlignment="1" applyProtection="1">
      <alignment horizontal="center" vertical="center"/>
      <protection locked="0"/>
    </xf>
    <xf numFmtId="0" fontId="7" fillId="2" borderId="22" xfId="0" quotePrefix="1" applyFont="1" applyFill="1" applyBorder="1" applyAlignment="1" applyProtection="1">
      <alignment horizontal="center" vertical="center"/>
      <protection locked="0"/>
    </xf>
    <xf numFmtId="0" fontId="7" fillId="2" borderId="23" xfId="0" quotePrefix="1" applyFont="1" applyFill="1" applyBorder="1" applyAlignment="1" applyProtection="1">
      <alignment horizontal="center" vertical="center"/>
      <protection locked="0"/>
    </xf>
    <xf numFmtId="0" fontId="7" fillId="2" borderId="24" xfId="0" quotePrefix="1" applyFont="1" applyFill="1" applyBorder="1" applyAlignment="1" applyProtection="1">
      <alignment horizontal="center" vertical="center"/>
      <protection locked="0"/>
    </xf>
    <xf numFmtId="0" fontId="7" fillId="3" borderId="12" xfId="0" quotePrefix="1" applyFont="1" applyFill="1" applyBorder="1" applyAlignment="1" applyProtection="1">
      <alignment horizontal="center" vertical="center"/>
      <protection locked="0"/>
    </xf>
    <xf numFmtId="0" fontId="7" fillId="3" borderId="13" xfId="0" quotePrefix="1" applyFont="1" applyFill="1" applyBorder="1" applyAlignment="1" applyProtection="1">
      <alignment horizontal="center" vertical="center"/>
      <protection locked="0"/>
    </xf>
    <xf numFmtId="0" fontId="7" fillId="3" borderId="11" xfId="0" quotePrefix="1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11" fillId="2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 applyProtection="1">
      <alignment horizontal="center" vertical="center"/>
      <protection locked="0"/>
    </xf>
    <xf numFmtId="0" fontId="11" fillId="2" borderId="24" xfId="0" applyFont="1" applyFill="1" applyBorder="1" applyAlignment="1" applyProtection="1">
      <alignment horizontal="center" vertical="center"/>
      <protection locked="0"/>
    </xf>
    <xf numFmtId="14" fontId="12" fillId="2" borderId="19" xfId="0" applyNumberFormat="1" applyFont="1" applyFill="1" applyBorder="1" applyAlignment="1" applyProtection="1">
      <alignment horizontal="center" vertical="center"/>
      <protection locked="0"/>
    </xf>
    <xf numFmtId="14" fontId="12" fillId="2" borderId="20" xfId="0" applyNumberFormat="1" applyFont="1" applyFill="1" applyBorder="1" applyAlignment="1" applyProtection="1">
      <alignment horizontal="center" vertical="center"/>
      <protection locked="0"/>
    </xf>
    <xf numFmtId="14" fontId="12" fillId="2" borderId="21" xfId="0" applyNumberFormat="1" applyFont="1" applyFill="1" applyBorder="1" applyAlignment="1" applyProtection="1">
      <alignment horizontal="center" vertical="center"/>
      <protection locked="0"/>
    </xf>
    <xf numFmtId="0" fontId="33" fillId="10" borderId="12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7" fillId="3" borderId="25" xfId="0" quotePrefix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33" fillId="5" borderId="12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14" fontId="7" fillId="2" borderId="12" xfId="0" applyNumberFormat="1" applyFont="1" applyFill="1" applyBorder="1" applyAlignment="1" applyProtection="1">
      <alignment horizontal="center" vertical="center"/>
      <protection locked="0"/>
    </xf>
    <xf numFmtId="14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33" fillId="9" borderId="12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/>
    </xf>
    <xf numFmtId="0" fontId="33" fillId="9" borderId="11" xfId="0" applyFont="1" applyFill="1" applyBorder="1" applyAlignment="1">
      <alignment horizontal="center" vertical="center"/>
    </xf>
    <xf numFmtId="0" fontId="33" fillId="8" borderId="12" xfId="0" applyFont="1" applyFill="1" applyBorder="1" applyAlignment="1">
      <alignment horizontal="center" vertical="center"/>
    </xf>
    <xf numFmtId="0" fontId="33" fillId="8" borderId="13" xfId="0" applyFont="1" applyFill="1" applyBorder="1" applyAlignment="1">
      <alignment horizontal="center" vertical="center"/>
    </xf>
    <xf numFmtId="0" fontId="33" fillId="8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0" fontId="33" fillId="11" borderId="13" xfId="0" applyFont="1" applyFill="1" applyBorder="1" applyAlignment="1">
      <alignment horizontal="center" vertical="center"/>
    </xf>
    <xf numFmtId="0" fontId="33" fillId="11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6" fontId="7" fillId="7" borderId="12" xfId="0" applyNumberFormat="1" applyFont="1" applyFill="1" applyBorder="1" applyAlignment="1">
      <alignment horizontal="center" vertical="center"/>
    </xf>
    <xf numFmtId="166" fontId="7" fillId="7" borderId="13" xfId="0" applyNumberFormat="1" applyFont="1" applyFill="1" applyBorder="1" applyAlignment="1">
      <alignment horizontal="center" vertical="center"/>
    </xf>
    <xf numFmtId="166" fontId="7" fillId="7" borderId="39" xfId="0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10" fontId="47" fillId="0" borderId="0" xfId="0" applyNumberFormat="1" applyFont="1" applyAlignment="1">
      <alignment horizontal="center"/>
    </xf>
    <xf numFmtId="0" fontId="46" fillId="0" borderId="41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47" fillId="3" borderId="12" xfId="0" applyFont="1" applyFill="1" applyBorder="1" applyAlignment="1">
      <alignment horizontal="center"/>
    </xf>
    <xf numFmtId="0" fontId="47" fillId="3" borderId="11" xfId="0" applyFont="1" applyFill="1" applyBorder="1" applyAlignment="1">
      <alignment horizontal="center"/>
    </xf>
    <xf numFmtId="10" fontId="47" fillId="3" borderId="12" xfId="0" applyNumberFormat="1" applyFont="1" applyFill="1" applyBorder="1" applyAlignment="1">
      <alignment horizontal="center"/>
    </xf>
    <xf numFmtId="10" fontId="47" fillId="3" borderId="11" xfId="0" applyNumberFormat="1" applyFont="1" applyFill="1" applyBorder="1" applyAlignment="1">
      <alignment horizontal="center"/>
    </xf>
    <xf numFmtId="0" fontId="33" fillId="8" borderId="12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1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</cellXfs>
  <cellStyles count="4">
    <cellStyle name="Normal" xfId="0" builtinId="0"/>
    <cellStyle name="Normal 11" xfId="2" xr:uid="{866866CE-B06F-4CBC-A2AB-4CEF3834B251}"/>
    <cellStyle name="Normal 2" xfId="3" xr:uid="{F0CBA303-B37D-44D2-8C82-2E07C4C21F3F}"/>
    <cellStyle name="Porcentaje" xfId="1" builtinId="5"/>
  </cellStyles>
  <dxfs count="0"/>
  <tableStyles count="0" defaultTableStyle="TableStyleMedium2" defaultPivotStyle="PivotStyleLight16"/>
  <colors>
    <mruColors>
      <color rgb="FFFFFF99"/>
      <color rgb="FFCC00FF"/>
      <color rgb="FF99FF99"/>
      <color rgb="FFFF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23.xml"/><Relationship Id="rId63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44.xml"/><Relationship Id="rId84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6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53" Type="http://schemas.openxmlformats.org/officeDocument/2006/relationships/externalLink" Target="externalLinks/externalLink29.xml"/><Relationship Id="rId58" Type="http://schemas.openxmlformats.org/officeDocument/2006/relationships/externalLink" Target="externalLinks/externalLink34.xml"/><Relationship Id="rId74" Type="http://schemas.openxmlformats.org/officeDocument/2006/relationships/externalLink" Target="externalLinks/externalLink50.xml"/><Relationship Id="rId79" Type="http://schemas.openxmlformats.org/officeDocument/2006/relationships/externalLink" Target="externalLinks/externalLink55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66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9.xml"/><Relationship Id="rId48" Type="http://schemas.openxmlformats.org/officeDocument/2006/relationships/externalLink" Target="externalLinks/externalLink24.xml"/><Relationship Id="rId64" Type="http://schemas.openxmlformats.org/officeDocument/2006/relationships/externalLink" Target="externalLinks/externalLink40.xml"/><Relationship Id="rId69" Type="http://schemas.openxmlformats.org/officeDocument/2006/relationships/externalLink" Target="externalLinks/externalLink45.xml"/><Relationship Id="rId80" Type="http://schemas.openxmlformats.org/officeDocument/2006/relationships/externalLink" Target="externalLinks/externalLink56.xml"/><Relationship Id="rId85" Type="http://schemas.openxmlformats.org/officeDocument/2006/relationships/externalLink" Target="externalLinks/externalLink6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22.xml"/><Relationship Id="rId59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4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Relationship Id="rId54" Type="http://schemas.openxmlformats.org/officeDocument/2006/relationships/externalLink" Target="externalLinks/externalLink30.xml"/><Relationship Id="rId62" Type="http://schemas.openxmlformats.org/officeDocument/2006/relationships/externalLink" Target="externalLinks/externalLink38.xml"/><Relationship Id="rId70" Type="http://schemas.openxmlformats.org/officeDocument/2006/relationships/externalLink" Target="externalLinks/externalLink46.xml"/><Relationship Id="rId75" Type="http://schemas.openxmlformats.org/officeDocument/2006/relationships/externalLink" Target="externalLinks/externalLink51.xml"/><Relationship Id="rId83" Type="http://schemas.openxmlformats.org/officeDocument/2006/relationships/externalLink" Target="externalLinks/externalLink59.xml"/><Relationship Id="rId88" Type="http://schemas.openxmlformats.org/officeDocument/2006/relationships/externalLink" Target="externalLinks/externalLink64.xml"/><Relationship Id="rId91" Type="http://schemas.openxmlformats.org/officeDocument/2006/relationships/externalLink" Target="externalLinks/externalLink67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49" Type="http://schemas.openxmlformats.org/officeDocument/2006/relationships/externalLink" Target="externalLinks/externalLink25.xml"/><Relationship Id="rId57" Type="http://schemas.openxmlformats.org/officeDocument/2006/relationships/externalLink" Target="externalLinks/externalLink3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52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36.xml"/><Relationship Id="rId65" Type="http://schemas.openxmlformats.org/officeDocument/2006/relationships/externalLink" Target="externalLinks/externalLink41.xml"/><Relationship Id="rId73" Type="http://schemas.openxmlformats.org/officeDocument/2006/relationships/externalLink" Target="externalLinks/externalLink49.xml"/><Relationship Id="rId78" Type="http://schemas.openxmlformats.org/officeDocument/2006/relationships/externalLink" Target="externalLinks/externalLink54.xml"/><Relationship Id="rId81" Type="http://schemas.openxmlformats.org/officeDocument/2006/relationships/externalLink" Target="externalLinks/externalLink57.xml"/><Relationship Id="rId86" Type="http://schemas.openxmlformats.org/officeDocument/2006/relationships/externalLink" Target="externalLinks/externalLink62.xml"/><Relationship Id="rId94" Type="http://schemas.openxmlformats.org/officeDocument/2006/relationships/theme" Target="theme/theme1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10.xml"/><Relationship Id="rId50" Type="http://schemas.openxmlformats.org/officeDocument/2006/relationships/externalLink" Target="externalLinks/externalLink26.xml"/><Relationship Id="rId55" Type="http://schemas.openxmlformats.org/officeDocument/2006/relationships/externalLink" Target="externalLinks/externalLink31.xml"/><Relationship Id="rId76" Type="http://schemas.openxmlformats.org/officeDocument/2006/relationships/externalLink" Target="externalLinks/externalLink52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47.xml"/><Relationship Id="rId92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5.xml"/><Relationship Id="rId24" Type="http://schemas.openxmlformats.org/officeDocument/2006/relationships/worksheet" Target="worksheets/sheet24.xml"/><Relationship Id="rId40" Type="http://schemas.openxmlformats.org/officeDocument/2006/relationships/externalLink" Target="externalLinks/externalLink16.xml"/><Relationship Id="rId45" Type="http://schemas.openxmlformats.org/officeDocument/2006/relationships/externalLink" Target="externalLinks/externalLink21.xml"/><Relationship Id="rId66" Type="http://schemas.openxmlformats.org/officeDocument/2006/relationships/externalLink" Target="externalLinks/externalLink42.xml"/><Relationship Id="rId87" Type="http://schemas.openxmlformats.org/officeDocument/2006/relationships/externalLink" Target="externalLinks/externalLink63.xml"/><Relationship Id="rId61" Type="http://schemas.openxmlformats.org/officeDocument/2006/relationships/externalLink" Target="externalLinks/externalLink37.xml"/><Relationship Id="rId82" Type="http://schemas.openxmlformats.org/officeDocument/2006/relationships/externalLink" Target="externalLinks/externalLink5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56" Type="http://schemas.openxmlformats.org/officeDocument/2006/relationships/externalLink" Target="externalLinks/externalLink32.xml"/><Relationship Id="rId77" Type="http://schemas.openxmlformats.org/officeDocument/2006/relationships/externalLink" Target="externalLinks/externalLink53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7.xml"/><Relationship Id="rId72" Type="http://schemas.openxmlformats.org/officeDocument/2006/relationships/externalLink" Target="externalLinks/externalLink48.xml"/><Relationship Id="rId93" Type="http://schemas.openxmlformats.org/officeDocument/2006/relationships/externalLink" Target="externalLinks/externalLink69.xml"/><Relationship Id="rId9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35</xdr:row>
      <xdr:rowOff>202404</xdr:rowOff>
    </xdr:from>
    <xdr:to>
      <xdr:col>6</xdr:col>
      <xdr:colOff>753428</xdr:colOff>
      <xdr:row>39</xdr:row>
      <xdr:rowOff>214310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5DF28D-2FF9-4454-920C-D62BC0496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87" b="4214"/>
        <a:stretch/>
      </xdr:blipFill>
      <xdr:spPr bwMode="auto">
        <a:xfrm>
          <a:off x="6500813" y="8370092"/>
          <a:ext cx="1539240" cy="8929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9182D72A-76B5-404D-8F04-A9C4FCB7E65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4196EE14-CB59-4275-B329-836CE3C8CA9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45EE53B6-9190-40A5-AA3E-F97D94C695B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1CB7A45-1CB3-4A42-BFA8-4163D94CEF6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D271E9FB-3E7A-47C5-9EE1-5FDADCDA00D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C7CF183-E179-4242-97AC-A23A67193CC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5FAF7E95-4936-44F0-BAA0-106DDD76505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AF68582A-B026-4022-A800-8539CDE2919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DF27C938-9934-497F-AA95-E8991B8060D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B8E3037F-3982-4FB1-A72E-534B59D16A4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44B96B6D-5E98-40D6-86A8-85F1EBAD03D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26E4DB7F-FFD5-4EDA-89D9-D171A9F11A8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0C1F60D5-819B-49EF-958A-D8F4A956473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685AB0A9-5C30-4CDC-8376-ACA697577C4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9CEA4D99-56BB-4A67-BC52-EAD223F415F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105DE6D2-9BEB-4E85-9F72-9889CE09328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A13D2737-8E24-4749-9933-D8F0235C949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877BA983-75B7-4435-9F02-7D0F8A68BC2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AF1C6E50-B349-422D-96D3-17A9082E040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4CE4339-8E67-448F-B84C-45D5334F3E7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A2D81D0F-7CE9-43A6-9778-FC3F396FD28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E47CFD15-B9FC-4CDB-A432-53FEB897F1C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1112D4CF-5F91-4D19-8EE8-6EB4D68F0FE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94273B8B-7E23-4BA8-8BF3-C8B9AA544C3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C43D7733-BB75-4CDE-81C0-D934A591772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098BD6ED-09F5-45E8-B3A2-3F96A6BBE35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54002E72-8C3F-4020-BBD4-84AA1811C76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27CD6862-932F-4ADE-B9E5-3E6D7135E63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4F1C38D0-4608-45B6-911C-A6A8A7155D3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7F92DF5A-967C-43F7-983B-5F01E1F5ACF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68D9635B-B52D-4C98-9C58-CAE5D9DF5A0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B50FAC34-8EA9-44F7-9B75-942CAC436D4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8624D6AE-84FA-4526-805C-CF6CD6AFA69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FB312FF-12B4-4E65-A3D1-6C05CBC6E21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BA44DA03-3757-43D3-8128-1B72056B531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3125DEE8-B9FF-4E47-846E-4F215BB54FB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9689A555-21BE-4BBD-AE0F-CF87282088C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C2141456-8758-4DEE-91B1-D5B975FB44F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7E79FB8D-C2B4-435D-A529-567C26D1B88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D8D59483-533B-4ED6-B1AF-8BF34396066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17B406C0-6F4B-4F07-95A4-354B0EB9F67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3F563075-E595-4EE0-BA4B-08C3FDCC3CC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2F8D2E76-84A6-41FA-A2F8-CE4781D3619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23B2E57B-F389-4295-B9F0-97DB7EE2870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8A864A16-6C5F-42E0-8C8A-3C13C131EBB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66B43A42-6A64-4E63-AE62-C210D955983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27518C58-9CAB-4E39-9244-0263BA5BCFB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F6DEB5C-3FE3-4FEE-878F-BF363524D92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3C646FD8-E103-406F-9E53-0BEF95D5764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2B35F3BF-A868-4D63-85E6-46329E8A36A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55864135-3DA7-4154-BC2F-FDCE0A3DD7E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7A6E4D0F-6813-4805-B8FA-32948D9F915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6DAF598B-D1C4-4BA3-8582-604FEDC0963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21EC5118-0CE5-43BF-993F-743FE59CCC3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B7EAD099-49E8-4403-8094-6C2C9356E5E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ADCC3537-6211-44F2-9818-D2B5C34A154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215B2BC6-D1CE-435F-9700-4743AA686AE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AE466A94-3FE2-4F19-B4D7-7A59338E289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76644CA8-B753-423E-A4F6-5A8F37A7C69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598D6781-CE74-46F1-9375-4702CE42D60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ECD1CC65-8A94-426D-BD29-E3D7915F1DB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63CAFC2-04A4-427A-A8DF-71D709DB670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3505AF46-7DA1-457D-8282-0DD422AF7D2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7274073-3692-4478-8A8B-DA5EED13C42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F3839732-C6F3-4CCE-9174-ADD6FC78AB7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680091A5-4566-4CC3-A171-177893AECE8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59B3F6E0-615F-4739-8BBE-83A9F67B93D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23EB3323-175E-4954-ABE7-466C37F8F16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6A406871-171B-4066-81A4-ADB690CD46D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E7C29504-EB35-4FCE-A957-81293E1F2D2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95A0956B-07FD-4190-9A74-7C849A582BF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C5B12023-4EB5-4F26-BAF2-09E2D2E157E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F48AAFBA-6C28-423E-AF68-2E020549F72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2DBBB88C-F392-46F7-AD71-45E3B4F112D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A0FD7A11-16A4-4D17-81CA-F59BC1C4011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34BC61F-9814-4DFB-A610-6CA3340D4FA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D8993950-F05C-4DF5-9C9E-4AEE7E690A8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7AE283AD-8C93-4242-A7E6-269E7CDA8C0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CCB824D1-533C-417F-ADED-1F2CA9E9A49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6AB0C466-5A95-4DBE-8B0E-C1A8677E69D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15F66AF3-AF17-40F0-934F-F2BCBB35D69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6CBB4B27-D9D3-4013-9FB1-4A293FD02DB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3B8117C3-09DD-432E-8214-BB515395F93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2858CA08-00C1-43C4-BFB6-E663F5280DF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787D3187-03E6-40BC-B31A-14948610686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1661F2C9-022F-4EA6-B233-CE5B237AF5B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62CBBAD4-5EAD-4BE6-ABDA-8A3A0D353DC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D859AAC4-2405-4859-A76E-C766AD1BB7F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DABA63E4-B943-4C99-B714-06DB020F1E1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8A8ED57-D1B1-48FD-95F6-B51244FC70C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5FA6308-44B8-4E1F-82C7-DEF031E88D4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EC164ABC-A543-481A-9C92-96BED96AADE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A64A2DC2-7977-470C-A984-10307A20051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95A96D8-84A7-45A4-85DE-28BBD7F30CA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2E63F4F6-07BF-4C52-8833-6269ED3F1BF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4E87ADC4-482A-4DBE-8F1C-BCACC54FBB6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39AB1924-8AE7-4438-B0EB-8FEB54B3D82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9402CE74-9437-4047-87E4-5DC9CA14A70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DBDF2269-4196-4709-A19D-0BB50C6AFCE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BB46595B-4B71-46C2-A53E-8F729443EC2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F1C85841-B5CC-45E8-AADA-F0B85E89E68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EFF43110-8446-4AB6-A3FB-3851D22A4FF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E0A5FED-0B8A-423D-8FC2-D5133294380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FB13BE3-B1EF-43CA-A1C8-5DB7C705193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C8E6CC2D-EF66-45A8-A8E9-8F8CE282CD6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75A713F6-E7E3-4162-B286-20579AA40DF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0C3EDFF1-C890-425A-A8BF-02632A404D1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6539A04E-4C99-4615-B7F6-631BE9FDF27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768DC2DF-921E-4F57-9EE2-8200DFFF995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43B81584-B492-47ED-BFBB-373AA5E8200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4BA44A19-BA01-47C2-BAEC-0D5D55A97EA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6159E97E-F1FC-4BA2-AD8F-64D122E665C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2CEA91FE-DC19-4EEF-AB6C-A4AC40BB0FF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BE6A048E-31D9-4A14-9108-DCB3911E92C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AB7CCFDD-E12D-4D28-8F2A-E9506E453B7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FA96F75E-39DC-45E1-B06A-44F96126D95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4A02643F-229E-47E0-9971-BFC7BBD2EE1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B459EA5-18D9-46A5-9267-1C70E7AF96E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63356652-B045-4001-8BC0-01FF0A9BF62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12050D96-1E3F-4B5C-990C-3911A08074A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9C4EAC26-3E4A-4E64-82FE-DB93733A61D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AA0A4E3-2BE2-4271-A8FA-D5A9E3DB203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1130D3F7-2576-4992-9746-075318A435A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7AE71730-6434-4F1F-9C16-AF529942452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72CA6104-7863-43C1-97C1-51CADA264A5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E091B962-C7E1-451B-99AF-80EEDDF0992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4FCF0167-ACC3-4922-B09F-926ACFE7097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A28FA0EA-D16C-4A65-AF45-F3388A0982F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829ADE8-86A3-4C7E-B4CF-5EF2BCD06A3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E4A38258-B9DD-455F-B7D2-A68C63A39C5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6D88ED0C-83C2-4AC3-BD4A-8FC1D415301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B2EA14-48F1-4B49-A285-829657CD341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E106903B-568C-459B-9D81-5BF87503A66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D67C63BB-A1A7-4461-BEB1-86BD9CB7D77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C8456429-6453-4D0E-9A1A-7A42253EB5D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101DAB97-0C03-4AB8-92E3-CA6AC45C0E4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DC00712E-675A-4BE7-B3CF-68096C05FD5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D05B04E5-6C3A-4B0E-AD51-EE92B08DCD8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22E7E0E2-A6A8-469E-9948-71C98B57114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A24DB95F-D712-4ECE-B1E6-A242C1B63FD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413346</xdr:colOff>
      <xdr:row>15</xdr:row>
      <xdr:rowOff>114300</xdr:rowOff>
    </xdr:from>
    <xdr:to>
      <xdr:col>10</xdr:col>
      <xdr:colOff>142875</xdr:colOff>
      <xdr:row>32</xdr:row>
      <xdr:rowOff>3601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5C8C67-9711-01B5-4112-A5BAC8F3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7771" y="4105275"/>
          <a:ext cx="4701579" cy="312780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104774</xdr:colOff>
      <xdr:row>15</xdr:row>
      <xdr:rowOff>28574</xdr:rowOff>
    </xdr:from>
    <xdr:to>
      <xdr:col>4</xdr:col>
      <xdr:colOff>708551</xdr:colOff>
      <xdr:row>33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CD1F8E-D1F0-9383-0A41-125B5776A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4" y="4019549"/>
          <a:ext cx="4851927" cy="35147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3B6B47D-1730-4104-87A6-04F3BE9D5E5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2534DAEE-FBB6-40BD-811D-2B81726B4D9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762C7A31-D64D-4D6F-A7F1-8D7D41647CC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C6775E0D-4AE8-4799-897D-CF2EA9147AB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B2290E9F-57BD-425B-8E0C-C80D7B56369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385A5E-31EF-476A-8A46-5DD5297B905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CE893B2B-F785-44AF-B745-C02CCD61DBC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498F746-5F02-44AD-94CA-E735B9FF387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206CFB9D-2D8C-4205-AD1C-F4559E682BA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4CD16F59-168F-4962-AE0E-54BC1B0B7B8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01B15630-89AC-46B8-99FC-3C64D78D781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3E379881-45F9-4447-B0F4-39699FDEA0A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8C8A08C7-8F72-44E1-A50A-713034D756E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48D6DCC5-72E7-459D-8C76-4E64125C316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FEFF807E-0656-4C00-8F2E-137B27C6E79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66BD854F-7013-4A95-9454-284688A6145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579FCB9A-7D82-4702-9ACB-F06D541536F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1D230183-D74A-458E-8EFD-04DD3221B66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DF39820E-FEC8-4DF2-83BC-6F039780AF5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170591F-26D1-4E1F-A492-1AF01E31A2A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85390DB5-7AD7-49E6-BEBE-5C8198B986D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9514CAAE-BAD3-49B6-80F3-1B3D2124BE1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5C6A9F58-B2A5-4BEE-ABCD-A8E6BDB23BE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A2F1B12B-E0BA-4FB7-9C5F-21D0959D5BF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88CE4855-FB2A-42F9-BCE3-0DF8B48C66D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D0A201D1-8929-427E-8C14-48C124C49ED7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DB159D01-7CA1-4C2A-B883-0EFC0509912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66BA84F6-0B4F-439E-8024-DB60379DE23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A7039756-80AD-4B0B-A39E-90C401BB9DC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70E687C6-E571-4454-9C96-DD3AF2EF324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F09E5075-D1E3-4993-B653-27D8C399C62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FB7518B0-6A47-483C-93A2-28A0219F832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7A0F486C-4674-4BE2-84C6-9775313327F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8E93F-3E34-4D12-87A0-F3BCADBE243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597BE1C5-05EC-45DA-8DDD-0D3FAA7A5DA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47762C46-6DE8-4CD4-ADB8-5473C2D4DD2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C3457B17-199C-443A-B99E-C1D92DE79CE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FEBDD957-AB2E-4E37-A973-E865292D3E6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765F5B05-1C63-422E-893D-F02AD38578A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4E8BBFC0-3F11-4F67-B682-3AED55FDC1DB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CD59B1FC-B27F-4951-A8D4-136273FA5D0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20D66975-FB7B-42F6-95B8-A45DEF91B12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419943</xdr:colOff>
      <xdr:row>0</xdr:row>
      <xdr:rowOff>38100</xdr:rowOff>
    </xdr:from>
    <xdr:to>
      <xdr:col>14</xdr:col>
      <xdr:colOff>188772</xdr:colOff>
      <xdr:row>9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C537ED-ACF1-4751-B678-8AC59B85C9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0907"/>
        <a:stretch/>
      </xdr:blipFill>
      <xdr:spPr>
        <a:xfrm>
          <a:off x="7125543" y="38100"/>
          <a:ext cx="5112354" cy="2009775"/>
        </a:xfrm>
        <a:prstGeom prst="rect">
          <a:avLst/>
        </a:prstGeom>
      </xdr:spPr>
    </xdr:pic>
    <xdr:clientData/>
  </xdr:twoCellAnchor>
  <xdr:twoCellAnchor editAs="oneCell">
    <xdr:from>
      <xdr:col>1</xdr:col>
      <xdr:colOff>199197</xdr:colOff>
      <xdr:row>22</xdr:row>
      <xdr:rowOff>28575</xdr:rowOff>
    </xdr:from>
    <xdr:to>
      <xdr:col>5</xdr:col>
      <xdr:colOff>458034</xdr:colOff>
      <xdr:row>40</xdr:row>
      <xdr:rowOff>19631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944B7C-8E3C-C34A-B67E-E563BC65F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547" y="4400550"/>
          <a:ext cx="4907037" cy="34200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</xdr:colOff>
      <xdr:row>0</xdr:row>
      <xdr:rowOff>0</xdr:rowOff>
    </xdr:from>
    <xdr:to>
      <xdr:col>9</xdr:col>
      <xdr:colOff>372370</xdr:colOff>
      <xdr:row>6</xdr:row>
      <xdr:rowOff>28973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A83FBB-5DEE-F02A-5E84-D31187A6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099" y="0"/>
          <a:ext cx="4906271" cy="117197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5</xdr:row>
      <xdr:rowOff>173295</xdr:rowOff>
    </xdr:from>
    <xdr:to>
      <xdr:col>9</xdr:col>
      <xdr:colOff>391410</xdr:colOff>
      <xdr:row>12</xdr:row>
      <xdr:rowOff>133585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6A9181-01A0-F4C4-893E-621D7B63B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1125795"/>
          <a:ext cx="4868160" cy="1293790"/>
        </a:xfrm>
        <a:prstGeom prst="rect">
          <a:avLst/>
        </a:prstGeom>
      </xdr:spPr>
    </xdr:pic>
    <xdr:clientData/>
  </xdr:twoCellAnchor>
  <xdr:twoCellAnchor editAs="oneCell">
    <xdr:from>
      <xdr:col>3</xdr:col>
      <xdr:colOff>92059</xdr:colOff>
      <xdr:row>13</xdr:row>
      <xdr:rowOff>76199</xdr:rowOff>
    </xdr:from>
    <xdr:to>
      <xdr:col>9</xdr:col>
      <xdr:colOff>238125</xdr:colOff>
      <xdr:row>20</xdr:row>
      <xdr:rowOff>119097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480C6D-2C2E-D05E-13D8-690380AC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8059" y="2552699"/>
          <a:ext cx="4718066" cy="1376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5514975" y="3267075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4</xdr:row>
      <xdr:rowOff>38100</xdr:rowOff>
    </xdr:from>
    <xdr:to>
      <xdr:col>13</xdr:col>
      <xdr:colOff>658291</xdr:colOff>
      <xdr:row>13</xdr:row>
      <xdr:rowOff>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6C835E-BEB3-5A94-5AE2-922C0AF5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609600"/>
          <a:ext cx="7640116" cy="16766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</xdr:colOff>
      <xdr:row>2</xdr:row>
      <xdr:rowOff>103728</xdr:rowOff>
    </xdr:from>
    <xdr:to>
      <xdr:col>17</xdr:col>
      <xdr:colOff>125446</xdr:colOff>
      <xdr:row>15</xdr:row>
      <xdr:rowOff>95725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39B64F-6A58-2876-DD2B-607383F3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484728"/>
          <a:ext cx="8412197" cy="2468497"/>
        </a:xfrm>
        <a:prstGeom prst="rect">
          <a:avLst/>
        </a:prstGeom>
      </xdr:spPr>
    </xdr:pic>
    <xdr:clientData/>
  </xdr:twoCellAnchor>
  <xdr:twoCellAnchor editAs="oneCell">
    <xdr:from>
      <xdr:col>3</xdr:col>
      <xdr:colOff>154288</xdr:colOff>
      <xdr:row>6</xdr:row>
      <xdr:rowOff>0</xdr:rowOff>
    </xdr:from>
    <xdr:to>
      <xdr:col>15</xdr:col>
      <xdr:colOff>487340</xdr:colOff>
      <xdr:row>19</xdr:row>
      <xdr:rowOff>124254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A9D1FF-FEEF-8756-E971-744FF480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4138" y="952500"/>
          <a:ext cx="9477052" cy="2600754"/>
        </a:xfrm>
        <a:prstGeom prst="rect">
          <a:avLst/>
        </a:prstGeom>
      </xdr:spPr>
    </xdr:pic>
    <xdr:clientData/>
  </xdr:twoCellAnchor>
  <xdr:twoCellAnchor editAs="oneCell">
    <xdr:from>
      <xdr:col>2</xdr:col>
      <xdr:colOff>724068</xdr:colOff>
      <xdr:row>4</xdr:row>
      <xdr:rowOff>142874</xdr:rowOff>
    </xdr:from>
    <xdr:to>
      <xdr:col>13</xdr:col>
      <xdr:colOff>477789</xdr:colOff>
      <xdr:row>17</xdr:row>
      <xdr:rowOff>48075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A8D261-A922-E479-9CC5-B7DABE57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918" y="714374"/>
          <a:ext cx="8135721" cy="2381701"/>
        </a:xfrm>
        <a:prstGeom prst="rect">
          <a:avLst/>
        </a:prstGeom>
      </xdr:spPr>
    </xdr:pic>
    <xdr:clientData/>
  </xdr:twoCellAnchor>
  <xdr:twoCellAnchor editAs="oneCell">
    <xdr:from>
      <xdr:col>3</xdr:col>
      <xdr:colOff>631825</xdr:colOff>
      <xdr:row>7</xdr:row>
      <xdr:rowOff>161925</xdr:rowOff>
    </xdr:from>
    <xdr:to>
      <xdr:col>14</xdr:col>
      <xdr:colOff>628061</xdr:colOff>
      <xdr:row>20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8E06638-DCFD-5B44-D7A1-2742343B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1675" y="1495425"/>
          <a:ext cx="8378236" cy="232410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6</xdr:row>
      <xdr:rowOff>24262</xdr:rowOff>
    </xdr:from>
    <xdr:to>
      <xdr:col>17</xdr:col>
      <xdr:colOff>182772</xdr:colOff>
      <xdr:row>21</xdr:row>
      <xdr:rowOff>57625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F12E02-F797-0E2D-C324-8157F9AD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3175" y="1167262"/>
          <a:ext cx="10917447" cy="28908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F77F197D-614D-4D86-A021-C152BC30600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4FB9D3B4-7215-4CE7-A227-DD0EED92278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1E0012BB-D3D9-4804-82D0-F75BC720FC9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815A80BD-871C-4BD8-B6E7-F3E00356A89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2414B7D6-99D4-475B-B580-AEF28C7D163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CF5008B-00A6-4717-9E06-A3127D72938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9FB2A2A1-A6B2-4EA2-97AE-9DB5259331A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993B71DC-3520-40F3-96D5-F89DD8611B0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E476F1DC-0C04-4DF6-AE25-C90D2A4EB5F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53D69AD-D356-4F17-984D-EB566F3207C4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463BD67F-5F17-4364-8146-7EE4B7D47802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1AB0AB66-CCBB-436E-A717-E0026E4E771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F5F22C2C-B8D3-4833-86C9-F5E87D41CF4D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DCC0B8D9-C3CC-4D2D-B4FD-0096BFA3C53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F0AF3745-3645-4F29-B58C-8EFC4237FAE8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C36ECD03-0678-49D1-A3E0-52040F90245A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4E4B838E-651B-48EA-885A-CD6A901D9BC1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27D795C8-2245-4C64-A614-73C08B53DE0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5BE575D8-415C-4A9D-B8E6-900C79139C2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4223C79-3D52-48AC-B304-F9E1D01A093E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A461152C-2BA5-4416-86FA-6AEC9D2D42E6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EBFCC03B-39E9-4F76-8C13-104592EB439F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" name="Rectangle 3">
          <a:extLst>
            <a:ext uri="{FF2B5EF4-FFF2-40B4-BE49-F238E27FC236}">
              <a16:creationId xmlns:a16="http://schemas.microsoft.com/office/drawing/2014/main" id="{145FCB31-9143-4C7C-817A-2F3AA1F46CA9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A978B829-14E4-4502-8D4A-4E5503A11103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2" name="Rectangle 5">
          <a:extLst>
            <a:ext uri="{FF2B5EF4-FFF2-40B4-BE49-F238E27FC236}">
              <a16:creationId xmlns:a16="http://schemas.microsoft.com/office/drawing/2014/main" id="{8C5218AA-E8F8-478C-A0F3-2FF7D4E224B5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BD72FC1E-BE5F-45CC-B6A4-CDE87852BBD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4" name="Rectangle 7">
          <a:extLst>
            <a:ext uri="{FF2B5EF4-FFF2-40B4-BE49-F238E27FC236}">
              <a16:creationId xmlns:a16="http://schemas.microsoft.com/office/drawing/2014/main" id="{17CABF9D-31AE-4344-9154-216528259EBC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5" name="Rectangle 8">
          <a:extLst>
            <a:ext uri="{FF2B5EF4-FFF2-40B4-BE49-F238E27FC236}">
              <a16:creationId xmlns:a16="http://schemas.microsoft.com/office/drawing/2014/main" id="{5DFAFCFB-32F8-4A6C-86D5-FC2618110EF0}"/>
            </a:ext>
          </a:extLst>
        </xdr:cNvPr>
        <xdr:cNvSpPr>
          <a:spLocks noChangeArrowheads="1"/>
        </xdr:cNvSpPr>
      </xdr:nvSpPr>
      <xdr:spPr bwMode="auto">
        <a:xfrm>
          <a:off x="6553200" y="3295650"/>
          <a:ext cx="0" cy="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showGridLines="0" topLeftCell="A13" zoomScale="80" zoomScaleNormal="80" workbookViewId="0">
      <selection activeCell="G22" sqref="G22"/>
    </sheetView>
  </sheetViews>
  <sheetFormatPr baseColWidth="10" defaultColWidth="10.85546875" defaultRowHeight="15" x14ac:dyDescent="0.25"/>
  <cols>
    <col min="1" max="1" width="13.7109375" customWidth="1"/>
    <col min="2" max="2" width="10" customWidth="1"/>
    <col min="3" max="3" width="9.85546875" customWidth="1"/>
    <col min="4" max="4" width="11.7109375" customWidth="1"/>
    <col min="5" max="5" width="49" customWidth="1"/>
    <col min="6" max="7" width="15" customWidth="1"/>
    <col min="8" max="8" width="16.42578125" bestFit="1" customWidth="1"/>
    <col min="9" max="9" width="5.28515625" customWidth="1"/>
    <col min="10" max="10" width="10.5703125" customWidth="1"/>
    <col min="11" max="11" width="9.140625" customWidth="1"/>
    <col min="12" max="12" width="12.85546875" customWidth="1"/>
    <col min="13" max="13" width="14" customWidth="1"/>
    <col min="14" max="14" width="17.7109375" hidden="1" customWidth="1"/>
    <col min="257" max="257" width="10" customWidth="1"/>
    <col min="258" max="258" width="9" customWidth="1"/>
    <col min="259" max="259" width="11.7109375" customWidth="1"/>
    <col min="260" max="260" width="11.85546875" customWidth="1"/>
    <col min="261" max="261" width="9.140625" customWidth="1"/>
    <col min="262" max="262" width="21.140625" customWidth="1"/>
    <col min="263" max="263" width="12.140625" customWidth="1"/>
    <col min="264" max="264" width="12.7109375" customWidth="1"/>
    <col min="265" max="265" width="11.5703125" customWidth="1"/>
    <col min="266" max="266" width="10.5703125" customWidth="1"/>
    <col min="267" max="267" width="9.140625" customWidth="1"/>
    <col min="268" max="268" width="12.85546875" customWidth="1"/>
    <col min="269" max="269" width="14" customWidth="1"/>
    <col min="270" max="270" width="17.7109375" customWidth="1"/>
    <col min="513" max="513" width="10" customWidth="1"/>
    <col min="514" max="514" width="9" customWidth="1"/>
    <col min="515" max="515" width="11.7109375" customWidth="1"/>
    <col min="516" max="516" width="11.85546875" customWidth="1"/>
    <col min="517" max="517" width="9.140625" customWidth="1"/>
    <col min="518" max="518" width="21.140625" customWidth="1"/>
    <col min="519" max="519" width="12.140625" customWidth="1"/>
    <col min="520" max="520" width="12.7109375" customWidth="1"/>
    <col min="521" max="521" width="11.5703125" customWidth="1"/>
    <col min="522" max="522" width="10.5703125" customWidth="1"/>
    <col min="523" max="523" width="9.140625" customWidth="1"/>
    <col min="524" max="524" width="12.85546875" customWidth="1"/>
    <col min="525" max="525" width="14" customWidth="1"/>
    <col min="526" max="526" width="17.7109375" customWidth="1"/>
    <col min="769" max="769" width="10" customWidth="1"/>
    <col min="770" max="770" width="9" customWidth="1"/>
    <col min="771" max="771" width="11.7109375" customWidth="1"/>
    <col min="772" max="772" width="11.85546875" customWidth="1"/>
    <col min="773" max="773" width="9.140625" customWidth="1"/>
    <col min="774" max="774" width="21.140625" customWidth="1"/>
    <col min="775" max="775" width="12.140625" customWidth="1"/>
    <col min="776" max="776" width="12.7109375" customWidth="1"/>
    <col min="777" max="777" width="11.5703125" customWidth="1"/>
    <col min="778" max="778" width="10.5703125" customWidth="1"/>
    <col min="779" max="779" width="9.140625" customWidth="1"/>
    <col min="780" max="780" width="12.85546875" customWidth="1"/>
    <col min="781" max="781" width="14" customWidth="1"/>
    <col min="782" max="782" width="17.7109375" customWidth="1"/>
    <col min="1025" max="1025" width="10" customWidth="1"/>
    <col min="1026" max="1026" width="9" customWidth="1"/>
    <col min="1027" max="1027" width="11.7109375" customWidth="1"/>
    <col min="1028" max="1028" width="11.85546875" customWidth="1"/>
    <col min="1029" max="1029" width="9.140625" customWidth="1"/>
    <col min="1030" max="1030" width="21.140625" customWidth="1"/>
    <col min="1031" max="1031" width="12.140625" customWidth="1"/>
    <col min="1032" max="1032" width="12.7109375" customWidth="1"/>
    <col min="1033" max="1033" width="11.5703125" customWidth="1"/>
    <col min="1034" max="1034" width="10.5703125" customWidth="1"/>
    <col min="1035" max="1035" width="9.140625" customWidth="1"/>
    <col min="1036" max="1036" width="12.85546875" customWidth="1"/>
    <col min="1037" max="1037" width="14" customWidth="1"/>
    <col min="1038" max="1038" width="17.7109375" customWidth="1"/>
    <col min="1281" max="1281" width="10" customWidth="1"/>
    <col min="1282" max="1282" width="9" customWidth="1"/>
    <col min="1283" max="1283" width="11.7109375" customWidth="1"/>
    <col min="1284" max="1284" width="11.85546875" customWidth="1"/>
    <col min="1285" max="1285" width="9.140625" customWidth="1"/>
    <col min="1286" max="1286" width="21.140625" customWidth="1"/>
    <col min="1287" max="1287" width="12.140625" customWidth="1"/>
    <col min="1288" max="1288" width="12.7109375" customWidth="1"/>
    <col min="1289" max="1289" width="11.5703125" customWidth="1"/>
    <col min="1290" max="1290" width="10.5703125" customWidth="1"/>
    <col min="1291" max="1291" width="9.140625" customWidth="1"/>
    <col min="1292" max="1292" width="12.85546875" customWidth="1"/>
    <col min="1293" max="1293" width="14" customWidth="1"/>
    <col min="1294" max="1294" width="17.7109375" customWidth="1"/>
    <col min="1537" max="1537" width="10" customWidth="1"/>
    <col min="1538" max="1538" width="9" customWidth="1"/>
    <col min="1539" max="1539" width="11.7109375" customWidth="1"/>
    <col min="1540" max="1540" width="11.85546875" customWidth="1"/>
    <col min="1541" max="1541" width="9.140625" customWidth="1"/>
    <col min="1542" max="1542" width="21.140625" customWidth="1"/>
    <col min="1543" max="1543" width="12.140625" customWidth="1"/>
    <col min="1544" max="1544" width="12.7109375" customWidth="1"/>
    <col min="1545" max="1545" width="11.5703125" customWidth="1"/>
    <col min="1546" max="1546" width="10.5703125" customWidth="1"/>
    <col min="1547" max="1547" width="9.140625" customWidth="1"/>
    <col min="1548" max="1548" width="12.85546875" customWidth="1"/>
    <col min="1549" max="1549" width="14" customWidth="1"/>
    <col min="1550" max="1550" width="17.7109375" customWidth="1"/>
    <col min="1793" max="1793" width="10" customWidth="1"/>
    <col min="1794" max="1794" width="9" customWidth="1"/>
    <col min="1795" max="1795" width="11.7109375" customWidth="1"/>
    <col min="1796" max="1796" width="11.85546875" customWidth="1"/>
    <col min="1797" max="1797" width="9.140625" customWidth="1"/>
    <col min="1798" max="1798" width="21.140625" customWidth="1"/>
    <col min="1799" max="1799" width="12.140625" customWidth="1"/>
    <col min="1800" max="1800" width="12.7109375" customWidth="1"/>
    <col min="1801" max="1801" width="11.5703125" customWidth="1"/>
    <col min="1802" max="1802" width="10.5703125" customWidth="1"/>
    <col min="1803" max="1803" width="9.140625" customWidth="1"/>
    <col min="1804" max="1804" width="12.85546875" customWidth="1"/>
    <col min="1805" max="1805" width="14" customWidth="1"/>
    <col min="1806" max="1806" width="17.7109375" customWidth="1"/>
    <col min="2049" max="2049" width="10" customWidth="1"/>
    <col min="2050" max="2050" width="9" customWidth="1"/>
    <col min="2051" max="2051" width="11.7109375" customWidth="1"/>
    <col min="2052" max="2052" width="11.85546875" customWidth="1"/>
    <col min="2053" max="2053" width="9.140625" customWidth="1"/>
    <col min="2054" max="2054" width="21.140625" customWidth="1"/>
    <col min="2055" max="2055" width="12.140625" customWidth="1"/>
    <col min="2056" max="2056" width="12.7109375" customWidth="1"/>
    <col min="2057" max="2057" width="11.5703125" customWidth="1"/>
    <col min="2058" max="2058" width="10.5703125" customWidth="1"/>
    <col min="2059" max="2059" width="9.140625" customWidth="1"/>
    <col min="2060" max="2060" width="12.85546875" customWidth="1"/>
    <col min="2061" max="2061" width="14" customWidth="1"/>
    <col min="2062" max="2062" width="17.7109375" customWidth="1"/>
    <col min="2305" max="2305" width="10" customWidth="1"/>
    <col min="2306" max="2306" width="9" customWidth="1"/>
    <col min="2307" max="2307" width="11.7109375" customWidth="1"/>
    <col min="2308" max="2308" width="11.85546875" customWidth="1"/>
    <col min="2309" max="2309" width="9.140625" customWidth="1"/>
    <col min="2310" max="2310" width="21.140625" customWidth="1"/>
    <col min="2311" max="2311" width="12.140625" customWidth="1"/>
    <col min="2312" max="2312" width="12.7109375" customWidth="1"/>
    <col min="2313" max="2313" width="11.5703125" customWidth="1"/>
    <col min="2314" max="2314" width="10.5703125" customWidth="1"/>
    <col min="2315" max="2315" width="9.140625" customWidth="1"/>
    <col min="2316" max="2316" width="12.85546875" customWidth="1"/>
    <col min="2317" max="2317" width="14" customWidth="1"/>
    <col min="2318" max="2318" width="17.7109375" customWidth="1"/>
    <col min="2561" max="2561" width="10" customWidth="1"/>
    <col min="2562" max="2562" width="9" customWidth="1"/>
    <col min="2563" max="2563" width="11.7109375" customWidth="1"/>
    <col min="2564" max="2564" width="11.85546875" customWidth="1"/>
    <col min="2565" max="2565" width="9.140625" customWidth="1"/>
    <col min="2566" max="2566" width="21.140625" customWidth="1"/>
    <col min="2567" max="2567" width="12.140625" customWidth="1"/>
    <col min="2568" max="2568" width="12.7109375" customWidth="1"/>
    <col min="2569" max="2569" width="11.5703125" customWidth="1"/>
    <col min="2570" max="2570" width="10.5703125" customWidth="1"/>
    <col min="2571" max="2571" width="9.140625" customWidth="1"/>
    <col min="2572" max="2572" width="12.85546875" customWidth="1"/>
    <col min="2573" max="2573" width="14" customWidth="1"/>
    <col min="2574" max="2574" width="17.7109375" customWidth="1"/>
    <col min="2817" max="2817" width="10" customWidth="1"/>
    <col min="2818" max="2818" width="9" customWidth="1"/>
    <col min="2819" max="2819" width="11.7109375" customWidth="1"/>
    <col min="2820" max="2820" width="11.85546875" customWidth="1"/>
    <col min="2821" max="2821" width="9.140625" customWidth="1"/>
    <col min="2822" max="2822" width="21.140625" customWidth="1"/>
    <col min="2823" max="2823" width="12.140625" customWidth="1"/>
    <col min="2824" max="2824" width="12.7109375" customWidth="1"/>
    <col min="2825" max="2825" width="11.5703125" customWidth="1"/>
    <col min="2826" max="2826" width="10.5703125" customWidth="1"/>
    <col min="2827" max="2827" width="9.140625" customWidth="1"/>
    <col min="2828" max="2828" width="12.85546875" customWidth="1"/>
    <col min="2829" max="2829" width="14" customWidth="1"/>
    <col min="2830" max="2830" width="17.7109375" customWidth="1"/>
    <col min="3073" max="3073" width="10" customWidth="1"/>
    <col min="3074" max="3074" width="9" customWidth="1"/>
    <col min="3075" max="3075" width="11.7109375" customWidth="1"/>
    <col min="3076" max="3076" width="11.85546875" customWidth="1"/>
    <col min="3077" max="3077" width="9.140625" customWidth="1"/>
    <col min="3078" max="3078" width="21.140625" customWidth="1"/>
    <col min="3079" max="3079" width="12.140625" customWidth="1"/>
    <col min="3080" max="3080" width="12.7109375" customWidth="1"/>
    <col min="3081" max="3081" width="11.5703125" customWidth="1"/>
    <col min="3082" max="3082" width="10.5703125" customWidth="1"/>
    <col min="3083" max="3083" width="9.140625" customWidth="1"/>
    <col min="3084" max="3084" width="12.85546875" customWidth="1"/>
    <col min="3085" max="3085" width="14" customWidth="1"/>
    <col min="3086" max="3086" width="17.7109375" customWidth="1"/>
    <col min="3329" max="3329" width="10" customWidth="1"/>
    <col min="3330" max="3330" width="9" customWidth="1"/>
    <col min="3331" max="3331" width="11.7109375" customWidth="1"/>
    <col min="3332" max="3332" width="11.85546875" customWidth="1"/>
    <col min="3333" max="3333" width="9.140625" customWidth="1"/>
    <col min="3334" max="3334" width="21.140625" customWidth="1"/>
    <col min="3335" max="3335" width="12.140625" customWidth="1"/>
    <col min="3336" max="3336" width="12.7109375" customWidth="1"/>
    <col min="3337" max="3337" width="11.5703125" customWidth="1"/>
    <col min="3338" max="3338" width="10.5703125" customWidth="1"/>
    <col min="3339" max="3339" width="9.140625" customWidth="1"/>
    <col min="3340" max="3340" width="12.85546875" customWidth="1"/>
    <col min="3341" max="3341" width="14" customWidth="1"/>
    <col min="3342" max="3342" width="17.7109375" customWidth="1"/>
    <col min="3585" max="3585" width="10" customWidth="1"/>
    <col min="3586" max="3586" width="9" customWidth="1"/>
    <col min="3587" max="3587" width="11.7109375" customWidth="1"/>
    <col min="3588" max="3588" width="11.85546875" customWidth="1"/>
    <col min="3589" max="3589" width="9.140625" customWidth="1"/>
    <col min="3590" max="3590" width="21.140625" customWidth="1"/>
    <col min="3591" max="3591" width="12.140625" customWidth="1"/>
    <col min="3592" max="3592" width="12.7109375" customWidth="1"/>
    <col min="3593" max="3593" width="11.5703125" customWidth="1"/>
    <col min="3594" max="3594" width="10.5703125" customWidth="1"/>
    <col min="3595" max="3595" width="9.140625" customWidth="1"/>
    <col min="3596" max="3596" width="12.85546875" customWidth="1"/>
    <col min="3597" max="3597" width="14" customWidth="1"/>
    <col min="3598" max="3598" width="17.7109375" customWidth="1"/>
    <col min="3841" max="3841" width="10" customWidth="1"/>
    <col min="3842" max="3842" width="9" customWidth="1"/>
    <col min="3843" max="3843" width="11.7109375" customWidth="1"/>
    <col min="3844" max="3844" width="11.85546875" customWidth="1"/>
    <col min="3845" max="3845" width="9.140625" customWidth="1"/>
    <col min="3846" max="3846" width="21.140625" customWidth="1"/>
    <col min="3847" max="3847" width="12.140625" customWidth="1"/>
    <col min="3848" max="3848" width="12.7109375" customWidth="1"/>
    <col min="3849" max="3849" width="11.5703125" customWidth="1"/>
    <col min="3850" max="3850" width="10.5703125" customWidth="1"/>
    <col min="3851" max="3851" width="9.140625" customWidth="1"/>
    <col min="3852" max="3852" width="12.85546875" customWidth="1"/>
    <col min="3853" max="3853" width="14" customWidth="1"/>
    <col min="3854" max="3854" width="17.7109375" customWidth="1"/>
    <col min="4097" max="4097" width="10" customWidth="1"/>
    <col min="4098" max="4098" width="9" customWidth="1"/>
    <col min="4099" max="4099" width="11.7109375" customWidth="1"/>
    <col min="4100" max="4100" width="11.85546875" customWidth="1"/>
    <col min="4101" max="4101" width="9.140625" customWidth="1"/>
    <col min="4102" max="4102" width="21.140625" customWidth="1"/>
    <col min="4103" max="4103" width="12.140625" customWidth="1"/>
    <col min="4104" max="4104" width="12.7109375" customWidth="1"/>
    <col min="4105" max="4105" width="11.5703125" customWidth="1"/>
    <col min="4106" max="4106" width="10.5703125" customWidth="1"/>
    <col min="4107" max="4107" width="9.140625" customWidth="1"/>
    <col min="4108" max="4108" width="12.85546875" customWidth="1"/>
    <col min="4109" max="4109" width="14" customWidth="1"/>
    <col min="4110" max="4110" width="17.7109375" customWidth="1"/>
    <col min="4353" max="4353" width="10" customWidth="1"/>
    <col min="4354" max="4354" width="9" customWidth="1"/>
    <col min="4355" max="4355" width="11.7109375" customWidth="1"/>
    <col min="4356" max="4356" width="11.85546875" customWidth="1"/>
    <col min="4357" max="4357" width="9.140625" customWidth="1"/>
    <col min="4358" max="4358" width="21.140625" customWidth="1"/>
    <col min="4359" max="4359" width="12.140625" customWidth="1"/>
    <col min="4360" max="4360" width="12.7109375" customWidth="1"/>
    <col min="4361" max="4361" width="11.5703125" customWidth="1"/>
    <col min="4362" max="4362" width="10.5703125" customWidth="1"/>
    <col min="4363" max="4363" width="9.140625" customWidth="1"/>
    <col min="4364" max="4364" width="12.85546875" customWidth="1"/>
    <col min="4365" max="4365" width="14" customWidth="1"/>
    <col min="4366" max="4366" width="17.7109375" customWidth="1"/>
    <col min="4609" max="4609" width="10" customWidth="1"/>
    <col min="4610" max="4610" width="9" customWidth="1"/>
    <col min="4611" max="4611" width="11.7109375" customWidth="1"/>
    <col min="4612" max="4612" width="11.85546875" customWidth="1"/>
    <col min="4613" max="4613" width="9.140625" customWidth="1"/>
    <col min="4614" max="4614" width="21.140625" customWidth="1"/>
    <col min="4615" max="4615" width="12.140625" customWidth="1"/>
    <col min="4616" max="4616" width="12.7109375" customWidth="1"/>
    <col min="4617" max="4617" width="11.5703125" customWidth="1"/>
    <col min="4618" max="4618" width="10.5703125" customWidth="1"/>
    <col min="4619" max="4619" width="9.140625" customWidth="1"/>
    <col min="4620" max="4620" width="12.85546875" customWidth="1"/>
    <col min="4621" max="4621" width="14" customWidth="1"/>
    <col min="4622" max="4622" width="17.7109375" customWidth="1"/>
    <col min="4865" max="4865" width="10" customWidth="1"/>
    <col min="4866" max="4866" width="9" customWidth="1"/>
    <col min="4867" max="4867" width="11.7109375" customWidth="1"/>
    <col min="4868" max="4868" width="11.85546875" customWidth="1"/>
    <col min="4869" max="4869" width="9.140625" customWidth="1"/>
    <col min="4870" max="4870" width="21.140625" customWidth="1"/>
    <col min="4871" max="4871" width="12.140625" customWidth="1"/>
    <col min="4872" max="4872" width="12.7109375" customWidth="1"/>
    <col min="4873" max="4873" width="11.5703125" customWidth="1"/>
    <col min="4874" max="4874" width="10.5703125" customWidth="1"/>
    <col min="4875" max="4875" width="9.140625" customWidth="1"/>
    <col min="4876" max="4876" width="12.85546875" customWidth="1"/>
    <col min="4877" max="4877" width="14" customWidth="1"/>
    <col min="4878" max="4878" width="17.7109375" customWidth="1"/>
    <col min="5121" max="5121" width="10" customWidth="1"/>
    <col min="5122" max="5122" width="9" customWidth="1"/>
    <col min="5123" max="5123" width="11.7109375" customWidth="1"/>
    <col min="5124" max="5124" width="11.85546875" customWidth="1"/>
    <col min="5125" max="5125" width="9.140625" customWidth="1"/>
    <col min="5126" max="5126" width="21.140625" customWidth="1"/>
    <col min="5127" max="5127" width="12.140625" customWidth="1"/>
    <col min="5128" max="5128" width="12.7109375" customWidth="1"/>
    <col min="5129" max="5129" width="11.5703125" customWidth="1"/>
    <col min="5130" max="5130" width="10.5703125" customWidth="1"/>
    <col min="5131" max="5131" width="9.140625" customWidth="1"/>
    <col min="5132" max="5132" width="12.85546875" customWidth="1"/>
    <col min="5133" max="5133" width="14" customWidth="1"/>
    <col min="5134" max="5134" width="17.7109375" customWidth="1"/>
    <col min="5377" max="5377" width="10" customWidth="1"/>
    <col min="5378" max="5378" width="9" customWidth="1"/>
    <col min="5379" max="5379" width="11.7109375" customWidth="1"/>
    <col min="5380" max="5380" width="11.85546875" customWidth="1"/>
    <col min="5381" max="5381" width="9.140625" customWidth="1"/>
    <col min="5382" max="5382" width="21.140625" customWidth="1"/>
    <col min="5383" max="5383" width="12.140625" customWidth="1"/>
    <col min="5384" max="5384" width="12.7109375" customWidth="1"/>
    <col min="5385" max="5385" width="11.5703125" customWidth="1"/>
    <col min="5386" max="5386" width="10.5703125" customWidth="1"/>
    <col min="5387" max="5387" width="9.140625" customWidth="1"/>
    <col min="5388" max="5388" width="12.85546875" customWidth="1"/>
    <col min="5389" max="5389" width="14" customWidth="1"/>
    <col min="5390" max="5390" width="17.7109375" customWidth="1"/>
    <col min="5633" max="5633" width="10" customWidth="1"/>
    <col min="5634" max="5634" width="9" customWidth="1"/>
    <col min="5635" max="5635" width="11.7109375" customWidth="1"/>
    <col min="5636" max="5636" width="11.85546875" customWidth="1"/>
    <col min="5637" max="5637" width="9.140625" customWidth="1"/>
    <col min="5638" max="5638" width="21.140625" customWidth="1"/>
    <col min="5639" max="5639" width="12.140625" customWidth="1"/>
    <col min="5640" max="5640" width="12.7109375" customWidth="1"/>
    <col min="5641" max="5641" width="11.5703125" customWidth="1"/>
    <col min="5642" max="5642" width="10.5703125" customWidth="1"/>
    <col min="5643" max="5643" width="9.140625" customWidth="1"/>
    <col min="5644" max="5644" width="12.85546875" customWidth="1"/>
    <col min="5645" max="5645" width="14" customWidth="1"/>
    <col min="5646" max="5646" width="17.7109375" customWidth="1"/>
    <col min="5889" max="5889" width="10" customWidth="1"/>
    <col min="5890" max="5890" width="9" customWidth="1"/>
    <col min="5891" max="5891" width="11.7109375" customWidth="1"/>
    <col min="5892" max="5892" width="11.85546875" customWidth="1"/>
    <col min="5893" max="5893" width="9.140625" customWidth="1"/>
    <col min="5894" max="5894" width="21.140625" customWidth="1"/>
    <col min="5895" max="5895" width="12.140625" customWidth="1"/>
    <col min="5896" max="5896" width="12.7109375" customWidth="1"/>
    <col min="5897" max="5897" width="11.5703125" customWidth="1"/>
    <col min="5898" max="5898" width="10.5703125" customWidth="1"/>
    <col min="5899" max="5899" width="9.140625" customWidth="1"/>
    <col min="5900" max="5900" width="12.85546875" customWidth="1"/>
    <col min="5901" max="5901" width="14" customWidth="1"/>
    <col min="5902" max="5902" width="17.7109375" customWidth="1"/>
    <col min="6145" max="6145" width="10" customWidth="1"/>
    <col min="6146" max="6146" width="9" customWidth="1"/>
    <col min="6147" max="6147" width="11.7109375" customWidth="1"/>
    <col min="6148" max="6148" width="11.85546875" customWidth="1"/>
    <col min="6149" max="6149" width="9.140625" customWidth="1"/>
    <col min="6150" max="6150" width="21.140625" customWidth="1"/>
    <col min="6151" max="6151" width="12.140625" customWidth="1"/>
    <col min="6152" max="6152" width="12.7109375" customWidth="1"/>
    <col min="6153" max="6153" width="11.5703125" customWidth="1"/>
    <col min="6154" max="6154" width="10.5703125" customWidth="1"/>
    <col min="6155" max="6155" width="9.140625" customWidth="1"/>
    <col min="6156" max="6156" width="12.85546875" customWidth="1"/>
    <col min="6157" max="6157" width="14" customWidth="1"/>
    <col min="6158" max="6158" width="17.7109375" customWidth="1"/>
    <col min="6401" max="6401" width="10" customWidth="1"/>
    <col min="6402" max="6402" width="9" customWidth="1"/>
    <col min="6403" max="6403" width="11.7109375" customWidth="1"/>
    <col min="6404" max="6404" width="11.85546875" customWidth="1"/>
    <col min="6405" max="6405" width="9.140625" customWidth="1"/>
    <col min="6406" max="6406" width="21.140625" customWidth="1"/>
    <col min="6407" max="6407" width="12.140625" customWidth="1"/>
    <col min="6408" max="6408" width="12.7109375" customWidth="1"/>
    <col min="6409" max="6409" width="11.5703125" customWidth="1"/>
    <col min="6410" max="6410" width="10.5703125" customWidth="1"/>
    <col min="6411" max="6411" width="9.140625" customWidth="1"/>
    <col min="6412" max="6412" width="12.85546875" customWidth="1"/>
    <col min="6413" max="6413" width="14" customWidth="1"/>
    <col min="6414" max="6414" width="17.7109375" customWidth="1"/>
    <col min="6657" max="6657" width="10" customWidth="1"/>
    <col min="6658" max="6658" width="9" customWidth="1"/>
    <col min="6659" max="6659" width="11.7109375" customWidth="1"/>
    <col min="6660" max="6660" width="11.85546875" customWidth="1"/>
    <col min="6661" max="6661" width="9.140625" customWidth="1"/>
    <col min="6662" max="6662" width="21.140625" customWidth="1"/>
    <col min="6663" max="6663" width="12.140625" customWidth="1"/>
    <col min="6664" max="6664" width="12.7109375" customWidth="1"/>
    <col min="6665" max="6665" width="11.5703125" customWidth="1"/>
    <col min="6666" max="6666" width="10.5703125" customWidth="1"/>
    <col min="6667" max="6667" width="9.140625" customWidth="1"/>
    <col min="6668" max="6668" width="12.85546875" customWidth="1"/>
    <col min="6669" max="6669" width="14" customWidth="1"/>
    <col min="6670" max="6670" width="17.7109375" customWidth="1"/>
    <col min="6913" max="6913" width="10" customWidth="1"/>
    <col min="6914" max="6914" width="9" customWidth="1"/>
    <col min="6915" max="6915" width="11.7109375" customWidth="1"/>
    <col min="6916" max="6916" width="11.85546875" customWidth="1"/>
    <col min="6917" max="6917" width="9.140625" customWidth="1"/>
    <col min="6918" max="6918" width="21.140625" customWidth="1"/>
    <col min="6919" max="6919" width="12.140625" customWidth="1"/>
    <col min="6920" max="6920" width="12.7109375" customWidth="1"/>
    <col min="6921" max="6921" width="11.5703125" customWidth="1"/>
    <col min="6922" max="6922" width="10.5703125" customWidth="1"/>
    <col min="6923" max="6923" width="9.140625" customWidth="1"/>
    <col min="6924" max="6924" width="12.85546875" customWidth="1"/>
    <col min="6925" max="6925" width="14" customWidth="1"/>
    <col min="6926" max="6926" width="17.7109375" customWidth="1"/>
    <col min="7169" max="7169" width="10" customWidth="1"/>
    <col min="7170" max="7170" width="9" customWidth="1"/>
    <col min="7171" max="7171" width="11.7109375" customWidth="1"/>
    <col min="7172" max="7172" width="11.85546875" customWidth="1"/>
    <col min="7173" max="7173" width="9.140625" customWidth="1"/>
    <col min="7174" max="7174" width="21.140625" customWidth="1"/>
    <col min="7175" max="7175" width="12.140625" customWidth="1"/>
    <col min="7176" max="7176" width="12.7109375" customWidth="1"/>
    <col min="7177" max="7177" width="11.5703125" customWidth="1"/>
    <col min="7178" max="7178" width="10.5703125" customWidth="1"/>
    <col min="7179" max="7179" width="9.140625" customWidth="1"/>
    <col min="7180" max="7180" width="12.85546875" customWidth="1"/>
    <col min="7181" max="7181" width="14" customWidth="1"/>
    <col min="7182" max="7182" width="17.7109375" customWidth="1"/>
    <col min="7425" max="7425" width="10" customWidth="1"/>
    <col min="7426" max="7426" width="9" customWidth="1"/>
    <col min="7427" max="7427" width="11.7109375" customWidth="1"/>
    <col min="7428" max="7428" width="11.85546875" customWidth="1"/>
    <col min="7429" max="7429" width="9.140625" customWidth="1"/>
    <col min="7430" max="7430" width="21.140625" customWidth="1"/>
    <col min="7431" max="7431" width="12.140625" customWidth="1"/>
    <col min="7432" max="7432" width="12.7109375" customWidth="1"/>
    <col min="7433" max="7433" width="11.5703125" customWidth="1"/>
    <col min="7434" max="7434" width="10.5703125" customWidth="1"/>
    <col min="7435" max="7435" width="9.140625" customWidth="1"/>
    <col min="7436" max="7436" width="12.85546875" customWidth="1"/>
    <col min="7437" max="7437" width="14" customWidth="1"/>
    <col min="7438" max="7438" width="17.7109375" customWidth="1"/>
    <col min="7681" max="7681" width="10" customWidth="1"/>
    <col min="7682" max="7682" width="9" customWidth="1"/>
    <col min="7683" max="7683" width="11.7109375" customWidth="1"/>
    <col min="7684" max="7684" width="11.85546875" customWidth="1"/>
    <col min="7685" max="7685" width="9.140625" customWidth="1"/>
    <col min="7686" max="7686" width="21.140625" customWidth="1"/>
    <col min="7687" max="7687" width="12.140625" customWidth="1"/>
    <col min="7688" max="7688" width="12.7109375" customWidth="1"/>
    <col min="7689" max="7689" width="11.5703125" customWidth="1"/>
    <col min="7690" max="7690" width="10.5703125" customWidth="1"/>
    <col min="7691" max="7691" width="9.140625" customWidth="1"/>
    <col min="7692" max="7692" width="12.85546875" customWidth="1"/>
    <col min="7693" max="7693" width="14" customWidth="1"/>
    <col min="7694" max="7694" width="17.7109375" customWidth="1"/>
    <col min="7937" max="7937" width="10" customWidth="1"/>
    <col min="7938" max="7938" width="9" customWidth="1"/>
    <col min="7939" max="7939" width="11.7109375" customWidth="1"/>
    <col min="7940" max="7940" width="11.85546875" customWidth="1"/>
    <col min="7941" max="7941" width="9.140625" customWidth="1"/>
    <col min="7942" max="7942" width="21.140625" customWidth="1"/>
    <col min="7943" max="7943" width="12.140625" customWidth="1"/>
    <col min="7944" max="7944" width="12.7109375" customWidth="1"/>
    <col min="7945" max="7945" width="11.5703125" customWidth="1"/>
    <col min="7946" max="7946" width="10.5703125" customWidth="1"/>
    <col min="7947" max="7947" width="9.140625" customWidth="1"/>
    <col min="7948" max="7948" width="12.85546875" customWidth="1"/>
    <col min="7949" max="7949" width="14" customWidth="1"/>
    <col min="7950" max="7950" width="17.7109375" customWidth="1"/>
    <col min="8193" max="8193" width="10" customWidth="1"/>
    <col min="8194" max="8194" width="9" customWidth="1"/>
    <col min="8195" max="8195" width="11.7109375" customWidth="1"/>
    <col min="8196" max="8196" width="11.85546875" customWidth="1"/>
    <col min="8197" max="8197" width="9.140625" customWidth="1"/>
    <col min="8198" max="8198" width="21.140625" customWidth="1"/>
    <col min="8199" max="8199" width="12.140625" customWidth="1"/>
    <col min="8200" max="8200" width="12.7109375" customWidth="1"/>
    <col min="8201" max="8201" width="11.5703125" customWidth="1"/>
    <col min="8202" max="8202" width="10.5703125" customWidth="1"/>
    <col min="8203" max="8203" width="9.140625" customWidth="1"/>
    <col min="8204" max="8204" width="12.85546875" customWidth="1"/>
    <col min="8205" max="8205" width="14" customWidth="1"/>
    <col min="8206" max="8206" width="17.7109375" customWidth="1"/>
    <col min="8449" max="8449" width="10" customWidth="1"/>
    <col min="8450" max="8450" width="9" customWidth="1"/>
    <col min="8451" max="8451" width="11.7109375" customWidth="1"/>
    <col min="8452" max="8452" width="11.85546875" customWidth="1"/>
    <col min="8453" max="8453" width="9.140625" customWidth="1"/>
    <col min="8454" max="8454" width="21.140625" customWidth="1"/>
    <col min="8455" max="8455" width="12.140625" customWidth="1"/>
    <col min="8456" max="8456" width="12.7109375" customWidth="1"/>
    <col min="8457" max="8457" width="11.5703125" customWidth="1"/>
    <col min="8458" max="8458" width="10.5703125" customWidth="1"/>
    <col min="8459" max="8459" width="9.140625" customWidth="1"/>
    <col min="8460" max="8460" width="12.85546875" customWidth="1"/>
    <col min="8461" max="8461" width="14" customWidth="1"/>
    <col min="8462" max="8462" width="17.7109375" customWidth="1"/>
    <col min="8705" max="8705" width="10" customWidth="1"/>
    <col min="8706" max="8706" width="9" customWidth="1"/>
    <col min="8707" max="8707" width="11.7109375" customWidth="1"/>
    <col min="8708" max="8708" width="11.85546875" customWidth="1"/>
    <col min="8709" max="8709" width="9.140625" customWidth="1"/>
    <col min="8710" max="8710" width="21.140625" customWidth="1"/>
    <col min="8711" max="8711" width="12.140625" customWidth="1"/>
    <col min="8712" max="8712" width="12.7109375" customWidth="1"/>
    <col min="8713" max="8713" width="11.5703125" customWidth="1"/>
    <col min="8714" max="8714" width="10.5703125" customWidth="1"/>
    <col min="8715" max="8715" width="9.140625" customWidth="1"/>
    <col min="8716" max="8716" width="12.85546875" customWidth="1"/>
    <col min="8717" max="8717" width="14" customWidth="1"/>
    <col min="8718" max="8718" width="17.7109375" customWidth="1"/>
    <col min="8961" max="8961" width="10" customWidth="1"/>
    <col min="8962" max="8962" width="9" customWidth="1"/>
    <col min="8963" max="8963" width="11.7109375" customWidth="1"/>
    <col min="8964" max="8964" width="11.85546875" customWidth="1"/>
    <col min="8965" max="8965" width="9.140625" customWidth="1"/>
    <col min="8966" max="8966" width="21.140625" customWidth="1"/>
    <col min="8967" max="8967" width="12.140625" customWidth="1"/>
    <col min="8968" max="8968" width="12.7109375" customWidth="1"/>
    <col min="8969" max="8969" width="11.5703125" customWidth="1"/>
    <col min="8970" max="8970" width="10.5703125" customWidth="1"/>
    <col min="8971" max="8971" width="9.140625" customWidth="1"/>
    <col min="8972" max="8972" width="12.85546875" customWidth="1"/>
    <col min="8973" max="8973" width="14" customWidth="1"/>
    <col min="8974" max="8974" width="17.7109375" customWidth="1"/>
    <col min="9217" max="9217" width="10" customWidth="1"/>
    <col min="9218" max="9218" width="9" customWidth="1"/>
    <col min="9219" max="9219" width="11.7109375" customWidth="1"/>
    <col min="9220" max="9220" width="11.85546875" customWidth="1"/>
    <col min="9221" max="9221" width="9.140625" customWidth="1"/>
    <col min="9222" max="9222" width="21.140625" customWidth="1"/>
    <col min="9223" max="9223" width="12.140625" customWidth="1"/>
    <col min="9224" max="9224" width="12.7109375" customWidth="1"/>
    <col min="9225" max="9225" width="11.5703125" customWidth="1"/>
    <col min="9226" max="9226" width="10.5703125" customWidth="1"/>
    <col min="9227" max="9227" width="9.140625" customWidth="1"/>
    <col min="9228" max="9228" width="12.85546875" customWidth="1"/>
    <col min="9229" max="9229" width="14" customWidth="1"/>
    <col min="9230" max="9230" width="17.7109375" customWidth="1"/>
    <col min="9473" max="9473" width="10" customWidth="1"/>
    <col min="9474" max="9474" width="9" customWidth="1"/>
    <col min="9475" max="9475" width="11.7109375" customWidth="1"/>
    <col min="9476" max="9476" width="11.85546875" customWidth="1"/>
    <col min="9477" max="9477" width="9.140625" customWidth="1"/>
    <col min="9478" max="9478" width="21.140625" customWidth="1"/>
    <col min="9479" max="9479" width="12.140625" customWidth="1"/>
    <col min="9480" max="9480" width="12.7109375" customWidth="1"/>
    <col min="9481" max="9481" width="11.5703125" customWidth="1"/>
    <col min="9482" max="9482" width="10.5703125" customWidth="1"/>
    <col min="9483" max="9483" width="9.140625" customWidth="1"/>
    <col min="9484" max="9484" width="12.85546875" customWidth="1"/>
    <col min="9485" max="9485" width="14" customWidth="1"/>
    <col min="9486" max="9486" width="17.7109375" customWidth="1"/>
    <col min="9729" max="9729" width="10" customWidth="1"/>
    <col min="9730" max="9730" width="9" customWidth="1"/>
    <col min="9731" max="9731" width="11.7109375" customWidth="1"/>
    <col min="9732" max="9732" width="11.85546875" customWidth="1"/>
    <col min="9733" max="9733" width="9.140625" customWidth="1"/>
    <col min="9734" max="9734" width="21.140625" customWidth="1"/>
    <col min="9735" max="9735" width="12.140625" customWidth="1"/>
    <col min="9736" max="9736" width="12.7109375" customWidth="1"/>
    <col min="9737" max="9737" width="11.5703125" customWidth="1"/>
    <col min="9738" max="9738" width="10.5703125" customWidth="1"/>
    <col min="9739" max="9739" width="9.140625" customWidth="1"/>
    <col min="9740" max="9740" width="12.85546875" customWidth="1"/>
    <col min="9741" max="9741" width="14" customWidth="1"/>
    <col min="9742" max="9742" width="17.7109375" customWidth="1"/>
    <col min="9985" max="9985" width="10" customWidth="1"/>
    <col min="9986" max="9986" width="9" customWidth="1"/>
    <col min="9987" max="9987" width="11.7109375" customWidth="1"/>
    <col min="9988" max="9988" width="11.85546875" customWidth="1"/>
    <col min="9989" max="9989" width="9.140625" customWidth="1"/>
    <col min="9990" max="9990" width="21.140625" customWidth="1"/>
    <col min="9991" max="9991" width="12.140625" customWidth="1"/>
    <col min="9992" max="9992" width="12.7109375" customWidth="1"/>
    <col min="9993" max="9993" width="11.5703125" customWidth="1"/>
    <col min="9994" max="9994" width="10.5703125" customWidth="1"/>
    <col min="9995" max="9995" width="9.140625" customWidth="1"/>
    <col min="9996" max="9996" width="12.85546875" customWidth="1"/>
    <col min="9997" max="9997" width="14" customWidth="1"/>
    <col min="9998" max="9998" width="17.7109375" customWidth="1"/>
    <col min="10241" max="10241" width="10" customWidth="1"/>
    <col min="10242" max="10242" width="9" customWidth="1"/>
    <col min="10243" max="10243" width="11.7109375" customWidth="1"/>
    <col min="10244" max="10244" width="11.85546875" customWidth="1"/>
    <col min="10245" max="10245" width="9.140625" customWidth="1"/>
    <col min="10246" max="10246" width="21.140625" customWidth="1"/>
    <col min="10247" max="10247" width="12.140625" customWidth="1"/>
    <col min="10248" max="10248" width="12.7109375" customWidth="1"/>
    <col min="10249" max="10249" width="11.5703125" customWidth="1"/>
    <col min="10250" max="10250" width="10.5703125" customWidth="1"/>
    <col min="10251" max="10251" width="9.140625" customWidth="1"/>
    <col min="10252" max="10252" width="12.85546875" customWidth="1"/>
    <col min="10253" max="10253" width="14" customWidth="1"/>
    <col min="10254" max="10254" width="17.7109375" customWidth="1"/>
    <col min="10497" max="10497" width="10" customWidth="1"/>
    <col min="10498" max="10498" width="9" customWidth="1"/>
    <col min="10499" max="10499" width="11.7109375" customWidth="1"/>
    <col min="10500" max="10500" width="11.85546875" customWidth="1"/>
    <col min="10501" max="10501" width="9.140625" customWidth="1"/>
    <col min="10502" max="10502" width="21.140625" customWidth="1"/>
    <col min="10503" max="10503" width="12.140625" customWidth="1"/>
    <col min="10504" max="10504" width="12.7109375" customWidth="1"/>
    <col min="10505" max="10505" width="11.5703125" customWidth="1"/>
    <col min="10506" max="10506" width="10.5703125" customWidth="1"/>
    <col min="10507" max="10507" width="9.140625" customWidth="1"/>
    <col min="10508" max="10508" width="12.85546875" customWidth="1"/>
    <col min="10509" max="10509" width="14" customWidth="1"/>
    <col min="10510" max="10510" width="17.7109375" customWidth="1"/>
    <col min="10753" max="10753" width="10" customWidth="1"/>
    <col min="10754" max="10754" width="9" customWidth="1"/>
    <col min="10755" max="10755" width="11.7109375" customWidth="1"/>
    <col min="10756" max="10756" width="11.85546875" customWidth="1"/>
    <col min="10757" max="10757" width="9.140625" customWidth="1"/>
    <col min="10758" max="10758" width="21.140625" customWidth="1"/>
    <col min="10759" max="10759" width="12.140625" customWidth="1"/>
    <col min="10760" max="10760" width="12.7109375" customWidth="1"/>
    <col min="10761" max="10761" width="11.5703125" customWidth="1"/>
    <col min="10762" max="10762" width="10.5703125" customWidth="1"/>
    <col min="10763" max="10763" width="9.140625" customWidth="1"/>
    <col min="10764" max="10764" width="12.85546875" customWidth="1"/>
    <col min="10765" max="10765" width="14" customWidth="1"/>
    <col min="10766" max="10766" width="17.7109375" customWidth="1"/>
    <col min="11009" max="11009" width="10" customWidth="1"/>
    <col min="11010" max="11010" width="9" customWidth="1"/>
    <col min="11011" max="11011" width="11.7109375" customWidth="1"/>
    <col min="11012" max="11012" width="11.85546875" customWidth="1"/>
    <col min="11013" max="11013" width="9.140625" customWidth="1"/>
    <col min="11014" max="11014" width="21.140625" customWidth="1"/>
    <col min="11015" max="11015" width="12.140625" customWidth="1"/>
    <col min="11016" max="11016" width="12.7109375" customWidth="1"/>
    <col min="11017" max="11017" width="11.5703125" customWidth="1"/>
    <col min="11018" max="11018" width="10.5703125" customWidth="1"/>
    <col min="11019" max="11019" width="9.140625" customWidth="1"/>
    <col min="11020" max="11020" width="12.85546875" customWidth="1"/>
    <col min="11021" max="11021" width="14" customWidth="1"/>
    <col min="11022" max="11022" width="17.7109375" customWidth="1"/>
    <col min="11265" max="11265" width="10" customWidth="1"/>
    <col min="11266" max="11266" width="9" customWidth="1"/>
    <col min="11267" max="11267" width="11.7109375" customWidth="1"/>
    <col min="11268" max="11268" width="11.85546875" customWidth="1"/>
    <col min="11269" max="11269" width="9.140625" customWidth="1"/>
    <col min="11270" max="11270" width="21.140625" customWidth="1"/>
    <col min="11271" max="11271" width="12.140625" customWidth="1"/>
    <col min="11272" max="11272" width="12.7109375" customWidth="1"/>
    <col min="11273" max="11273" width="11.5703125" customWidth="1"/>
    <col min="11274" max="11274" width="10.5703125" customWidth="1"/>
    <col min="11275" max="11275" width="9.140625" customWidth="1"/>
    <col min="11276" max="11276" width="12.85546875" customWidth="1"/>
    <col min="11277" max="11277" width="14" customWidth="1"/>
    <col min="11278" max="11278" width="17.7109375" customWidth="1"/>
    <col min="11521" max="11521" width="10" customWidth="1"/>
    <col min="11522" max="11522" width="9" customWidth="1"/>
    <col min="11523" max="11523" width="11.7109375" customWidth="1"/>
    <col min="11524" max="11524" width="11.85546875" customWidth="1"/>
    <col min="11525" max="11525" width="9.140625" customWidth="1"/>
    <col min="11526" max="11526" width="21.140625" customWidth="1"/>
    <col min="11527" max="11527" width="12.140625" customWidth="1"/>
    <col min="11528" max="11528" width="12.7109375" customWidth="1"/>
    <col min="11529" max="11529" width="11.5703125" customWidth="1"/>
    <col min="11530" max="11530" width="10.5703125" customWidth="1"/>
    <col min="11531" max="11531" width="9.140625" customWidth="1"/>
    <col min="11532" max="11532" width="12.85546875" customWidth="1"/>
    <col min="11533" max="11533" width="14" customWidth="1"/>
    <col min="11534" max="11534" width="17.7109375" customWidth="1"/>
    <col min="11777" max="11777" width="10" customWidth="1"/>
    <col min="11778" max="11778" width="9" customWidth="1"/>
    <col min="11779" max="11779" width="11.7109375" customWidth="1"/>
    <col min="11780" max="11780" width="11.85546875" customWidth="1"/>
    <col min="11781" max="11781" width="9.140625" customWidth="1"/>
    <col min="11782" max="11782" width="21.140625" customWidth="1"/>
    <col min="11783" max="11783" width="12.140625" customWidth="1"/>
    <col min="11784" max="11784" width="12.7109375" customWidth="1"/>
    <col min="11785" max="11785" width="11.5703125" customWidth="1"/>
    <col min="11786" max="11786" width="10.5703125" customWidth="1"/>
    <col min="11787" max="11787" width="9.140625" customWidth="1"/>
    <col min="11788" max="11788" width="12.85546875" customWidth="1"/>
    <col min="11789" max="11789" width="14" customWidth="1"/>
    <col min="11790" max="11790" width="17.7109375" customWidth="1"/>
    <col min="12033" max="12033" width="10" customWidth="1"/>
    <col min="12034" max="12034" width="9" customWidth="1"/>
    <col min="12035" max="12035" width="11.7109375" customWidth="1"/>
    <col min="12036" max="12036" width="11.85546875" customWidth="1"/>
    <col min="12037" max="12037" width="9.140625" customWidth="1"/>
    <col min="12038" max="12038" width="21.140625" customWidth="1"/>
    <col min="12039" max="12039" width="12.140625" customWidth="1"/>
    <col min="12040" max="12040" width="12.7109375" customWidth="1"/>
    <col min="12041" max="12041" width="11.5703125" customWidth="1"/>
    <col min="12042" max="12042" width="10.5703125" customWidth="1"/>
    <col min="12043" max="12043" width="9.140625" customWidth="1"/>
    <col min="12044" max="12044" width="12.85546875" customWidth="1"/>
    <col min="12045" max="12045" width="14" customWidth="1"/>
    <col min="12046" max="12046" width="17.7109375" customWidth="1"/>
    <col min="12289" max="12289" width="10" customWidth="1"/>
    <col min="12290" max="12290" width="9" customWidth="1"/>
    <col min="12291" max="12291" width="11.7109375" customWidth="1"/>
    <col min="12292" max="12292" width="11.85546875" customWidth="1"/>
    <col min="12293" max="12293" width="9.140625" customWidth="1"/>
    <col min="12294" max="12294" width="21.140625" customWidth="1"/>
    <col min="12295" max="12295" width="12.140625" customWidth="1"/>
    <col min="12296" max="12296" width="12.7109375" customWidth="1"/>
    <col min="12297" max="12297" width="11.5703125" customWidth="1"/>
    <col min="12298" max="12298" width="10.5703125" customWidth="1"/>
    <col min="12299" max="12299" width="9.140625" customWidth="1"/>
    <col min="12300" max="12300" width="12.85546875" customWidth="1"/>
    <col min="12301" max="12301" width="14" customWidth="1"/>
    <col min="12302" max="12302" width="17.7109375" customWidth="1"/>
    <col min="12545" max="12545" width="10" customWidth="1"/>
    <col min="12546" max="12546" width="9" customWidth="1"/>
    <col min="12547" max="12547" width="11.7109375" customWidth="1"/>
    <col min="12548" max="12548" width="11.85546875" customWidth="1"/>
    <col min="12549" max="12549" width="9.140625" customWidth="1"/>
    <col min="12550" max="12550" width="21.140625" customWidth="1"/>
    <col min="12551" max="12551" width="12.140625" customWidth="1"/>
    <col min="12552" max="12552" width="12.7109375" customWidth="1"/>
    <col min="12553" max="12553" width="11.5703125" customWidth="1"/>
    <col min="12554" max="12554" width="10.5703125" customWidth="1"/>
    <col min="12555" max="12555" width="9.140625" customWidth="1"/>
    <col min="12556" max="12556" width="12.85546875" customWidth="1"/>
    <col min="12557" max="12557" width="14" customWidth="1"/>
    <col min="12558" max="12558" width="17.7109375" customWidth="1"/>
    <col min="12801" max="12801" width="10" customWidth="1"/>
    <col min="12802" max="12802" width="9" customWidth="1"/>
    <col min="12803" max="12803" width="11.7109375" customWidth="1"/>
    <col min="12804" max="12804" width="11.85546875" customWidth="1"/>
    <col min="12805" max="12805" width="9.140625" customWidth="1"/>
    <col min="12806" max="12806" width="21.140625" customWidth="1"/>
    <col min="12807" max="12807" width="12.140625" customWidth="1"/>
    <col min="12808" max="12808" width="12.7109375" customWidth="1"/>
    <col min="12809" max="12809" width="11.5703125" customWidth="1"/>
    <col min="12810" max="12810" width="10.5703125" customWidth="1"/>
    <col min="12811" max="12811" width="9.140625" customWidth="1"/>
    <col min="12812" max="12812" width="12.85546875" customWidth="1"/>
    <col min="12813" max="12813" width="14" customWidth="1"/>
    <col min="12814" max="12814" width="17.7109375" customWidth="1"/>
    <col min="13057" max="13057" width="10" customWidth="1"/>
    <col min="13058" max="13058" width="9" customWidth="1"/>
    <col min="13059" max="13059" width="11.7109375" customWidth="1"/>
    <col min="13060" max="13060" width="11.85546875" customWidth="1"/>
    <col min="13061" max="13061" width="9.140625" customWidth="1"/>
    <col min="13062" max="13062" width="21.140625" customWidth="1"/>
    <col min="13063" max="13063" width="12.140625" customWidth="1"/>
    <col min="13064" max="13064" width="12.7109375" customWidth="1"/>
    <col min="13065" max="13065" width="11.5703125" customWidth="1"/>
    <col min="13066" max="13066" width="10.5703125" customWidth="1"/>
    <col min="13067" max="13067" width="9.140625" customWidth="1"/>
    <col min="13068" max="13068" width="12.85546875" customWidth="1"/>
    <col min="13069" max="13069" width="14" customWidth="1"/>
    <col min="13070" max="13070" width="17.7109375" customWidth="1"/>
    <col min="13313" max="13313" width="10" customWidth="1"/>
    <col min="13314" max="13314" width="9" customWidth="1"/>
    <col min="13315" max="13315" width="11.7109375" customWidth="1"/>
    <col min="13316" max="13316" width="11.85546875" customWidth="1"/>
    <col min="13317" max="13317" width="9.140625" customWidth="1"/>
    <col min="13318" max="13318" width="21.140625" customWidth="1"/>
    <col min="13319" max="13319" width="12.140625" customWidth="1"/>
    <col min="13320" max="13320" width="12.7109375" customWidth="1"/>
    <col min="13321" max="13321" width="11.5703125" customWidth="1"/>
    <col min="13322" max="13322" width="10.5703125" customWidth="1"/>
    <col min="13323" max="13323" width="9.140625" customWidth="1"/>
    <col min="13324" max="13324" width="12.85546875" customWidth="1"/>
    <col min="13325" max="13325" width="14" customWidth="1"/>
    <col min="13326" max="13326" width="17.7109375" customWidth="1"/>
    <col min="13569" max="13569" width="10" customWidth="1"/>
    <col min="13570" max="13570" width="9" customWidth="1"/>
    <col min="13571" max="13571" width="11.7109375" customWidth="1"/>
    <col min="13572" max="13572" width="11.85546875" customWidth="1"/>
    <col min="13573" max="13573" width="9.140625" customWidth="1"/>
    <col min="13574" max="13574" width="21.140625" customWidth="1"/>
    <col min="13575" max="13575" width="12.140625" customWidth="1"/>
    <col min="13576" max="13576" width="12.7109375" customWidth="1"/>
    <col min="13577" max="13577" width="11.5703125" customWidth="1"/>
    <col min="13578" max="13578" width="10.5703125" customWidth="1"/>
    <col min="13579" max="13579" width="9.140625" customWidth="1"/>
    <col min="13580" max="13580" width="12.85546875" customWidth="1"/>
    <col min="13581" max="13581" width="14" customWidth="1"/>
    <col min="13582" max="13582" width="17.7109375" customWidth="1"/>
    <col min="13825" max="13825" width="10" customWidth="1"/>
    <col min="13826" max="13826" width="9" customWidth="1"/>
    <col min="13827" max="13827" width="11.7109375" customWidth="1"/>
    <col min="13828" max="13828" width="11.85546875" customWidth="1"/>
    <col min="13829" max="13829" width="9.140625" customWidth="1"/>
    <col min="13830" max="13830" width="21.140625" customWidth="1"/>
    <col min="13831" max="13831" width="12.140625" customWidth="1"/>
    <col min="13832" max="13832" width="12.7109375" customWidth="1"/>
    <col min="13833" max="13833" width="11.5703125" customWidth="1"/>
    <col min="13834" max="13834" width="10.5703125" customWidth="1"/>
    <col min="13835" max="13835" width="9.140625" customWidth="1"/>
    <col min="13836" max="13836" width="12.85546875" customWidth="1"/>
    <col min="13837" max="13837" width="14" customWidth="1"/>
    <col min="13838" max="13838" width="17.7109375" customWidth="1"/>
    <col min="14081" max="14081" width="10" customWidth="1"/>
    <col min="14082" max="14082" width="9" customWidth="1"/>
    <col min="14083" max="14083" width="11.7109375" customWidth="1"/>
    <col min="14084" max="14084" width="11.85546875" customWidth="1"/>
    <col min="14085" max="14085" width="9.140625" customWidth="1"/>
    <col min="14086" max="14086" width="21.140625" customWidth="1"/>
    <col min="14087" max="14087" width="12.140625" customWidth="1"/>
    <col min="14088" max="14088" width="12.7109375" customWidth="1"/>
    <col min="14089" max="14089" width="11.5703125" customWidth="1"/>
    <col min="14090" max="14090" width="10.5703125" customWidth="1"/>
    <col min="14091" max="14091" width="9.140625" customWidth="1"/>
    <col min="14092" max="14092" width="12.85546875" customWidth="1"/>
    <col min="14093" max="14093" width="14" customWidth="1"/>
    <col min="14094" max="14094" width="17.7109375" customWidth="1"/>
    <col min="14337" max="14337" width="10" customWidth="1"/>
    <col min="14338" max="14338" width="9" customWidth="1"/>
    <col min="14339" max="14339" width="11.7109375" customWidth="1"/>
    <col min="14340" max="14340" width="11.85546875" customWidth="1"/>
    <col min="14341" max="14341" width="9.140625" customWidth="1"/>
    <col min="14342" max="14342" width="21.140625" customWidth="1"/>
    <col min="14343" max="14343" width="12.140625" customWidth="1"/>
    <col min="14344" max="14344" width="12.7109375" customWidth="1"/>
    <col min="14345" max="14345" width="11.5703125" customWidth="1"/>
    <col min="14346" max="14346" width="10.5703125" customWidth="1"/>
    <col min="14347" max="14347" width="9.140625" customWidth="1"/>
    <col min="14348" max="14348" width="12.85546875" customWidth="1"/>
    <col min="14349" max="14349" width="14" customWidth="1"/>
    <col min="14350" max="14350" width="17.7109375" customWidth="1"/>
    <col min="14593" max="14593" width="10" customWidth="1"/>
    <col min="14594" max="14594" width="9" customWidth="1"/>
    <col min="14595" max="14595" width="11.7109375" customWidth="1"/>
    <col min="14596" max="14596" width="11.85546875" customWidth="1"/>
    <col min="14597" max="14597" width="9.140625" customWidth="1"/>
    <col min="14598" max="14598" width="21.140625" customWidth="1"/>
    <col min="14599" max="14599" width="12.140625" customWidth="1"/>
    <col min="14600" max="14600" width="12.7109375" customWidth="1"/>
    <col min="14601" max="14601" width="11.5703125" customWidth="1"/>
    <col min="14602" max="14602" width="10.5703125" customWidth="1"/>
    <col min="14603" max="14603" width="9.140625" customWidth="1"/>
    <col min="14604" max="14604" width="12.85546875" customWidth="1"/>
    <col min="14605" max="14605" width="14" customWidth="1"/>
    <col min="14606" max="14606" width="17.7109375" customWidth="1"/>
    <col min="14849" max="14849" width="10" customWidth="1"/>
    <col min="14850" max="14850" width="9" customWidth="1"/>
    <col min="14851" max="14851" width="11.7109375" customWidth="1"/>
    <col min="14852" max="14852" width="11.85546875" customWidth="1"/>
    <col min="14853" max="14853" width="9.140625" customWidth="1"/>
    <col min="14854" max="14854" width="21.140625" customWidth="1"/>
    <col min="14855" max="14855" width="12.140625" customWidth="1"/>
    <col min="14856" max="14856" width="12.7109375" customWidth="1"/>
    <col min="14857" max="14857" width="11.5703125" customWidth="1"/>
    <col min="14858" max="14858" width="10.5703125" customWidth="1"/>
    <col min="14859" max="14859" width="9.140625" customWidth="1"/>
    <col min="14860" max="14860" width="12.85546875" customWidth="1"/>
    <col min="14861" max="14861" width="14" customWidth="1"/>
    <col min="14862" max="14862" width="17.7109375" customWidth="1"/>
    <col min="15105" max="15105" width="10" customWidth="1"/>
    <col min="15106" max="15106" width="9" customWidth="1"/>
    <col min="15107" max="15107" width="11.7109375" customWidth="1"/>
    <col min="15108" max="15108" width="11.85546875" customWidth="1"/>
    <col min="15109" max="15109" width="9.140625" customWidth="1"/>
    <col min="15110" max="15110" width="21.140625" customWidth="1"/>
    <col min="15111" max="15111" width="12.140625" customWidth="1"/>
    <col min="15112" max="15112" width="12.7109375" customWidth="1"/>
    <col min="15113" max="15113" width="11.5703125" customWidth="1"/>
    <col min="15114" max="15114" width="10.5703125" customWidth="1"/>
    <col min="15115" max="15115" width="9.140625" customWidth="1"/>
    <col min="15116" max="15116" width="12.85546875" customWidth="1"/>
    <col min="15117" max="15117" width="14" customWidth="1"/>
    <col min="15118" max="15118" width="17.7109375" customWidth="1"/>
    <col min="15361" max="15361" width="10" customWidth="1"/>
    <col min="15362" max="15362" width="9" customWidth="1"/>
    <col min="15363" max="15363" width="11.7109375" customWidth="1"/>
    <col min="15364" max="15364" width="11.85546875" customWidth="1"/>
    <col min="15365" max="15365" width="9.140625" customWidth="1"/>
    <col min="15366" max="15366" width="21.140625" customWidth="1"/>
    <col min="15367" max="15367" width="12.140625" customWidth="1"/>
    <col min="15368" max="15368" width="12.7109375" customWidth="1"/>
    <col min="15369" max="15369" width="11.5703125" customWidth="1"/>
    <col min="15370" max="15370" width="10.5703125" customWidth="1"/>
    <col min="15371" max="15371" width="9.140625" customWidth="1"/>
    <col min="15372" max="15372" width="12.85546875" customWidth="1"/>
    <col min="15373" max="15373" width="14" customWidth="1"/>
    <col min="15374" max="15374" width="17.7109375" customWidth="1"/>
    <col min="15617" max="15617" width="10" customWidth="1"/>
    <col min="15618" max="15618" width="9" customWidth="1"/>
    <col min="15619" max="15619" width="11.7109375" customWidth="1"/>
    <col min="15620" max="15620" width="11.85546875" customWidth="1"/>
    <col min="15621" max="15621" width="9.140625" customWidth="1"/>
    <col min="15622" max="15622" width="21.140625" customWidth="1"/>
    <col min="15623" max="15623" width="12.140625" customWidth="1"/>
    <col min="15624" max="15624" width="12.7109375" customWidth="1"/>
    <col min="15625" max="15625" width="11.5703125" customWidth="1"/>
    <col min="15626" max="15626" width="10.5703125" customWidth="1"/>
    <col min="15627" max="15627" width="9.140625" customWidth="1"/>
    <col min="15628" max="15628" width="12.85546875" customWidth="1"/>
    <col min="15629" max="15629" width="14" customWidth="1"/>
    <col min="15630" max="15630" width="17.7109375" customWidth="1"/>
    <col min="15873" max="15873" width="10" customWidth="1"/>
    <col min="15874" max="15874" width="9" customWidth="1"/>
    <col min="15875" max="15875" width="11.7109375" customWidth="1"/>
    <col min="15876" max="15876" width="11.85546875" customWidth="1"/>
    <col min="15877" max="15877" width="9.140625" customWidth="1"/>
    <col min="15878" max="15878" width="21.140625" customWidth="1"/>
    <col min="15879" max="15879" width="12.140625" customWidth="1"/>
    <col min="15880" max="15880" width="12.7109375" customWidth="1"/>
    <col min="15881" max="15881" width="11.5703125" customWidth="1"/>
    <col min="15882" max="15882" width="10.5703125" customWidth="1"/>
    <col min="15883" max="15883" width="9.140625" customWidth="1"/>
    <col min="15884" max="15884" width="12.85546875" customWidth="1"/>
    <col min="15885" max="15885" width="14" customWidth="1"/>
    <col min="15886" max="15886" width="17.7109375" customWidth="1"/>
    <col min="16129" max="16129" width="10" customWidth="1"/>
    <col min="16130" max="16130" width="9" customWidth="1"/>
    <col min="16131" max="16131" width="11.7109375" customWidth="1"/>
    <col min="16132" max="16132" width="11.85546875" customWidth="1"/>
    <col min="16133" max="16133" width="9.140625" customWidth="1"/>
    <col min="16134" max="16134" width="21.140625" customWidth="1"/>
    <col min="16135" max="16135" width="12.140625" customWidth="1"/>
    <col min="16136" max="16136" width="12.7109375" customWidth="1"/>
    <col min="16137" max="16137" width="11.5703125" customWidth="1"/>
    <col min="16138" max="16138" width="10.5703125" customWidth="1"/>
    <col min="16139" max="16139" width="9.140625" customWidth="1"/>
    <col min="16140" max="16140" width="12.85546875" customWidth="1"/>
    <col min="16141" max="16141" width="14" customWidth="1"/>
    <col min="16142" max="16142" width="17.7109375" customWidth="1"/>
  </cols>
  <sheetData>
    <row r="1" spans="1:14" s="20" customFormat="1" ht="18.75" x14ac:dyDescent="0.3">
      <c r="A1" s="87"/>
      <c r="B1" s="87"/>
      <c r="C1" s="87"/>
      <c r="D1" s="87"/>
      <c r="E1" s="87"/>
      <c r="F1" s="87"/>
      <c r="G1" s="87"/>
      <c r="H1" s="87"/>
    </row>
    <row r="2" spans="1:14" s="20" customFormat="1" ht="18.75" x14ac:dyDescent="0.3">
      <c r="A2" s="88"/>
      <c r="B2" s="88"/>
      <c r="C2" s="87"/>
      <c r="D2" s="87"/>
      <c r="E2" s="87"/>
      <c r="F2" s="87"/>
      <c r="G2" s="87"/>
      <c r="H2" s="87"/>
    </row>
    <row r="3" spans="1:14" s="20" customFormat="1" ht="18.75" x14ac:dyDescent="0.3">
      <c r="A3" s="87"/>
      <c r="B3" s="87"/>
      <c r="C3" s="87"/>
      <c r="D3" s="89"/>
      <c r="E3" s="87"/>
      <c r="F3" s="87"/>
      <c r="G3" s="87"/>
      <c r="H3" s="87"/>
    </row>
    <row r="4" spans="1:14" s="20" customFormat="1" ht="19.5" thickBot="1" x14ac:dyDescent="0.35">
      <c r="A4" s="87"/>
      <c r="B4" s="87"/>
      <c r="C4" s="87"/>
      <c r="D4" s="89"/>
      <c r="E4" s="87"/>
      <c r="F4" s="87"/>
      <c r="G4" s="87"/>
      <c r="H4" s="87"/>
    </row>
    <row r="5" spans="1:14" ht="19.5" thickBot="1" x14ac:dyDescent="0.35">
      <c r="A5" s="90" t="s">
        <v>32</v>
      </c>
      <c r="B5" s="91"/>
      <c r="C5" s="91"/>
      <c r="D5" s="92"/>
      <c r="E5" s="91"/>
      <c r="F5" s="90" t="s">
        <v>135</v>
      </c>
      <c r="G5" s="266"/>
      <c r="H5" s="93"/>
    </row>
    <row r="6" spans="1:14" ht="16.5" customHeight="1" x14ac:dyDescent="0.3">
      <c r="A6" s="86"/>
      <c r="B6" s="94"/>
      <c r="C6" s="86"/>
      <c r="D6" s="86"/>
      <c r="E6" s="86"/>
      <c r="F6" s="86"/>
      <c r="G6" s="86"/>
      <c r="H6" s="86"/>
    </row>
    <row r="7" spans="1:14" ht="18.75" x14ac:dyDescent="0.3">
      <c r="A7" s="94"/>
      <c r="B7" s="94"/>
      <c r="C7" s="86"/>
      <c r="D7" s="86"/>
      <c r="E7" s="95" t="s">
        <v>38</v>
      </c>
      <c r="F7" s="401"/>
      <c r="G7" s="402"/>
      <c r="H7" s="403"/>
    </row>
    <row r="8" spans="1:14" ht="16.5" customHeight="1" x14ac:dyDescent="0.3">
      <c r="A8" s="94"/>
      <c r="B8" s="94"/>
      <c r="C8" s="86"/>
      <c r="D8" s="86"/>
      <c r="E8" s="86"/>
      <c r="F8" s="94"/>
      <c r="G8" s="94"/>
      <c r="H8" s="96"/>
    </row>
    <row r="9" spans="1:14" ht="20.25" x14ac:dyDescent="0.3">
      <c r="A9" s="97" t="s">
        <v>34</v>
      </c>
      <c r="B9" s="98" t="s">
        <v>27</v>
      </c>
      <c r="C9" s="98"/>
      <c r="D9" s="99"/>
      <c r="E9" s="95" t="s">
        <v>39</v>
      </c>
      <c r="F9" s="398">
        <v>4100013624</v>
      </c>
      <c r="G9" s="399"/>
      <c r="H9" s="400"/>
      <c r="I9" s="1"/>
    </row>
    <row r="10" spans="1:14" ht="14.25" customHeight="1" x14ac:dyDescent="0.3">
      <c r="A10" s="98"/>
      <c r="B10" s="98"/>
      <c r="C10" s="98"/>
      <c r="D10" s="99"/>
      <c r="E10" s="86"/>
      <c r="F10" s="98"/>
      <c r="G10" s="98"/>
      <c r="H10" s="100"/>
      <c r="I10" s="1"/>
    </row>
    <row r="11" spans="1:14" ht="18.75" x14ac:dyDescent="0.3">
      <c r="A11" s="101" t="s">
        <v>31</v>
      </c>
      <c r="B11" s="102" t="s">
        <v>120</v>
      </c>
      <c r="C11" s="103"/>
      <c r="D11" s="86"/>
      <c r="E11" s="95" t="s">
        <v>0</v>
      </c>
      <c r="F11" s="104">
        <v>45159</v>
      </c>
      <c r="G11" s="104" t="s">
        <v>145</v>
      </c>
      <c r="H11" s="104">
        <v>45219</v>
      </c>
      <c r="J11" s="2"/>
      <c r="K11" s="3"/>
      <c r="L11" s="4"/>
      <c r="M11" s="5"/>
      <c r="N11" s="6"/>
    </row>
    <row r="12" spans="1:14" ht="18.75" x14ac:dyDescent="0.3">
      <c r="A12" s="101"/>
      <c r="B12" s="101"/>
      <c r="C12" s="103"/>
      <c r="D12" s="86"/>
      <c r="E12" s="86"/>
      <c r="F12" s="86"/>
      <c r="G12" s="86"/>
      <c r="H12" s="105"/>
    </row>
    <row r="13" spans="1:14" ht="18.75" x14ac:dyDescent="0.3">
      <c r="A13" s="86"/>
      <c r="B13" s="86"/>
      <c r="C13" s="86"/>
      <c r="D13" s="86"/>
      <c r="E13" s="86"/>
      <c r="F13" s="86"/>
      <c r="G13" s="86"/>
      <c r="H13" s="86"/>
    </row>
    <row r="14" spans="1:14" ht="19.5" thickBot="1" x14ac:dyDescent="0.35">
      <c r="A14" s="106"/>
      <c r="B14" s="106"/>
      <c r="C14" s="86"/>
      <c r="D14" s="86"/>
      <c r="E14" s="100"/>
      <c r="F14" s="100"/>
      <c r="G14" s="100"/>
      <c r="H14" s="86"/>
    </row>
    <row r="15" spans="1:14" ht="37.5" x14ac:dyDescent="0.3">
      <c r="A15" s="107" t="s">
        <v>4</v>
      </c>
      <c r="B15" s="108" t="s">
        <v>40</v>
      </c>
      <c r="C15" s="108" t="s">
        <v>1</v>
      </c>
      <c r="D15" s="108" t="s">
        <v>2</v>
      </c>
      <c r="E15" s="108"/>
      <c r="F15" s="109" t="s">
        <v>123</v>
      </c>
      <c r="G15" s="109" t="s">
        <v>144</v>
      </c>
      <c r="H15" s="110" t="s">
        <v>124</v>
      </c>
      <c r="I15" s="18"/>
    </row>
    <row r="16" spans="1:14" ht="17.25" customHeight="1" x14ac:dyDescent="0.3">
      <c r="A16" s="111"/>
      <c r="B16" s="85"/>
      <c r="C16" s="112"/>
      <c r="D16" s="85" t="s">
        <v>41</v>
      </c>
      <c r="E16" s="113" t="s">
        <v>42</v>
      </c>
      <c r="F16" s="114"/>
      <c r="G16" s="267"/>
      <c r="H16" s="115">
        <f>F16*C16</f>
        <v>0</v>
      </c>
      <c r="I16" s="18"/>
    </row>
    <row r="17" spans="1:10" ht="17.25" customHeight="1" x14ac:dyDescent="0.3">
      <c r="A17" s="116"/>
      <c r="B17" s="85"/>
      <c r="C17" s="112"/>
      <c r="D17" s="85" t="s">
        <v>41</v>
      </c>
      <c r="E17" s="113" t="s">
        <v>43</v>
      </c>
      <c r="F17" s="114"/>
      <c r="G17" s="267"/>
      <c r="H17" s="115">
        <f>C17*F17</f>
        <v>0</v>
      </c>
      <c r="I17" s="18"/>
    </row>
    <row r="18" spans="1:10" ht="17.25" customHeight="1" x14ac:dyDescent="0.3">
      <c r="A18" s="117" t="s">
        <v>136</v>
      </c>
      <c r="B18" s="85"/>
      <c r="C18" s="112">
        <f>+'Pta Vanson'!F127+'R-1003'!F127+'R-1011'!F127+'R-1007 (2)'!F153+400</f>
        <v>1900</v>
      </c>
      <c r="D18" s="85" t="s">
        <v>41</v>
      </c>
      <c r="E18" s="118" t="s">
        <v>44</v>
      </c>
      <c r="F18" s="119">
        <v>4.05</v>
      </c>
      <c r="G18" s="268"/>
      <c r="H18" s="115">
        <f>C18*F18</f>
        <v>7695</v>
      </c>
      <c r="I18" s="18"/>
    </row>
    <row r="19" spans="1:10" ht="17.25" customHeight="1" x14ac:dyDescent="0.3">
      <c r="A19" s="117" t="s">
        <v>137</v>
      </c>
      <c r="B19" s="85"/>
      <c r="C19" s="112">
        <f>+'Pta Vanson (3)'!F127+'R-1003 (2)'!F127+200</f>
        <v>1200</v>
      </c>
      <c r="D19" s="85" t="s">
        <v>41</v>
      </c>
      <c r="E19" s="118" t="s">
        <v>44</v>
      </c>
      <c r="F19" s="119">
        <v>4.22</v>
      </c>
      <c r="G19" s="268"/>
      <c r="H19" s="115">
        <f>C19*F19</f>
        <v>5064</v>
      </c>
      <c r="I19" s="18"/>
    </row>
    <row r="20" spans="1:10" ht="17.25" customHeight="1" x14ac:dyDescent="0.3">
      <c r="A20" s="117" t="s">
        <v>138</v>
      </c>
      <c r="B20" s="85"/>
      <c r="C20" s="112">
        <f>+'R-11'!F127+'R-15'!F127+'R-1004'!F127+'R-1005'!F182+'R-1007'!F153+'R-1009'!F127+'R-1010'!F127+'R-1011 (2)'!F127+200</f>
        <v>3600</v>
      </c>
      <c r="D20" s="85" t="s">
        <v>41</v>
      </c>
      <c r="E20" s="118" t="s">
        <v>44</v>
      </c>
      <c r="F20" s="119">
        <v>3.96</v>
      </c>
      <c r="G20" s="268"/>
      <c r="H20" s="115">
        <f>+C20*F20</f>
        <v>14256</v>
      </c>
      <c r="I20" s="18"/>
    </row>
    <row r="21" spans="1:10" ht="17.25" customHeight="1" x14ac:dyDescent="0.3">
      <c r="A21" s="117" t="s">
        <v>139</v>
      </c>
      <c r="B21" s="85"/>
      <c r="C21" s="112">
        <f>+'Pta Vanson (2)'!F127</f>
        <v>400</v>
      </c>
      <c r="D21" s="85" t="s">
        <v>41</v>
      </c>
      <c r="E21" s="118" t="s">
        <v>44</v>
      </c>
      <c r="F21" s="119">
        <v>3.5</v>
      </c>
      <c r="G21" s="268"/>
      <c r="H21" s="115">
        <f>+C21*F21</f>
        <v>1400</v>
      </c>
      <c r="I21" s="18"/>
    </row>
    <row r="22" spans="1:10" ht="19.5" customHeight="1" x14ac:dyDescent="0.3">
      <c r="A22" s="120"/>
      <c r="B22" s="85"/>
      <c r="C22" s="112"/>
      <c r="D22" s="85" t="s">
        <v>41</v>
      </c>
      <c r="E22" s="118" t="s">
        <v>146</v>
      </c>
      <c r="F22" s="119"/>
      <c r="G22" s="364">
        <f>+'Monitoreo de Scio'!D3</f>
        <v>2257821.5767861349</v>
      </c>
      <c r="H22" s="115">
        <f>C22*F22</f>
        <v>0</v>
      </c>
      <c r="I22" s="18"/>
    </row>
    <row r="23" spans="1:10" ht="19.5" customHeight="1" x14ac:dyDescent="0.3">
      <c r="A23" s="111"/>
      <c r="B23" s="85"/>
      <c r="C23" s="112"/>
      <c r="D23" s="85" t="s">
        <v>41</v>
      </c>
      <c r="E23" s="118" t="s">
        <v>147</v>
      </c>
      <c r="F23" s="119">
        <v>4118</v>
      </c>
      <c r="G23" s="268"/>
      <c r="H23" s="115">
        <f>C23*F23</f>
        <v>0</v>
      </c>
      <c r="I23" s="18"/>
    </row>
    <row r="24" spans="1:10" ht="19.5" customHeight="1" x14ac:dyDescent="0.3">
      <c r="A24" s="116"/>
      <c r="B24" s="85"/>
      <c r="C24" s="121"/>
      <c r="D24" s="85" t="s">
        <v>41</v>
      </c>
      <c r="E24" s="118" t="s">
        <v>148</v>
      </c>
      <c r="F24" s="119">
        <v>3843</v>
      </c>
      <c r="G24" s="268"/>
      <c r="H24" s="115">
        <f>C24*F24</f>
        <v>0</v>
      </c>
      <c r="I24" s="18"/>
    </row>
    <row r="25" spans="1:10" ht="19.5" customHeight="1" x14ac:dyDescent="0.3">
      <c r="A25" s="117"/>
      <c r="B25" s="85"/>
      <c r="C25" s="112"/>
      <c r="D25" s="85" t="s">
        <v>41</v>
      </c>
      <c r="E25" s="118" t="s">
        <v>149</v>
      </c>
      <c r="F25" s="119">
        <v>1791</v>
      </c>
      <c r="G25" s="268"/>
      <c r="H25" s="115">
        <f>C25*F25</f>
        <v>0</v>
      </c>
      <c r="I25" s="18"/>
    </row>
    <row r="26" spans="1:10" ht="19.5" customHeight="1" thickBot="1" x14ac:dyDescent="0.35">
      <c r="A26" s="122"/>
      <c r="B26" s="122"/>
      <c r="C26" s="103"/>
      <c r="D26" s="122"/>
      <c r="E26" s="123"/>
      <c r="F26" s="122"/>
      <c r="G26" s="122"/>
      <c r="H26" s="124"/>
    </row>
    <row r="27" spans="1:10" ht="19.5" customHeight="1" thickBot="1" x14ac:dyDescent="0.35">
      <c r="A27" s="122"/>
      <c r="B27" s="122"/>
      <c r="C27" s="103"/>
      <c r="D27" s="122"/>
      <c r="E27" s="123"/>
      <c r="F27" s="125" t="s">
        <v>3</v>
      </c>
      <c r="G27" s="269"/>
      <c r="H27" s="126">
        <f>SUM(H16:H25)</f>
        <v>28415</v>
      </c>
      <c r="I27" s="8"/>
      <c r="J27" s="204"/>
    </row>
    <row r="28" spans="1:10" ht="19.5" customHeight="1" thickBot="1" x14ac:dyDescent="0.35">
      <c r="A28" s="404"/>
      <c r="B28" s="404"/>
      <c r="C28" s="404"/>
      <c r="D28" s="404"/>
      <c r="E28" s="404"/>
      <c r="F28" s="127"/>
      <c r="G28" s="127"/>
      <c r="H28" s="128"/>
    </row>
    <row r="29" spans="1:10" ht="19.5" customHeight="1" thickBot="1" x14ac:dyDescent="0.35">
      <c r="A29" s="122"/>
      <c r="B29" s="122"/>
      <c r="C29" s="122"/>
      <c r="D29" s="122"/>
      <c r="E29" s="122"/>
      <c r="F29" s="125" t="s">
        <v>150</v>
      </c>
      <c r="G29" s="270"/>
      <c r="H29" s="132">
        <f>+G22</f>
        <v>2257821.5767861349</v>
      </c>
    </row>
    <row r="30" spans="1:10" ht="19.5" customHeight="1" thickBot="1" x14ac:dyDescent="0.35">
      <c r="A30" s="122"/>
      <c r="B30" s="122"/>
      <c r="C30" s="103"/>
      <c r="D30" s="122"/>
      <c r="E30" s="123"/>
      <c r="F30" s="127"/>
      <c r="G30" s="127"/>
      <c r="H30" s="129"/>
    </row>
    <row r="31" spans="1:10" ht="26.25" customHeight="1" thickBot="1" x14ac:dyDescent="0.35">
      <c r="A31" s="122"/>
      <c r="B31" s="122"/>
      <c r="C31" s="103"/>
      <c r="D31" s="130"/>
      <c r="E31" s="131"/>
      <c r="F31" s="125" t="s">
        <v>130</v>
      </c>
      <c r="G31" s="270"/>
      <c r="H31" s="132">
        <f>H27-H28</f>
        <v>28415</v>
      </c>
    </row>
    <row r="32" spans="1:10" ht="19.5" customHeight="1" x14ac:dyDescent="0.3">
      <c r="A32" s="122"/>
      <c r="B32" s="122"/>
      <c r="C32" s="103"/>
      <c r="D32" s="130"/>
      <c r="E32" s="100"/>
      <c r="F32" s="127"/>
      <c r="G32" s="127"/>
      <c r="H32" s="133"/>
    </row>
    <row r="33" spans="1:9" ht="19.5" customHeight="1" x14ac:dyDescent="0.3">
      <c r="A33" s="122"/>
      <c r="B33" s="122"/>
      <c r="C33" s="103"/>
      <c r="D33" s="130"/>
      <c r="E33" s="86"/>
      <c r="F33" s="86"/>
      <c r="G33" s="86"/>
      <c r="H33" s="86"/>
    </row>
    <row r="34" spans="1:9" ht="19.5" customHeight="1" x14ac:dyDescent="0.3">
      <c r="A34" s="122"/>
      <c r="B34" s="122"/>
      <c r="C34" s="103"/>
      <c r="D34" s="130"/>
      <c r="E34" s="86"/>
      <c r="F34" s="86"/>
      <c r="G34" s="86"/>
      <c r="H34" s="86"/>
    </row>
    <row r="35" spans="1:9" ht="19.5" customHeight="1" x14ac:dyDescent="0.3">
      <c r="A35" s="122"/>
      <c r="B35" s="122"/>
      <c r="C35" s="103"/>
      <c r="D35" s="130"/>
      <c r="E35" s="86"/>
      <c r="F35" s="86"/>
      <c r="G35" s="86"/>
      <c r="H35" s="86"/>
    </row>
    <row r="36" spans="1:9" ht="19.5" customHeight="1" x14ac:dyDescent="0.3">
      <c r="A36" s="134"/>
      <c r="B36" s="134"/>
      <c r="C36" s="86"/>
      <c r="D36" s="86"/>
      <c r="E36" s="135"/>
      <c r="F36" s="86"/>
      <c r="G36" s="86"/>
      <c r="H36" s="86"/>
    </row>
    <row r="37" spans="1:9" ht="19.5" customHeight="1" x14ac:dyDescent="0.3">
      <c r="A37" s="86"/>
      <c r="B37" s="86"/>
      <c r="C37" s="86"/>
      <c r="D37" s="86"/>
      <c r="E37" s="86"/>
      <c r="F37" s="86"/>
      <c r="G37" s="86"/>
      <c r="H37" s="86"/>
      <c r="I37" s="8"/>
    </row>
    <row r="38" spans="1:9" ht="19.5" customHeight="1" x14ac:dyDescent="0.3">
      <c r="A38" s="122"/>
      <c r="B38" s="122"/>
      <c r="C38" s="103"/>
      <c r="D38" s="130"/>
      <c r="E38" s="86"/>
      <c r="F38" s="86"/>
      <c r="G38" s="86"/>
      <c r="H38" s="86"/>
    </row>
    <row r="39" spans="1:9" ht="10.5" customHeight="1" x14ac:dyDescent="0.3">
      <c r="A39" s="134"/>
      <c r="B39" s="134"/>
      <c r="C39" s="86"/>
      <c r="D39" s="86"/>
      <c r="E39" s="136"/>
      <c r="F39" s="86"/>
      <c r="G39" s="86"/>
      <c r="H39" s="86"/>
    </row>
    <row r="40" spans="1:9" ht="26.25" customHeight="1" x14ac:dyDescent="0.3">
      <c r="A40" s="137" t="s">
        <v>35</v>
      </c>
      <c r="B40" s="134"/>
      <c r="C40" s="86"/>
      <c r="D40" s="86"/>
      <c r="E40" s="136"/>
      <c r="F40" s="138" t="s">
        <v>36</v>
      </c>
      <c r="G40" s="138"/>
      <c r="H40" s="136"/>
    </row>
    <row r="41" spans="1:9" ht="19.5" customHeight="1" x14ac:dyDescent="0.3">
      <c r="A41" s="134" t="s">
        <v>5</v>
      </c>
      <c r="B41" s="134"/>
      <c r="C41" s="86"/>
      <c r="D41" s="86"/>
      <c r="E41" s="139" t="s">
        <v>37</v>
      </c>
      <c r="F41" s="86" t="s">
        <v>126</v>
      </c>
      <c r="G41" s="86"/>
      <c r="H41" s="136"/>
    </row>
    <row r="42" spans="1:9" ht="19.5" customHeight="1" x14ac:dyDescent="0.25">
      <c r="A42" s="140"/>
      <c r="B42" s="140"/>
      <c r="C42" s="140"/>
      <c r="D42" s="141"/>
      <c r="E42" s="142"/>
      <c r="F42" s="143"/>
      <c r="G42" s="143"/>
      <c r="H42" s="144"/>
    </row>
    <row r="43" spans="1:9" ht="19.5" customHeight="1" x14ac:dyDescent="0.25">
      <c r="A43" s="11"/>
      <c r="B43" s="11"/>
      <c r="C43" s="11"/>
      <c r="E43" s="12"/>
      <c r="F43" s="12"/>
      <c r="G43" s="12"/>
    </row>
    <row r="44" spans="1:9" ht="19.5" customHeight="1" x14ac:dyDescent="0.25">
      <c r="A44" s="9"/>
      <c r="B44" s="9"/>
      <c r="C44" s="9"/>
      <c r="D44" s="7"/>
      <c r="E44" s="11"/>
      <c r="F44" s="12"/>
      <c r="G44" s="12"/>
      <c r="H44" s="5"/>
    </row>
    <row r="45" spans="1:9" ht="19.5" customHeight="1" x14ac:dyDescent="0.25">
      <c r="A45" s="11"/>
      <c r="B45" s="11"/>
      <c r="C45" s="11"/>
      <c r="E45" s="12"/>
      <c r="F45" s="12"/>
      <c r="G45" s="12"/>
      <c r="H45" s="9"/>
    </row>
    <row r="46" spans="1:9" ht="19.5" customHeight="1" x14ac:dyDescent="0.25">
      <c r="A46" s="13"/>
      <c r="B46" s="13"/>
      <c r="C46" s="13"/>
      <c r="D46" s="7"/>
      <c r="E46" s="11"/>
      <c r="F46" s="12"/>
      <c r="G46" s="12"/>
      <c r="H46" s="9"/>
    </row>
    <row r="47" spans="1:9" ht="19.5" customHeight="1" x14ac:dyDescent="0.25">
      <c r="A47" s="13"/>
      <c r="B47" s="13"/>
      <c r="C47" s="13"/>
      <c r="D47" s="7"/>
      <c r="E47" s="11"/>
      <c r="F47" s="12"/>
      <c r="G47" s="12"/>
      <c r="H47" s="9"/>
    </row>
    <row r="48" spans="1:9" ht="19.5" customHeight="1" x14ac:dyDescent="0.25">
      <c r="A48" s="13"/>
      <c r="B48" s="13"/>
      <c r="C48" s="13"/>
      <c r="D48" s="7"/>
      <c r="E48" s="11"/>
      <c r="F48" s="12"/>
      <c r="G48" s="12"/>
      <c r="H48" s="9"/>
    </row>
    <row r="49" spans="1:9" ht="19.5" customHeight="1" x14ac:dyDescent="0.25">
      <c r="A49" s="13"/>
      <c r="B49" s="13"/>
      <c r="C49" s="13"/>
      <c r="D49" s="7"/>
      <c r="E49" s="11"/>
      <c r="F49" s="12"/>
      <c r="G49" s="12"/>
      <c r="H49" s="9"/>
    </row>
    <row r="50" spans="1:9" ht="19.5" customHeight="1" x14ac:dyDescent="0.25">
      <c r="A50" s="13"/>
      <c r="B50" s="13"/>
      <c r="C50" s="13"/>
      <c r="D50" s="7"/>
      <c r="E50" s="11"/>
      <c r="F50" s="12"/>
      <c r="G50" s="12"/>
      <c r="H50" s="9"/>
    </row>
    <row r="51" spans="1:9" ht="19.5" customHeight="1" x14ac:dyDescent="0.25">
      <c r="A51" s="13"/>
      <c r="B51" s="13"/>
      <c r="C51" s="13"/>
      <c r="D51" s="7"/>
      <c r="E51" s="11"/>
      <c r="F51" s="12"/>
      <c r="G51" s="12"/>
      <c r="H51" s="9"/>
    </row>
    <row r="52" spans="1:9" ht="19.5" customHeight="1" x14ac:dyDescent="0.25">
      <c r="A52" s="13"/>
      <c r="B52" s="13"/>
      <c r="C52" s="13"/>
      <c r="D52" s="7"/>
      <c r="E52" s="11"/>
      <c r="F52" s="12"/>
      <c r="G52" s="12"/>
      <c r="H52" s="5"/>
    </row>
    <row r="53" spans="1:9" ht="19.5" customHeight="1" x14ac:dyDescent="0.25">
      <c r="A53" s="13"/>
      <c r="B53" s="13"/>
      <c r="C53" s="13"/>
      <c r="D53" s="7"/>
      <c r="E53" s="11"/>
      <c r="F53" s="12"/>
      <c r="G53" s="12"/>
      <c r="H53" s="14"/>
      <c r="I53" s="10"/>
    </row>
    <row r="54" spans="1:9" ht="19.5" customHeight="1" x14ac:dyDescent="0.25">
      <c r="A54" s="13"/>
      <c r="B54" s="13"/>
      <c r="C54" s="13"/>
      <c r="D54" s="7"/>
      <c r="E54" s="11"/>
      <c r="F54" s="12"/>
      <c r="G54" s="12"/>
    </row>
    <row r="55" spans="1:9" ht="12.75" customHeight="1" x14ac:dyDescent="0.25"/>
  </sheetData>
  <mergeCells count="3">
    <mergeCell ref="F9:H9"/>
    <mergeCell ref="F7:H7"/>
    <mergeCell ref="A28:E28"/>
  </mergeCells>
  <pageMargins left="0.7" right="0.7" top="0.75" bottom="0.75" header="0.3" footer="0.3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C490-046A-4AEC-8BB6-F532DF8D8C0D}">
  <dimension ref="A1:Q131"/>
  <sheetViews>
    <sheetView showGridLines="0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140</v>
      </c>
      <c r="E12" s="442"/>
      <c r="F12" s="442"/>
      <c r="G12" s="442"/>
      <c r="H12" s="443" t="s">
        <v>21</v>
      </c>
      <c r="I12" s="444"/>
      <c r="J12" s="445"/>
      <c r="K12" s="441" t="s">
        <v>136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11</v>
      </c>
      <c r="E14" s="442"/>
      <c r="F14" s="442"/>
      <c r="G14" s="442"/>
      <c r="H14" s="443" t="s">
        <v>24</v>
      </c>
      <c r="I14" s="444"/>
      <c r="J14" s="445"/>
      <c r="K14" s="441" t="s">
        <v>142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45163</v>
      </c>
      <c r="B19" s="252">
        <v>0</v>
      </c>
      <c r="C19" s="252">
        <v>200</v>
      </c>
      <c r="D19" s="252">
        <v>200</v>
      </c>
      <c r="E19" s="252">
        <v>5</v>
      </c>
      <c r="F19" s="252">
        <v>0</v>
      </c>
      <c r="G19" s="252">
        <v>5</v>
      </c>
      <c r="H19" s="252"/>
      <c r="I19" s="252">
        <v>1</v>
      </c>
      <c r="J19" s="252">
        <v>1</v>
      </c>
      <c r="K19" s="525" t="s">
        <v>151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45168</v>
      </c>
      <c r="B20" s="229">
        <v>150</v>
      </c>
      <c r="C20" s="229">
        <v>0</v>
      </c>
      <c r="D20" s="229">
        <f t="shared" ref="D20:D24" si="0">+B20+C20</f>
        <v>150</v>
      </c>
      <c r="E20" s="229">
        <v>5</v>
      </c>
      <c r="F20" s="229">
        <v>50</v>
      </c>
      <c r="G20" s="257">
        <v>10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45176</v>
      </c>
      <c r="B21" s="187">
        <v>80</v>
      </c>
      <c r="C21" s="188">
        <v>0</v>
      </c>
      <c r="D21" s="229">
        <f t="shared" si="0"/>
        <v>80</v>
      </c>
      <c r="E21" s="229">
        <v>5</v>
      </c>
      <c r="F21" s="188">
        <v>70</v>
      </c>
      <c r="G21" s="255">
        <v>8.75</v>
      </c>
      <c r="H21" s="234"/>
      <c r="I21" s="190">
        <v>1</v>
      </c>
      <c r="J21" s="252"/>
      <c r="K21" s="490" t="s">
        <v>132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>
        <v>45202</v>
      </c>
      <c r="B22" s="187">
        <v>0</v>
      </c>
      <c r="C22" s="188">
        <v>200</v>
      </c>
      <c r="D22" s="229">
        <f t="shared" si="0"/>
        <v>200</v>
      </c>
      <c r="E22" s="229">
        <v>5</v>
      </c>
      <c r="F22" s="188">
        <v>0</v>
      </c>
      <c r="G22" s="255"/>
      <c r="H22" s="230"/>
      <c r="I22" s="190">
        <v>1</v>
      </c>
      <c r="J22" s="192">
        <v>1</v>
      </c>
      <c r="K22" s="490" t="s">
        <v>134</v>
      </c>
      <c r="L22" s="491"/>
      <c r="M22" s="491"/>
      <c r="N22" s="491"/>
      <c r="O22" s="491"/>
      <c r="P22" s="492"/>
    </row>
    <row r="23" spans="1:17" s="19" customFormat="1" ht="27.75" customHeight="1" x14ac:dyDescent="0.25">
      <c r="A23" s="186">
        <v>45204</v>
      </c>
      <c r="B23" s="187">
        <v>180</v>
      </c>
      <c r="C23" s="188">
        <v>0</v>
      </c>
      <c r="D23" s="229">
        <f t="shared" si="0"/>
        <v>180</v>
      </c>
      <c r="E23" s="229">
        <v>5</v>
      </c>
      <c r="F23" s="188">
        <v>0</v>
      </c>
      <c r="G23" s="256"/>
      <c r="H23" s="235"/>
      <c r="I23" s="190">
        <v>1</v>
      </c>
      <c r="J23" s="192"/>
      <c r="K23" s="525" t="s">
        <v>134</v>
      </c>
      <c r="L23" s="526"/>
      <c r="M23" s="526"/>
      <c r="N23" s="526"/>
      <c r="O23" s="526"/>
      <c r="P23" s="527"/>
    </row>
    <row r="24" spans="1:17" s="19" customFormat="1" ht="18" customHeight="1" x14ac:dyDescent="0.25">
      <c r="A24" s="186">
        <v>45217</v>
      </c>
      <c r="B24" s="187">
        <v>100</v>
      </c>
      <c r="C24" s="188">
        <v>200</v>
      </c>
      <c r="D24" s="229">
        <f t="shared" si="0"/>
        <v>300</v>
      </c>
      <c r="E24" s="229">
        <v>5</v>
      </c>
      <c r="F24" s="190">
        <v>70</v>
      </c>
      <c r="G24" s="255"/>
      <c r="H24" s="230"/>
      <c r="I24" s="190">
        <v>1</v>
      </c>
      <c r="J24" s="192">
        <v>1</v>
      </c>
      <c r="K24" s="490" t="s">
        <v>134</v>
      </c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SUM(C19:C24)</f>
        <v>600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K112:P112"/>
    <mergeCell ref="K113:P113"/>
    <mergeCell ref="E6:G6"/>
    <mergeCell ref="H6:K6"/>
    <mergeCell ref="K27:P27"/>
    <mergeCell ref="K28:P28"/>
    <mergeCell ref="K34:P34"/>
    <mergeCell ref="K35:P35"/>
    <mergeCell ref="K36:P36"/>
    <mergeCell ref="K37:P37"/>
    <mergeCell ref="K38:P38"/>
    <mergeCell ref="K29:P29"/>
    <mergeCell ref="K30:P30"/>
    <mergeCell ref="K31:P31"/>
    <mergeCell ref="K32:P32"/>
    <mergeCell ref="K33:P33"/>
    <mergeCell ref="K13:P13"/>
    <mergeCell ref="K19:P19"/>
    <mergeCell ref="K20:P20"/>
    <mergeCell ref="K21:P21"/>
    <mergeCell ref="K22:P22"/>
    <mergeCell ref="K39:P39"/>
    <mergeCell ref="K46:P46"/>
    <mergeCell ref="K47:P47"/>
    <mergeCell ref="A14:C14"/>
    <mergeCell ref="D14:G14"/>
    <mergeCell ref="H14:J14"/>
    <mergeCell ref="K14:P14"/>
    <mergeCell ref="K40:P40"/>
    <mergeCell ref="K41:P41"/>
    <mergeCell ref="K42:P42"/>
    <mergeCell ref="K43:P43"/>
    <mergeCell ref="K44:P44"/>
    <mergeCell ref="K45:P45"/>
    <mergeCell ref="A15:C15"/>
    <mergeCell ref="D15:G15"/>
    <mergeCell ref="H15:J15"/>
    <mergeCell ref="L15:M15"/>
    <mergeCell ref="N15:O15"/>
    <mergeCell ref="K23:P23"/>
    <mergeCell ref="K24:P24"/>
    <mergeCell ref="K25:P25"/>
    <mergeCell ref="K26:P26"/>
    <mergeCell ref="A17:A18"/>
    <mergeCell ref="K17:P18"/>
    <mergeCell ref="A1:D3"/>
    <mergeCell ref="E1:P3"/>
    <mergeCell ref="E4:F4"/>
    <mergeCell ref="H4:K4"/>
    <mergeCell ref="L4:P4"/>
    <mergeCell ref="A5:D5"/>
    <mergeCell ref="E5:F5"/>
    <mergeCell ref="H5:K5"/>
    <mergeCell ref="L5:P5"/>
    <mergeCell ref="A7:D7"/>
    <mergeCell ref="E7:G7"/>
    <mergeCell ref="H7:K7"/>
    <mergeCell ref="L7:P7"/>
    <mergeCell ref="A12:C12"/>
    <mergeCell ref="D12:G12"/>
    <mergeCell ref="H12:J12"/>
    <mergeCell ref="K12:P12"/>
    <mergeCell ref="A13:C13"/>
    <mergeCell ref="D13:G13"/>
    <mergeCell ref="H13:J13"/>
    <mergeCell ref="A8:D9"/>
    <mergeCell ref="E8:P9"/>
    <mergeCell ref="A11:C11"/>
    <mergeCell ref="D11:G11"/>
    <mergeCell ref="H11:J11"/>
    <mergeCell ref="K11:P11"/>
    <mergeCell ref="K52:P52"/>
    <mergeCell ref="K53:P53"/>
    <mergeCell ref="K54:P54"/>
    <mergeCell ref="K55:P55"/>
    <mergeCell ref="K56:P56"/>
    <mergeCell ref="K57:P57"/>
    <mergeCell ref="K48:P48"/>
    <mergeCell ref="K49:P49"/>
    <mergeCell ref="K50:P50"/>
    <mergeCell ref="K51:P51"/>
    <mergeCell ref="K58:P58"/>
    <mergeCell ref="K59:P59"/>
    <mergeCell ref="K60:P60"/>
    <mergeCell ref="K61:P61"/>
    <mergeCell ref="K62:P62"/>
    <mergeCell ref="K63:P63"/>
    <mergeCell ref="K73:P73"/>
    <mergeCell ref="K74:P74"/>
    <mergeCell ref="K81:P81"/>
    <mergeCell ref="K77:P77"/>
    <mergeCell ref="K75:P75"/>
    <mergeCell ref="K76:P76"/>
    <mergeCell ref="K67:P67"/>
    <mergeCell ref="K68:P68"/>
    <mergeCell ref="K71:P71"/>
    <mergeCell ref="K72:P72"/>
    <mergeCell ref="K64:P64"/>
    <mergeCell ref="K65:P65"/>
    <mergeCell ref="K66:P66"/>
    <mergeCell ref="K69:P69"/>
    <mergeCell ref="K70:P70"/>
    <mergeCell ref="K91:P91"/>
    <mergeCell ref="K92:P92"/>
    <mergeCell ref="K93:P93"/>
    <mergeCell ref="K94:P94"/>
    <mergeCell ref="K95:P95"/>
    <mergeCell ref="K96:P96"/>
    <mergeCell ref="K78:P78"/>
    <mergeCell ref="K79:P79"/>
    <mergeCell ref="K80:P80"/>
    <mergeCell ref="K88:P88"/>
    <mergeCell ref="K89:P89"/>
    <mergeCell ref="K90:P90"/>
    <mergeCell ref="K84:P84"/>
    <mergeCell ref="K82:P82"/>
    <mergeCell ref="K83:P83"/>
    <mergeCell ref="K85:P85"/>
    <mergeCell ref="K86:P86"/>
    <mergeCell ref="K87:P87"/>
    <mergeCell ref="B130:C130"/>
    <mergeCell ref="D130:E130"/>
    <mergeCell ref="I130:J130"/>
    <mergeCell ref="L130:P130"/>
    <mergeCell ref="K126:P126"/>
    <mergeCell ref="A127:C127"/>
    <mergeCell ref="K127:P127"/>
    <mergeCell ref="B128:C128"/>
    <mergeCell ref="D128:E128"/>
    <mergeCell ref="L128:P128"/>
    <mergeCell ref="K120:P120"/>
    <mergeCell ref="K121:P121"/>
    <mergeCell ref="K122:P122"/>
    <mergeCell ref="K123:P123"/>
    <mergeCell ref="K124:P124"/>
    <mergeCell ref="K125:P125"/>
    <mergeCell ref="K97:P97"/>
    <mergeCell ref="K98:P98"/>
    <mergeCell ref="K99:P99"/>
    <mergeCell ref="K117:P117"/>
    <mergeCell ref="K118:P118"/>
    <mergeCell ref="K119:P119"/>
    <mergeCell ref="K102:P102"/>
    <mergeCell ref="K100:P100"/>
    <mergeCell ref="K101:P101"/>
    <mergeCell ref="K103:P103"/>
    <mergeCell ref="K104:P104"/>
    <mergeCell ref="K105:P105"/>
    <mergeCell ref="K106:P106"/>
    <mergeCell ref="K107:P107"/>
    <mergeCell ref="K108:P108"/>
    <mergeCell ref="K109:P109"/>
    <mergeCell ref="K111:P111"/>
    <mergeCell ref="K110:P110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6BFB-3986-4A84-9E72-482B334D943C}">
  <dimension ref="A1:Q131"/>
  <sheetViews>
    <sheetView showGridLines="0" topLeftCell="A114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140</v>
      </c>
      <c r="E12" s="442"/>
      <c r="F12" s="442"/>
      <c r="G12" s="442"/>
      <c r="H12" s="443" t="s">
        <v>21</v>
      </c>
      <c r="I12" s="444"/>
      <c r="J12" s="445"/>
      <c r="K12" s="441" t="s">
        <v>139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11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45163</v>
      </c>
      <c r="B19" s="252">
        <v>0</v>
      </c>
      <c r="C19" s="252">
        <v>200</v>
      </c>
      <c r="D19" s="252">
        <f>+B19+C19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45168</v>
      </c>
      <c r="B20" s="229">
        <v>192</v>
      </c>
      <c r="C20" s="229">
        <v>0</v>
      </c>
      <c r="D20" s="229">
        <f t="shared" ref="D20:D21" si="0">+B20+C20</f>
        <v>192</v>
      </c>
      <c r="E20" s="229">
        <v>5</v>
      </c>
      <c r="F20" s="229">
        <v>0</v>
      </c>
      <c r="G20" s="257">
        <v>0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45176</v>
      </c>
      <c r="B21" s="187">
        <v>152</v>
      </c>
      <c r="C21" s="188">
        <v>0</v>
      </c>
      <c r="D21" s="229">
        <f t="shared" si="0"/>
        <v>152</v>
      </c>
      <c r="E21" s="190">
        <v>5</v>
      </c>
      <c r="F21" s="188">
        <v>40</v>
      </c>
      <c r="G21" s="255">
        <v>5</v>
      </c>
      <c r="H21" s="234"/>
      <c r="I21" s="190">
        <v>1</v>
      </c>
      <c r="J21" s="252"/>
      <c r="K21" s="490" t="s">
        <v>152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>
        <v>45204</v>
      </c>
      <c r="B22" s="187">
        <v>170</v>
      </c>
      <c r="C22" s="188">
        <v>0</v>
      </c>
      <c r="D22" s="229">
        <f t="shared" ref="D22:D23" si="1">+B22+C22</f>
        <v>170</v>
      </c>
      <c r="E22" s="188">
        <v>5</v>
      </c>
      <c r="F22" s="188">
        <v>0</v>
      </c>
      <c r="G22" s="256">
        <v>0</v>
      </c>
      <c r="H22" s="235"/>
      <c r="I22" s="190">
        <v>1</v>
      </c>
      <c r="J22" s="192"/>
      <c r="K22" s="490" t="s">
        <v>134</v>
      </c>
      <c r="L22" s="491"/>
      <c r="M22" s="491"/>
      <c r="N22" s="491"/>
      <c r="O22" s="491"/>
      <c r="P22" s="492"/>
    </row>
    <row r="23" spans="1:17" s="19" customFormat="1" ht="27.75" customHeight="1" x14ac:dyDescent="0.25">
      <c r="A23" s="186">
        <v>45217</v>
      </c>
      <c r="B23" s="187">
        <v>150</v>
      </c>
      <c r="C23" s="188">
        <v>200</v>
      </c>
      <c r="D23" s="229">
        <f t="shared" si="1"/>
        <v>350</v>
      </c>
      <c r="E23" s="190">
        <v>5</v>
      </c>
      <c r="F23" s="190">
        <v>20</v>
      </c>
      <c r="G23" s="255">
        <v>5</v>
      </c>
      <c r="H23" s="230"/>
      <c r="I23" s="190">
        <v>1</v>
      </c>
      <c r="J23" s="192">
        <v>1</v>
      </c>
      <c r="K23" s="525" t="s">
        <v>134</v>
      </c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SUM(C19:C23)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042D-A55C-4F78-8410-8F5A0FB5419A}">
  <dimension ref="A1:Q131"/>
  <sheetViews>
    <sheetView showGridLines="0" topLeftCell="A114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140</v>
      </c>
      <c r="E12" s="442"/>
      <c r="F12" s="442"/>
      <c r="G12" s="442"/>
      <c r="H12" s="443" t="s">
        <v>21</v>
      </c>
      <c r="I12" s="444"/>
      <c r="J12" s="445"/>
      <c r="K12" s="441" t="s">
        <v>137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11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45163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45168</v>
      </c>
      <c r="B20" s="229">
        <v>172</v>
      </c>
      <c r="C20" s="229">
        <v>0</v>
      </c>
      <c r="D20" s="229">
        <f t="shared" ref="D20:D24" si="0">+B20+C20</f>
        <v>172</v>
      </c>
      <c r="E20" s="229">
        <v>5</v>
      </c>
      <c r="F20" s="229">
        <v>28</v>
      </c>
      <c r="G20" s="257">
        <v>5.6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45176</v>
      </c>
      <c r="B21" s="187">
        <v>132</v>
      </c>
      <c r="C21" s="188">
        <v>0</v>
      </c>
      <c r="D21" s="229">
        <f t="shared" si="0"/>
        <v>132</v>
      </c>
      <c r="E21" s="190">
        <v>5</v>
      </c>
      <c r="F21" s="188">
        <v>40</v>
      </c>
      <c r="G21" s="255">
        <v>5</v>
      </c>
      <c r="H21" s="234"/>
      <c r="I21" s="190">
        <v>1</v>
      </c>
      <c r="J21" s="252"/>
      <c r="K21" s="490" t="s">
        <v>132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>
        <v>45190</v>
      </c>
      <c r="B22" s="187">
        <v>20</v>
      </c>
      <c r="C22" s="188">
        <v>200</v>
      </c>
      <c r="D22" s="229">
        <f t="shared" si="0"/>
        <v>220</v>
      </c>
      <c r="E22" s="190">
        <v>5</v>
      </c>
      <c r="F22" s="188">
        <v>112</v>
      </c>
      <c r="G22" s="255">
        <v>8</v>
      </c>
      <c r="H22" s="230"/>
      <c r="I22" s="190">
        <v>1</v>
      </c>
      <c r="J22" s="192">
        <v>1</v>
      </c>
      <c r="K22" s="490" t="s">
        <v>134</v>
      </c>
      <c r="L22" s="491"/>
      <c r="M22" s="491"/>
      <c r="N22" s="491"/>
      <c r="O22" s="491"/>
      <c r="P22" s="492"/>
    </row>
    <row r="23" spans="1:17" s="19" customFormat="1" ht="27.75" customHeight="1" x14ac:dyDescent="0.25">
      <c r="A23" s="186">
        <v>45204</v>
      </c>
      <c r="B23" s="187">
        <v>150</v>
      </c>
      <c r="C23" s="188">
        <v>0</v>
      </c>
      <c r="D23" s="229">
        <f t="shared" si="0"/>
        <v>150</v>
      </c>
      <c r="E23" s="188">
        <v>5</v>
      </c>
      <c r="F23" s="188">
        <v>70</v>
      </c>
      <c r="G23" s="256">
        <v>5</v>
      </c>
      <c r="H23" s="235"/>
      <c r="I23" s="190">
        <v>1</v>
      </c>
      <c r="J23" s="192"/>
      <c r="K23" s="525" t="s">
        <v>134</v>
      </c>
      <c r="L23" s="526"/>
      <c r="M23" s="526"/>
      <c r="N23" s="526"/>
      <c r="O23" s="526"/>
      <c r="P23" s="527"/>
    </row>
    <row r="24" spans="1:17" s="19" customFormat="1" ht="18" customHeight="1" x14ac:dyDescent="0.25">
      <c r="A24" s="186">
        <v>45217</v>
      </c>
      <c r="B24" s="187">
        <v>70</v>
      </c>
      <c r="C24" s="188">
        <v>200</v>
      </c>
      <c r="D24" s="229">
        <f t="shared" si="0"/>
        <v>270</v>
      </c>
      <c r="E24" s="190">
        <v>5</v>
      </c>
      <c r="F24" s="190">
        <v>80</v>
      </c>
      <c r="G24" s="255">
        <v>6.1</v>
      </c>
      <c r="H24" s="230"/>
      <c r="I24" s="190">
        <v>1</v>
      </c>
      <c r="J24" s="192">
        <v>1</v>
      </c>
      <c r="K24" s="490" t="s">
        <v>134</v>
      </c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SUM(C19:C24)</f>
        <v>600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CC13-D647-4FD6-B848-F4126D95B7EB}">
  <dimension ref="A1:Q131"/>
  <sheetViews>
    <sheetView showGridLines="0" topLeftCell="A123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154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45190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45217</v>
      </c>
      <c r="B20" s="229">
        <v>140</v>
      </c>
      <c r="C20" s="229">
        <v>200</v>
      </c>
      <c r="D20" s="229">
        <f t="shared" ref="D20" si="0">+B20+C20</f>
        <v>340</v>
      </c>
      <c r="E20" s="229">
        <v>5</v>
      </c>
      <c r="F20" s="229">
        <v>60</v>
      </c>
      <c r="G20" s="257">
        <v>3</v>
      </c>
      <c r="H20" s="229"/>
      <c r="I20" s="229">
        <v>1</v>
      </c>
      <c r="J20" s="252">
        <v>1</v>
      </c>
      <c r="K20" s="490" t="s">
        <v>134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/>
      <c r="B21" s="187"/>
      <c r="C21" s="188"/>
      <c r="D21" s="229"/>
      <c r="E21" s="190"/>
      <c r="F21" s="188"/>
      <c r="G21" s="255"/>
      <c r="H21" s="234"/>
      <c r="I21" s="190"/>
      <c r="J21" s="252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SUM(C19:C20)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201-7A12-4C56-8B69-F0BA9075C4B9}">
  <dimension ref="A1:Q131"/>
  <sheetViews>
    <sheetView showGridLines="0" topLeftCell="A124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131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45190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45204</v>
      </c>
      <c r="B20" s="229">
        <v>160</v>
      </c>
      <c r="C20" s="229">
        <v>0</v>
      </c>
      <c r="D20" s="229">
        <f t="shared" ref="D20:D22" si="0">+B20+C20</f>
        <v>160</v>
      </c>
      <c r="E20" s="229">
        <v>5</v>
      </c>
      <c r="F20" s="229">
        <v>40</v>
      </c>
      <c r="G20" s="257">
        <v>3</v>
      </c>
      <c r="H20" s="229"/>
      <c r="I20" s="229">
        <v>1</v>
      </c>
      <c r="J20" s="252"/>
      <c r="K20" s="490" t="s">
        <v>134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45211</v>
      </c>
      <c r="B21" s="187">
        <v>120</v>
      </c>
      <c r="C21" s="188">
        <v>0</v>
      </c>
      <c r="D21" s="229">
        <f t="shared" si="0"/>
        <v>120</v>
      </c>
      <c r="E21" s="229">
        <v>5</v>
      </c>
      <c r="F21" s="188">
        <v>40</v>
      </c>
      <c r="G21" s="255">
        <v>5.7</v>
      </c>
      <c r="H21" s="234"/>
      <c r="I21" s="229">
        <v>1</v>
      </c>
      <c r="J21" s="252"/>
      <c r="K21" s="490" t="s">
        <v>134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251">
        <v>45217</v>
      </c>
      <c r="B22" s="187">
        <v>100</v>
      </c>
      <c r="C22" s="188">
        <v>200</v>
      </c>
      <c r="D22" s="229">
        <f t="shared" si="0"/>
        <v>300</v>
      </c>
      <c r="E22" s="229">
        <v>5</v>
      </c>
      <c r="F22" s="188">
        <v>20</v>
      </c>
      <c r="G22" s="255">
        <v>3.4</v>
      </c>
      <c r="H22" s="230"/>
      <c r="I22" s="229">
        <v>1</v>
      </c>
      <c r="J22" s="252">
        <v>1</v>
      </c>
      <c r="K22" s="490" t="s">
        <v>134</v>
      </c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SUM(C19:C22)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5B15-811C-48D6-89EC-3D42AFDE10F4}">
  <dimension ref="A1:Q131"/>
  <sheetViews>
    <sheetView showGridLines="0" topLeftCell="A11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158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45197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157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45197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45217</v>
      </c>
      <c r="B20" s="229">
        <v>100</v>
      </c>
      <c r="C20" s="229">
        <v>200</v>
      </c>
      <c r="D20" s="229">
        <f t="shared" ref="D20" si="0">+B20+C20</f>
        <v>300</v>
      </c>
      <c r="E20" s="229">
        <v>5</v>
      </c>
      <c r="F20" s="229">
        <v>100</v>
      </c>
      <c r="G20" s="257">
        <v>5</v>
      </c>
      <c r="H20" s="229"/>
      <c r="I20" s="229">
        <v>1</v>
      </c>
      <c r="J20" s="252">
        <v>1</v>
      </c>
      <c r="K20" s="490" t="s">
        <v>134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/>
      <c r="B21" s="187"/>
      <c r="C21" s="188"/>
      <c r="D21" s="229"/>
      <c r="E21" s="229"/>
      <c r="F21" s="188"/>
      <c r="G21" s="255"/>
      <c r="H21" s="234"/>
      <c r="I21" s="229"/>
      <c r="J21" s="252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251"/>
      <c r="B22" s="187"/>
      <c r="C22" s="188"/>
      <c r="D22" s="229"/>
      <c r="E22" s="229"/>
      <c r="F22" s="188"/>
      <c r="G22" s="255"/>
      <c r="H22" s="230"/>
      <c r="I22" s="229"/>
      <c r="J22" s="25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SUM(C19:C20)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B82F-25FD-44FC-9F18-D82E9DFA970E}">
  <dimension ref="A1:Q131"/>
  <sheetViews>
    <sheetView showGridLines="0" topLeftCell="C123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156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45163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157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45163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45168</v>
      </c>
      <c r="B20" s="229">
        <v>127</v>
      </c>
      <c r="C20" s="229">
        <v>0</v>
      </c>
      <c r="D20" s="229">
        <f t="shared" ref="D20:D23" si="0">+B20+C20</f>
        <v>127</v>
      </c>
      <c r="E20" s="229">
        <v>5</v>
      </c>
      <c r="F20" s="229">
        <v>73</v>
      </c>
      <c r="G20" s="257">
        <v>14.6</v>
      </c>
      <c r="H20" s="229"/>
      <c r="I20" s="229">
        <v>1</v>
      </c>
      <c r="J20" s="252"/>
      <c r="K20" s="490" t="s">
        <v>134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45176</v>
      </c>
      <c r="B21" s="187">
        <v>80</v>
      </c>
      <c r="C21" s="188">
        <v>0</v>
      </c>
      <c r="D21" s="229">
        <f t="shared" si="0"/>
        <v>80</v>
      </c>
      <c r="E21" s="229">
        <v>5</v>
      </c>
      <c r="F21" s="188">
        <v>47</v>
      </c>
      <c r="G21" s="255">
        <v>5.87</v>
      </c>
      <c r="H21" s="234"/>
      <c r="I21" s="229">
        <v>1</v>
      </c>
      <c r="J21" s="252"/>
      <c r="K21" s="490" t="s">
        <v>134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251">
        <v>45201</v>
      </c>
      <c r="B22" s="187">
        <v>0</v>
      </c>
      <c r="C22" s="188">
        <v>200</v>
      </c>
      <c r="D22" s="229">
        <f t="shared" si="0"/>
        <v>200</v>
      </c>
      <c r="E22" s="229">
        <v>5</v>
      </c>
      <c r="F22" s="188">
        <v>80</v>
      </c>
      <c r="G22" s="255">
        <v>3.2</v>
      </c>
      <c r="H22" s="230"/>
      <c r="I22" s="229">
        <v>1</v>
      </c>
      <c r="J22" s="252">
        <v>1</v>
      </c>
      <c r="K22" s="490" t="s">
        <v>134</v>
      </c>
      <c r="L22" s="491"/>
      <c r="M22" s="491"/>
      <c r="N22" s="491"/>
      <c r="O22" s="491"/>
      <c r="P22" s="492"/>
    </row>
    <row r="23" spans="1:17" s="19" customFormat="1" ht="27.75" customHeight="1" x14ac:dyDescent="0.25">
      <c r="A23" s="186">
        <v>45217</v>
      </c>
      <c r="B23" s="187">
        <v>130</v>
      </c>
      <c r="C23" s="188">
        <v>200</v>
      </c>
      <c r="D23" s="253">
        <f t="shared" si="0"/>
        <v>330</v>
      </c>
      <c r="E23" s="253">
        <v>5</v>
      </c>
      <c r="F23" s="188">
        <v>70</v>
      </c>
      <c r="G23" s="256">
        <v>4.4000000000000004</v>
      </c>
      <c r="H23" s="235"/>
      <c r="I23" s="253">
        <v>1</v>
      </c>
      <c r="J23" s="252">
        <v>1</v>
      </c>
      <c r="K23" s="490" t="s">
        <v>134</v>
      </c>
      <c r="L23" s="491"/>
      <c r="M23" s="491"/>
      <c r="N23" s="491"/>
      <c r="O23" s="491"/>
      <c r="P23" s="492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SUM(C19:C22)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98CE-E1B9-4909-9CFE-3BD61D71A7F5}">
  <dimension ref="A1:Q131"/>
  <sheetViews>
    <sheetView showGridLines="0" topLeftCell="A112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45197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159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45197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164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45217</v>
      </c>
      <c r="B20" s="229">
        <v>120</v>
      </c>
      <c r="C20" s="229">
        <v>300</v>
      </c>
      <c r="D20" s="229">
        <f t="shared" ref="D20" si="0">+B20+C20</f>
        <v>420</v>
      </c>
      <c r="E20" s="229">
        <v>5</v>
      </c>
      <c r="F20" s="229">
        <v>80</v>
      </c>
      <c r="G20" s="257">
        <v>4</v>
      </c>
      <c r="H20" s="229"/>
      <c r="I20" s="229">
        <v>1</v>
      </c>
      <c r="J20" s="252">
        <v>1</v>
      </c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/>
      <c r="B21" s="187"/>
      <c r="C21" s="188"/>
      <c r="D21" s="229"/>
      <c r="E21" s="190"/>
      <c r="F21" s="188"/>
      <c r="G21" s="255"/>
      <c r="H21" s="234"/>
      <c r="I21" s="190"/>
      <c r="J21" s="252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SUM(C19:C20)</f>
        <v>500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6"/>
  <sheetViews>
    <sheetView showGridLines="0" topLeftCell="A169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0.5703125" style="22" customWidth="1"/>
    <col min="12" max="15" width="6.7109375" style="22" customWidth="1"/>
    <col min="16" max="16" width="11.71093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45197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127</v>
      </c>
      <c r="E14" s="442"/>
      <c r="F14" s="442"/>
      <c r="G14" s="442"/>
      <c r="H14" s="443" t="s">
        <v>24</v>
      </c>
      <c r="I14" s="444"/>
      <c r="J14" s="445"/>
      <c r="K14" s="441" t="s">
        <v>161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/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228" t="s">
        <v>125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8" customHeight="1" x14ac:dyDescent="0.25">
      <c r="A19" s="251">
        <v>45197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32">
        <v>45217</v>
      </c>
      <c r="B20" s="229">
        <v>130</v>
      </c>
      <c r="C20" s="229">
        <v>300</v>
      </c>
      <c r="D20" s="229">
        <f>+B20+C20</f>
        <v>430</v>
      </c>
      <c r="E20" s="229">
        <v>5</v>
      </c>
      <c r="F20" s="229">
        <v>70</v>
      </c>
      <c r="G20" s="257">
        <v>3.5</v>
      </c>
      <c r="H20" s="229"/>
      <c r="I20" s="229">
        <v>1</v>
      </c>
      <c r="J20" s="233">
        <v>1</v>
      </c>
      <c r="K20" s="490" t="s">
        <v>128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186"/>
      <c r="B21" s="187"/>
      <c r="C21" s="188"/>
      <c r="D21" s="229"/>
      <c r="E21" s="190"/>
      <c r="F21" s="188"/>
      <c r="G21" s="255"/>
      <c r="H21" s="234"/>
      <c r="I21" s="190"/>
      <c r="J21" s="192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18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490"/>
      <c r="L23" s="491"/>
      <c r="M23" s="491"/>
      <c r="N23" s="491"/>
      <c r="O23" s="491"/>
      <c r="P23" s="492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4.75" customHeight="1" x14ac:dyDescent="0.25">
      <c r="A26" s="186"/>
      <c r="B26" s="187"/>
      <c r="C26" s="188"/>
      <c r="D26" s="253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7" customHeight="1" x14ac:dyDescent="0.25">
      <c r="A27" s="186"/>
      <c r="B27" s="187"/>
      <c r="C27" s="188"/>
      <c r="D27" s="253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53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29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53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29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53"/>
      <c r="E32" s="190"/>
      <c r="F32" s="190"/>
      <c r="G32" s="25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187"/>
      <c r="C33" s="188"/>
      <c r="D33" s="229"/>
      <c r="E33" s="188"/>
      <c r="F33" s="190"/>
      <c r="G33" s="235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258"/>
      <c r="B34" s="259"/>
      <c r="C34" s="259"/>
      <c r="D34" s="229"/>
      <c r="E34" s="194"/>
      <c r="F34" s="190"/>
      <c r="G34" s="260"/>
      <c r="H34" s="193"/>
      <c r="I34" s="194"/>
      <c r="J34" s="194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258"/>
      <c r="B35" s="194"/>
      <c r="C35" s="194"/>
      <c r="D35" s="229"/>
      <c r="E35" s="194"/>
      <c r="F35" s="190"/>
      <c r="G35" s="260"/>
      <c r="H35" s="193"/>
      <c r="I35" s="194"/>
      <c r="J35" s="194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94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94"/>
      <c r="F37" s="190"/>
      <c r="G37" s="255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94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94"/>
      <c r="F39" s="190"/>
      <c r="G39" s="189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94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94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94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94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0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0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0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0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0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18" customHeight="1" x14ac:dyDescent="0.25">
      <c r="A61" s="186"/>
      <c r="B61" s="187"/>
      <c r="C61" s="188"/>
      <c r="D61" s="229"/>
      <c r="E61" s="190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29.25" customHeight="1" x14ac:dyDescent="0.25">
      <c r="A62" s="186"/>
      <c r="B62" s="187"/>
      <c r="C62" s="188"/>
      <c r="D62" s="253"/>
      <c r="E62" s="190"/>
      <c r="F62" s="190"/>
      <c r="G62" s="255"/>
      <c r="H62" s="193"/>
      <c r="I62" s="190"/>
      <c r="J62" s="192"/>
      <c r="K62" s="525"/>
      <c r="L62" s="526"/>
      <c r="M62" s="526"/>
      <c r="N62" s="526"/>
      <c r="O62" s="526"/>
      <c r="P62" s="527"/>
    </row>
    <row r="63" spans="1:16" s="19" customFormat="1" ht="18" customHeight="1" x14ac:dyDescent="0.25">
      <c r="A63" s="186"/>
      <c r="B63" s="187"/>
      <c r="C63" s="188"/>
      <c r="D63" s="229"/>
      <c r="E63" s="190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0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0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0"/>
      <c r="F66" s="190"/>
      <c r="G66" s="189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0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0"/>
      <c r="F68" s="190"/>
      <c r="G68" s="189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0"/>
      <c r="F69" s="190"/>
      <c r="G69" s="189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0"/>
      <c r="F70" s="190"/>
      <c r="G70" s="189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0"/>
      <c r="F71" s="190"/>
      <c r="G71" s="189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0"/>
      <c r="F72" s="190"/>
      <c r="G72" s="189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0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0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ht="15.75" x14ac:dyDescent="0.25">
      <c r="A75" s="186"/>
      <c r="B75" s="187"/>
      <c r="C75" s="188"/>
      <c r="D75" s="229"/>
      <c r="E75" s="190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ht="15.75" x14ac:dyDescent="0.25">
      <c r="A76" s="186"/>
      <c r="B76" s="187"/>
      <c r="C76" s="188"/>
      <c r="D76" s="229"/>
      <c r="E76" s="190"/>
      <c r="F76" s="190"/>
      <c r="G76" s="189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ht="15.75" x14ac:dyDescent="0.25">
      <c r="A77" s="186"/>
      <c r="B77" s="187"/>
      <c r="C77" s="188"/>
      <c r="D77" s="229"/>
      <c r="E77" s="190"/>
      <c r="F77" s="190"/>
      <c r="G77" s="189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ht="17.25" customHeight="1" x14ac:dyDescent="0.25">
      <c r="A78" s="186"/>
      <c r="B78" s="187"/>
      <c r="C78" s="188"/>
      <c r="D78" s="189"/>
      <c r="E78" s="190"/>
      <c r="F78" s="190"/>
      <c r="G78" s="255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ht="18" customHeight="1" x14ac:dyDescent="0.25">
      <c r="A79" s="186"/>
      <c r="B79" s="187"/>
      <c r="C79" s="188"/>
      <c r="D79" s="189"/>
      <c r="E79" s="190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ht="18" customHeight="1" x14ac:dyDescent="0.25">
      <c r="A80" s="186"/>
      <c r="B80" s="187"/>
      <c r="C80" s="188"/>
      <c r="D80" s="189"/>
      <c r="E80" s="190"/>
      <c r="F80" s="190"/>
      <c r="G80" s="255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ht="18" customHeight="1" x14ac:dyDescent="0.25">
      <c r="A81" s="186"/>
      <c r="B81" s="187"/>
      <c r="C81" s="188"/>
      <c r="D81" s="189"/>
      <c r="E81" s="190"/>
      <c r="F81" s="190"/>
      <c r="G81" s="255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ht="18" customHeight="1" x14ac:dyDescent="0.25">
      <c r="A82" s="186"/>
      <c r="B82" s="187"/>
      <c r="C82" s="188"/>
      <c r="D82" s="18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ht="18" customHeight="1" x14ac:dyDescent="0.25">
      <c r="A83" s="186"/>
      <c r="B83" s="187"/>
      <c r="C83" s="188"/>
      <c r="D83" s="189"/>
      <c r="E83" s="190"/>
      <c r="F83" s="190"/>
      <c r="G83" s="255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ht="18" customHeight="1" x14ac:dyDescent="0.25">
      <c r="A84" s="186"/>
      <c r="B84" s="187"/>
      <c r="C84" s="188"/>
      <c r="D84" s="189"/>
      <c r="E84" s="190"/>
      <c r="F84" s="190"/>
      <c r="G84" s="255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ht="18" customHeight="1" x14ac:dyDescent="0.25">
      <c r="A85" s="186"/>
      <c r="B85" s="187"/>
      <c r="C85" s="188"/>
      <c r="D85" s="18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ht="18" customHeight="1" x14ac:dyDescent="0.25">
      <c r="A86" s="186"/>
      <c r="B86" s="187"/>
      <c r="C86" s="188"/>
      <c r="D86" s="18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ht="18" customHeight="1" x14ac:dyDescent="0.25">
      <c r="A87" s="186"/>
      <c r="B87" s="187"/>
      <c r="C87" s="188"/>
      <c r="D87" s="18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ht="18" customHeight="1" x14ac:dyDescent="0.25">
      <c r="A88" s="186"/>
      <c r="B88" s="187"/>
      <c r="C88" s="188"/>
      <c r="D88" s="189"/>
      <c r="E88" s="190"/>
      <c r="F88" s="190"/>
      <c r="G88" s="189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ht="18" customHeight="1" x14ac:dyDescent="0.25">
      <c r="A89" s="186"/>
      <c r="B89" s="187"/>
      <c r="C89" s="188"/>
      <c r="D89" s="189"/>
      <c r="E89" s="190"/>
      <c r="F89" s="190"/>
      <c r="G89" s="189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ht="18" customHeight="1" x14ac:dyDescent="0.25">
      <c r="A90" s="186"/>
      <c r="B90" s="187"/>
      <c r="C90" s="188"/>
      <c r="D90" s="189"/>
      <c r="E90" s="190"/>
      <c r="F90" s="190"/>
      <c r="G90" s="189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ht="18" customHeight="1" x14ac:dyDescent="0.25">
      <c r="A91" s="186"/>
      <c r="B91" s="187"/>
      <c r="C91" s="188"/>
      <c r="D91" s="18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ht="18" customHeight="1" x14ac:dyDescent="0.25">
      <c r="A92" s="186"/>
      <c r="B92" s="187"/>
      <c r="C92" s="188"/>
      <c r="D92" s="18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ht="18" customHeight="1" x14ac:dyDescent="0.25">
      <c r="A93" s="186"/>
      <c r="B93" s="187"/>
      <c r="C93" s="188"/>
      <c r="D93" s="18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ht="18" customHeight="1" x14ac:dyDescent="0.25">
      <c r="A94" s="186"/>
      <c r="B94" s="187"/>
      <c r="C94" s="188"/>
      <c r="D94" s="189"/>
      <c r="E94" s="190"/>
      <c r="F94" s="190"/>
      <c r="G94" s="255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ht="18" customHeight="1" x14ac:dyDescent="0.25">
      <c r="A95" s="186"/>
      <c r="B95" s="187"/>
      <c r="C95" s="188"/>
      <c r="D95" s="189"/>
      <c r="E95" s="190"/>
      <c r="F95" s="190"/>
      <c r="G95" s="255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8" customHeight="1" x14ac:dyDescent="0.25">
      <c r="A96" s="186"/>
      <c r="B96" s="187"/>
      <c r="C96" s="188"/>
      <c r="D96" s="189"/>
      <c r="E96" s="190"/>
      <c r="F96" s="190"/>
      <c r="G96" s="255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8" customHeight="1" x14ac:dyDescent="0.25">
      <c r="A97" s="186"/>
      <c r="B97" s="187"/>
      <c r="C97" s="188"/>
      <c r="D97" s="189"/>
      <c r="E97" s="190"/>
      <c r="F97" s="190"/>
      <c r="G97" s="255"/>
      <c r="H97" s="193"/>
      <c r="I97" s="190"/>
      <c r="J97" s="192"/>
      <c r="K97" s="490"/>
      <c r="L97" s="491"/>
      <c r="M97" s="491"/>
      <c r="N97" s="491"/>
      <c r="O97" s="491"/>
      <c r="P97" s="492"/>
    </row>
    <row r="98" spans="1:16" ht="18" customHeight="1" x14ac:dyDescent="0.25">
      <c r="A98" s="186"/>
      <c r="B98" s="187"/>
      <c r="C98" s="188"/>
      <c r="D98" s="189"/>
      <c r="E98" s="190"/>
      <c r="F98" s="190"/>
      <c r="G98" s="255"/>
      <c r="H98" s="193"/>
      <c r="I98" s="190"/>
      <c r="J98" s="192"/>
      <c r="K98" s="490"/>
      <c r="L98" s="491"/>
      <c r="M98" s="491"/>
      <c r="N98" s="491"/>
      <c r="O98" s="491"/>
      <c r="P98" s="492"/>
    </row>
    <row r="99" spans="1:16" ht="18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8" customHeight="1" x14ac:dyDescent="0.25">
      <c r="A100" s="186"/>
      <c r="B100" s="187"/>
      <c r="C100" s="188"/>
      <c r="D100" s="189"/>
      <c r="E100" s="190"/>
      <c r="F100" s="190"/>
      <c r="G100" s="255"/>
      <c r="H100" s="193"/>
      <c r="I100" s="190"/>
      <c r="J100" s="192"/>
      <c r="K100" s="490"/>
      <c r="L100" s="491"/>
      <c r="M100" s="491"/>
      <c r="N100" s="491"/>
      <c r="O100" s="491"/>
      <c r="P100" s="492"/>
    </row>
    <row r="101" spans="1:16" ht="18" customHeight="1" x14ac:dyDescent="0.25">
      <c r="A101" s="186"/>
      <c r="B101" s="187"/>
      <c r="C101" s="188"/>
      <c r="D101" s="189"/>
      <c r="E101" s="190"/>
      <c r="F101" s="190"/>
      <c r="G101" s="255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8" customHeight="1" x14ac:dyDescent="0.25">
      <c r="A102" s="186"/>
      <c r="B102" s="187"/>
      <c r="C102" s="188"/>
      <c r="D102" s="189"/>
      <c r="E102" s="190"/>
      <c r="F102" s="190"/>
      <c r="G102" s="255"/>
      <c r="H102" s="193"/>
      <c r="I102" s="190"/>
      <c r="J102" s="192"/>
      <c r="K102" s="490"/>
      <c r="L102" s="491"/>
      <c r="M102" s="491"/>
      <c r="N102" s="491"/>
      <c r="O102" s="491"/>
      <c r="P102" s="492"/>
    </row>
    <row r="103" spans="1:16" ht="18" customHeight="1" x14ac:dyDescent="0.25">
      <c r="A103" s="186"/>
      <c r="B103" s="187"/>
      <c r="C103" s="188"/>
      <c r="D103" s="189"/>
      <c r="E103" s="190"/>
      <c r="F103" s="190"/>
      <c r="G103" s="255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8" customHeight="1" x14ac:dyDescent="0.25">
      <c r="A104" s="186"/>
      <c r="B104" s="187"/>
      <c r="C104" s="188"/>
      <c r="D104" s="189"/>
      <c r="E104" s="190"/>
      <c r="F104" s="190"/>
      <c r="G104" s="255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8" customHeight="1" x14ac:dyDescent="0.25">
      <c r="A105" s="186"/>
      <c r="B105" s="187"/>
      <c r="C105" s="188"/>
      <c r="D105" s="189"/>
      <c r="E105" s="190"/>
      <c r="F105" s="190"/>
      <c r="G105" s="255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8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8" customHeight="1" x14ac:dyDescent="0.25">
      <c r="A107" s="186"/>
      <c r="B107" s="187"/>
      <c r="C107" s="188"/>
      <c r="D107" s="189"/>
      <c r="E107" s="190"/>
      <c r="F107" s="190"/>
      <c r="G107" s="255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8" customHeight="1" x14ac:dyDescent="0.25">
      <c r="A108" s="186"/>
      <c r="B108" s="187"/>
      <c r="C108" s="188"/>
      <c r="D108" s="189"/>
      <c r="E108" s="190"/>
      <c r="F108" s="190"/>
      <c r="G108" s="255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8" customHeight="1" x14ac:dyDescent="0.25">
      <c r="A109" s="186"/>
      <c r="B109" s="187"/>
      <c r="C109" s="188"/>
      <c r="D109" s="189"/>
      <c r="E109" s="190"/>
      <c r="F109" s="190"/>
      <c r="G109" s="255"/>
      <c r="H109" s="193"/>
      <c r="I109" s="190"/>
      <c r="J109" s="192"/>
      <c r="K109" s="490"/>
      <c r="L109" s="491"/>
      <c r="M109" s="491"/>
      <c r="N109" s="491"/>
      <c r="O109" s="491"/>
      <c r="P109" s="492"/>
    </row>
    <row r="110" spans="1:16" ht="18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490"/>
      <c r="L110" s="491"/>
      <c r="M110" s="491"/>
      <c r="N110" s="491"/>
      <c r="O110" s="491"/>
      <c r="P110" s="492"/>
    </row>
    <row r="111" spans="1:16" ht="18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490"/>
      <c r="L111" s="491"/>
      <c r="M111" s="491"/>
      <c r="N111" s="491"/>
      <c r="O111" s="491"/>
      <c r="P111" s="492"/>
    </row>
    <row r="112" spans="1:16" ht="18" customHeight="1" x14ac:dyDescent="0.25">
      <c r="A112" s="186"/>
      <c r="B112" s="187"/>
      <c r="C112" s="188"/>
      <c r="D112" s="189"/>
      <c r="E112" s="190"/>
      <c r="F112" s="190"/>
      <c r="G112" s="255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8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8" customHeight="1" x14ac:dyDescent="0.25">
      <c r="A114" s="186"/>
      <c r="B114" s="187"/>
      <c r="C114" s="188"/>
      <c r="D114" s="189"/>
      <c r="E114" s="190"/>
      <c r="F114" s="190"/>
      <c r="G114" s="255"/>
      <c r="H114" s="193"/>
      <c r="I114" s="190"/>
      <c r="J114" s="192"/>
      <c r="K114" s="490"/>
      <c r="L114" s="491"/>
      <c r="M114" s="491"/>
      <c r="N114" s="491"/>
      <c r="O114" s="491"/>
      <c r="P114" s="492"/>
    </row>
    <row r="115" spans="1:16" ht="18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490"/>
      <c r="L115" s="491"/>
      <c r="M115" s="491"/>
      <c r="N115" s="491"/>
      <c r="O115" s="491"/>
      <c r="P115" s="492"/>
    </row>
    <row r="116" spans="1:16" ht="18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490"/>
      <c r="L116" s="491"/>
      <c r="M116" s="491"/>
      <c r="N116" s="491"/>
      <c r="O116" s="491"/>
      <c r="P116" s="492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255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255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255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x14ac:dyDescent="0.25">
      <c r="A126" s="186"/>
      <c r="B126" s="187"/>
      <c r="C126" s="188"/>
      <c r="D126" s="189"/>
      <c r="E126" s="190"/>
      <c r="F126" s="190"/>
      <c r="G126" s="255"/>
      <c r="H126" s="193"/>
      <c r="I126" s="190"/>
      <c r="J126" s="192"/>
      <c r="K126" s="490"/>
      <c r="L126" s="491"/>
      <c r="M126" s="491"/>
      <c r="N126" s="491"/>
      <c r="O126" s="491"/>
      <c r="P126" s="492"/>
    </row>
    <row r="127" spans="1:16" ht="18" customHeight="1" x14ac:dyDescent="0.25">
      <c r="A127" s="186"/>
      <c r="B127" s="187"/>
      <c r="C127" s="188"/>
      <c r="D127" s="189"/>
      <c r="E127" s="190"/>
      <c r="F127" s="190"/>
      <c r="G127" s="255"/>
      <c r="H127" s="193"/>
      <c r="I127" s="190"/>
      <c r="J127" s="192"/>
      <c r="K127" s="490"/>
      <c r="L127" s="491"/>
      <c r="M127" s="491"/>
      <c r="N127" s="491"/>
      <c r="O127" s="491"/>
      <c r="P127" s="492"/>
    </row>
    <row r="128" spans="1:16" ht="18" customHeight="1" x14ac:dyDescent="0.25">
      <c r="A128" s="186"/>
      <c r="B128" s="187"/>
      <c r="C128" s="188"/>
      <c r="D128" s="189"/>
      <c r="E128" s="190"/>
      <c r="F128" s="190"/>
      <c r="G128" s="262"/>
      <c r="H128" s="193"/>
      <c r="I128" s="190"/>
      <c r="J128" s="192"/>
      <c r="K128" s="490"/>
      <c r="L128" s="491"/>
      <c r="M128" s="491"/>
      <c r="N128" s="491"/>
      <c r="O128" s="491"/>
      <c r="P128" s="492"/>
    </row>
    <row r="129" spans="1:16" ht="18" customHeight="1" x14ac:dyDescent="0.25">
      <c r="A129" s="186"/>
      <c r="B129" s="187"/>
      <c r="C129" s="188"/>
      <c r="D129" s="189"/>
      <c r="E129" s="190"/>
      <c r="F129" s="190"/>
      <c r="G129" s="189"/>
      <c r="H129" s="193"/>
      <c r="I129" s="190"/>
      <c r="J129" s="192"/>
      <c r="K129" s="490"/>
      <c r="L129" s="491"/>
      <c r="M129" s="491"/>
      <c r="N129" s="491"/>
      <c r="O129" s="491"/>
      <c r="P129" s="492"/>
    </row>
    <row r="130" spans="1:16" ht="18" customHeight="1" x14ac:dyDescent="0.25">
      <c r="A130" s="186"/>
      <c r="B130" s="187"/>
      <c r="C130" s="188"/>
      <c r="D130" s="189"/>
      <c r="E130" s="190"/>
      <c r="F130" s="190"/>
      <c r="G130" s="255"/>
      <c r="H130" s="193"/>
      <c r="I130" s="190"/>
      <c r="J130" s="192"/>
      <c r="K130" s="490"/>
      <c r="L130" s="491"/>
      <c r="M130" s="491"/>
      <c r="N130" s="491"/>
      <c r="O130" s="491"/>
      <c r="P130" s="492"/>
    </row>
    <row r="131" spans="1:16" ht="18" customHeight="1" x14ac:dyDescent="0.25">
      <c r="A131" s="186"/>
      <c r="B131" s="187"/>
      <c r="C131" s="188"/>
      <c r="D131" s="189"/>
      <c r="E131" s="190"/>
      <c r="F131" s="190"/>
      <c r="G131" s="189"/>
      <c r="H131" s="193"/>
      <c r="I131" s="190"/>
      <c r="J131" s="192"/>
      <c r="K131" s="490"/>
      <c r="L131" s="491"/>
      <c r="M131" s="491"/>
      <c r="N131" s="491"/>
      <c r="O131" s="491"/>
      <c r="P131" s="492"/>
    </row>
    <row r="132" spans="1:16" ht="18" customHeight="1" x14ac:dyDescent="0.25">
      <c r="A132" s="186"/>
      <c r="B132" s="187"/>
      <c r="C132" s="188"/>
      <c r="D132" s="189"/>
      <c r="E132" s="190"/>
      <c r="F132" s="190"/>
      <c r="G132" s="189"/>
      <c r="H132" s="193"/>
      <c r="I132" s="190"/>
      <c r="J132" s="192"/>
      <c r="K132" s="490"/>
      <c r="L132" s="491"/>
      <c r="M132" s="491"/>
      <c r="N132" s="491"/>
      <c r="O132" s="491"/>
      <c r="P132" s="492"/>
    </row>
    <row r="133" spans="1:16" ht="18" customHeight="1" x14ac:dyDescent="0.25">
      <c r="A133" s="186"/>
      <c r="B133" s="187"/>
      <c r="C133" s="188"/>
      <c r="D133" s="189"/>
      <c r="E133" s="190"/>
      <c r="F133" s="190"/>
      <c r="G133" s="255"/>
      <c r="H133" s="193"/>
      <c r="I133" s="190"/>
      <c r="J133" s="192"/>
      <c r="K133" s="490"/>
      <c r="L133" s="491"/>
      <c r="M133" s="491"/>
      <c r="N133" s="491"/>
      <c r="O133" s="491"/>
      <c r="P133" s="492"/>
    </row>
    <row r="134" spans="1:16" ht="18" customHeight="1" x14ac:dyDescent="0.25">
      <c r="A134" s="186"/>
      <c r="B134" s="187"/>
      <c r="C134" s="188"/>
      <c r="D134" s="189"/>
      <c r="E134" s="190"/>
      <c r="F134" s="190"/>
      <c r="G134" s="255"/>
      <c r="H134" s="193"/>
      <c r="I134" s="190"/>
      <c r="J134" s="192"/>
      <c r="K134" s="490"/>
      <c r="L134" s="491"/>
      <c r="M134" s="491"/>
      <c r="N134" s="491"/>
      <c r="O134" s="491"/>
      <c r="P134" s="492"/>
    </row>
    <row r="135" spans="1:16" ht="18" customHeight="1" x14ac:dyDescent="0.25">
      <c r="A135" s="186"/>
      <c r="B135" s="187"/>
      <c r="C135" s="188"/>
      <c r="D135" s="189"/>
      <c r="E135" s="190"/>
      <c r="F135" s="190"/>
      <c r="G135" s="189"/>
      <c r="H135" s="193"/>
      <c r="I135" s="190"/>
      <c r="J135" s="192"/>
      <c r="K135" s="490"/>
      <c r="L135" s="491"/>
      <c r="M135" s="491"/>
      <c r="N135" s="491"/>
      <c r="O135" s="491"/>
      <c r="P135" s="492"/>
    </row>
    <row r="136" spans="1:16" ht="18" customHeight="1" x14ac:dyDescent="0.25">
      <c r="A136" s="186"/>
      <c r="B136" s="187"/>
      <c r="C136" s="188"/>
      <c r="D136" s="189"/>
      <c r="E136" s="190"/>
      <c r="F136" s="190"/>
      <c r="G136" s="255"/>
      <c r="H136" s="193"/>
      <c r="I136" s="190"/>
      <c r="J136" s="192"/>
      <c r="K136" s="490"/>
      <c r="L136" s="491"/>
      <c r="M136" s="491"/>
      <c r="N136" s="491"/>
      <c r="O136" s="491"/>
      <c r="P136" s="492"/>
    </row>
    <row r="137" spans="1:16" ht="18" customHeight="1" x14ac:dyDescent="0.25">
      <c r="A137" s="186"/>
      <c r="B137" s="187"/>
      <c r="C137" s="188"/>
      <c r="D137" s="189"/>
      <c r="E137" s="190"/>
      <c r="F137" s="190"/>
      <c r="G137" s="255"/>
      <c r="H137" s="193"/>
      <c r="I137" s="190"/>
      <c r="J137" s="192"/>
      <c r="K137" s="490"/>
      <c r="L137" s="491"/>
      <c r="M137" s="491"/>
      <c r="N137" s="491"/>
      <c r="O137" s="491"/>
      <c r="P137" s="492"/>
    </row>
    <row r="138" spans="1:16" ht="18" customHeight="1" x14ac:dyDescent="0.25">
      <c r="A138" s="186"/>
      <c r="B138" s="187"/>
      <c r="C138" s="188"/>
      <c r="D138" s="189"/>
      <c r="E138" s="190"/>
      <c r="F138" s="190"/>
      <c r="G138" s="255"/>
      <c r="H138" s="193"/>
      <c r="I138" s="190"/>
      <c r="J138" s="192"/>
      <c r="K138" s="490"/>
      <c r="L138" s="491"/>
      <c r="M138" s="491"/>
      <c r="N138" s="491"/>
      <c r="O138" s="491"/>
      <c r="P138" s="492"/>
    </row>
    <row r="139" spans="1:16" ht="18" customHeight="1" x14ac:dyDescent="0.25">
      <c r="A139" s="186"/>
      <c r="B139" s="187"/>
      <c r="C139" s="188"/>
      <c r="D139" s="189"/>
      <c r="E139" s="190"/>
      <c r="F139" s="190"/>
      <c r="G139" s="255"/>
      <c r="H139" s="193"/>
      <c r="I139" s="190"/>
      <c r="J139" s="192"/>
      <c r="K139" s="490"/>
      <c r="L139" s="491"/>
      <c r="M139" s="491"/>
      <c r="N139" s="491"/>
      <c r="O139" s="491"/>
      <c r="P139" s="492"/>
    </row>
    <row r="140" spans="1:16" ht="18" customHeight="1" x14ac:dyDescent="0.25">
      <c r="A140" s="186"/>
      <c r="B140" s="187"/>
      <c r="C140" s="188"/>
      <c r="D140" s="189"/>
      <c r="E140" s="190"/>
      <c r="F140" s="190"/>
      <c r="G140" s="255"/>
      <c r="H140" s="193"/>
      <c r="I140" s="190"/>
      <c r="J140" s="192"/>
      <c r="K140" s="490"/>
      <c r="L140" s="491"/>
      <c r="M140" s="491"/>
      <c r="N140" s="491"/>
      <c r="O140" s="491"/>
      <c r="P140" s="492"/>
    </row>
    <row r="141" spans="1:16" ht="18" customHeight="1" x14ac:dyDescent="0.25">
      <c r="A141" s="186"/>
      <c r="B141" s="187"/>
      <c r="C141" s="188"/>
      <c r="D141" s="189"/>
      <c r="E141" s="190"/>
      <c r="F141" s="190"/>
      <c r="G141" s="189"/>
      <c r="H141" s="193"/>
      <c r="I141" s="190"/>
      <c r="J141" s="192"/>
      <c r="K141" s="490"/>
      <c r="L141" s="491"/>
      <c r="M141" s="491"/>
      <c r="N141" s="491"/>
      <c r="O141" s="491"/>
      <c r="P141" s="492"/>
    </row>
    <row r="142" spans="1:16" ht="18" customHeight="1" x14ac:dyDescent="0.25">
      <c r="A142" s="186"/>
      <c r="B142" s="187"/>
      <c r="C142" s="188"/>
      <c r="D142" s="189"/>
      <c r="E142" s="190"/>
      <c r="F142" s="190"/>
      <c r="G142" s="189"/>
      <c r="H142" s="193"/>
      <c r="I142" s="190"/>
      <c r="J142" s="192"/>
      <c r="K142" s="490"/>
      <c r="L142" s="491"/>
      <c r="M142" s="491"/>
      <c r="N142" s="491"/>
      <c r="O142" s="491"/>
      <c r="P142" s="492"/>
    </row>
    <row r="143" spans="1:16" ht="18" customHeight="1" x14ac:dyDescent="0.25">
      <c r="A143" s="186"/>
      <c r="B143" s="187"/>
      <c r="C143" s="188"/>
      <c r="D143" s="189"/>
      <c r="E143" s="190"/>
      <c r="F143" s="190"/>
      <c r="G143" s="189"/>
      <c r="H143" s="193"/>
      <c r="I143" s="190"/>
      <c r="J143" s="192"/>
      <c r="K143" s="490"/>
      <c r="L143" s="491"/>
      <c r="M143" s="491"/>
      <c r="N143" s="491"/>
      <c r="O143" s="491"/>
      <c r="P143" s="492"/>
    </row>
    <row r="144" spans="1:16" ht="18" customHeight="1" x14ac:dyDescent="0.25">
      <c r="A144" s="186"/>
      <c r="B144" s="187"/>
      <c r="C144" s="188"/>
      <c r="D144" s="189"/>
      <c r="E144" s="190"/>
      <c r="F144" s="190"/>
      <c r="G144" s="255"/>
      <c r="H144" s="193"/>
      <c r="I144" s="190"/>
      <c r="J144" s="192"/>
      <c r="K144" s="490"/>
      <c r="L144" s="491"/>
      <c r="M144" s="491"/>
      <c r="N144" s="491"/>
      <c r="O144" s="491"/>
      <c r="P144" s="492"/>
    </row>
    <row r="145" spans="1:16" ht="18" customHeight="1" x14ac:dyDescent="0.25">
      <c r="A145" s="186"/>
      <c r="B145" s="187"/>
      <c r="C145" s="188"/>
      <c r="D145" s="189"/>
      <c r="E145" s="190"/>
      <c r="F145" s="190"/>
      <c r="G145" s="255"/>
      <c r="H145" s="193"/>
      <c r="I145" s="190"/>
      <c r="J145" s="192"/>
      <c r="K145" s="490"/>
      <c r="L145" s="491"/>
      <c r="M145" s="491"/>
      <c r="N145" s="491"/>
      <c r="O145" s="491"/>
      <c r="P145" s="492"/>
    </row>
    <row r="146" spans="1:16" ht="18" customHeight="1" x14ac:dyDescent="0.25">
      <c r="A146" s="186"/>
      <c r="B146" s="187"/>
      <c r="C146" s="188"/>
      <c r="D146" s="189"/>
      <c r="E146" s="190"/>
      <c r="F146" s="190"/>
      <c r="G146" s="255"/>
      <c r="H146" s="193"/>
      <c r="I146" s="190"/>
      <c r="J146" s="192"/>
      <c r="K146" s="490"/>
      <c r="L146" s="491"/>
      <c r="M146" s="491"/>
      <c r="N146" s="491"/>
      <c r="O146" s="491"/>
      <c r="P146" s="492"/>
    </row>
    <row r="147" spans="1:16" ht="18" customHeight="1" x14ac:dyDescent="0.25">
      <c r="A147" s="186"/>
      <c r="B147" s="187"/>
      <c r="C147" s="188"/>
      <c r="D147" s="189"/>
      <c r="E147" s="190"/>
      <c r="F147" s="190"/>
      <c r="G147" s="255"/>
      <c r="H147" s="193"/>
      <c r="I147" s="190"/>
      <c r="J147" s="192"/>
      <c r="K147" s="490"/>
      <c r="L147" s="491"/>
      <c r="M147" s="491"/>
      <c r="N147" s="491"/>
      <c r="O147" s="491"/>
      <c r="P147" s="492"/>
    </row>
    <row r="148" spans="1:16" ht="18" customHeight="1" x14ac:dyDescent="0.25">
      <c r="A148" s="186"/>
      <c r="B148" s="187"/>
      <c r="C148" s="188"/>
      <c r="D148" s="189"/>
      <c r="E148" s="190"/>
      <c r="F148" s="190"/>
      <c r="G148" s="255"/>
      <c r="H148" s="193"/>
      <c r="I148" s="190"/>
      <c r="J148" s="192"/>
      <c r="K148" s="490"/>
      <c r="L148" s="491"/>
      <c r="M148" s="491"/>
      <c r="N148" s="491"/>
      <c r="O148" s="491"/>
      <c r="P148" s="492"/>
    </row>
    <row r="149" spans="1:16" ht="18" customHeight="1" x14ac:dyDescent="0.25">
      <c r="A149" s="186"/>
      <c r="B149" s="187"/>
      <c r="C149" s="188"/>
      <c r="D149" s="189"/>
      <c r="E149" s="190"/>
      <c r="F149" s="190"/>
      <c r="G149" s="189"/>
      <c r="H149" s="193"/>
      <c r="I149" s="190"/>
      <c r="J149" s="192"/>
      <c r="K149" s="490"/>
      <c r="L149" s="491"/>
      <c r="M149" s="491"/>
      <c r="N149" s="491"/>
      <c r="O149" s="491"/>
      <c r="P149" s="492"/>
    </row>
    <row r="150" spans="1:16" ht="18" customHeight="1" x14ac:dyDescent="0.25">
      <c r="A150" s="186"/>
      <c r="B150" s="187"/>
      <c r="C150" s="188"/>
      <c r="D150" s="189"/>
      <c r="E150" s="190"/>
      <c r="F150" s="190"/>
      <c r="G150" s="255"/>
      <c r="H150" s="193"/>
      <c r="I150" s="190"/>
      <c r="J150" s="192"/>
      <c r="K150" s="490"/>
      <c r="L150" s="491"/>
      <c r="M150" s="491"/>
      <c r="N150" s="491"/>
      <c r="O150" s="491"/>
      <c r="P150" s="492"/>
    </row>
    <row r="151" spans="1:16" ht="18" customHeight="1" x14ac:dyDescent="0.25">
      <c r="A151" s="186"/>
      <c r="B151" s="187"/>
      <c r="C151" s="188"/>
      <c r="D151" s="189"/>
      <c r="E151" s="190"/>
      <c r="F151" s="190"/>
      <c r="G151" s="189"/>
      <c r="H151" s="193"/>
      <c r="I151" s="190"/>
      <c r="J151" s="192"/>
      <c r="K151" s="490"/>
      <c r="L151" s="491"/>
      <c r="M151" s="491"/>
      <c r="N151" s="491"/>
      <c r="O151" s="491"/>
      <c r="P151" s="492"/>
    </row>
    <row r="152" spans="1:16" ht="18" customHeight="1" x14ac:dyDescent="0.25">
      <c r="A152" s="186"/>
      <c r="B152" s="187"/>
      <c r="C152" s="188"/>
      <c r="D152" s="189"/>
      <c r="E152" s="190"/>
      <c r="F152" s="190"/>
      <c r="G152" s="189"/>
      <c r="H152" s="193"/>
      <c r="I152" s="190"/>
      <c r="J152" s="192"/>
      <c r="K152" s="490"/>
      <c r="L152" s="491"/>
      <c r="M152" s="491"/>
      <c r="N152" s="491"/>
      <c r="O152" s="491"/>
      <c r="P152" s="492"/>
    </row>
    <row r="153" spans="1:16" ht="18" customHeight="1" x14ac:dyDescent="0.25">
      <c r="A153" s="186"/>
      <c r="B153" s="187"/>
      <c r="C153" s="188"/>
      <c r="D153" s="189"/>
      <c r="E153" s="190"/>
      <c r="F153" s="190"/>
      <c r="G153" s="189"/>
      <c r="H153" s="193"/>
      <c r="I153" s="190"/>
      <c r="J153" s="192"/>
      <c r="K153" s="490"/>
      <c r="L153" s="491"/>
      <c r="M153" s="491"/>
      <c r="N153" s="491"/>
      <c r="O153" s="491"/>
      <c r="P153" s="492"/>
    </row>
    <row r="154" spans="1:16" ht="18" customHeight="1" x14ac:dyDescent="0.25">
      <c r="A154" s="186"/>
      <c r="B154" s="187"/>
      <c r="C154" s="188"/>
      <c r="D154" s="189"/>
      <c r="E154" s="190"/>
      <c r="F154" s="190"/>
      <c r="G154" s="189"/>
      <c r="H154" s="193"/>
      <c r="I154" s="190"/>
      <c r="J154" s="192"/>
      <c r="K154" s="490"/>
      <c r="L154" s="491"/>
      <c r="M154" s="491"/>
      <c r="N154" s="491"/>
      <c r="O154" s="491"/>
      <c r="P154" s="492"/>
    </row>
    <row r="155" spans="1:16" ht="18" customHeight="1" x14ac:dyDescent="0.25">
      <c r="A155" s="186"/>
      <c r="B155" s="187"/>
      <c r="C155" s="188"/>
      <c r="D155" s="189"/>
      <c r="E155" s="190"/>
      <c r="F155" s="190"/>
      <c r="G155" s="189"/>
      <c r="H155" s="193"/>
      <c r="I155" s="190"/>
      <c r="J155" s="192"/>
      <c r="K155" s="490"/>
      <c r="L155" s="491"/>
      <c r="M155" s="491"/>
      <c r="N155" s="491"/>
      <c r="O155" s="491"/>
      <c r="P155" s="492"/>
    </row>
    <row r="156" spans="1:16" ht="18" customHeight="1" x14ac:dyDescent="0.25">
      <c r="A156" s="186"/>
      <c r="B156" s="187"/>
      <c r="C156" s="188"/>
      <c r="D156" s="189"/>
      <c r="E156" s="190"/>
      <c r="F156" s="190"/>
      <c r="G156" s="255"/>
      <c r="H156" s="193"/>
      <c r="I156" s="190"/>
      <c r="J156" s="192"/>
      <c r="K156" s="490"/>
      <c r="L156" s="491"/>
      <c r="M156" s="491"/>
      <c r="N156" s="491"/>
      <c r="O156" s="491"/>
      <c r="P156" s="492"/>
    </row>
    <row r="157" spans="1:16" ht="18" customHeight="1" x14ac:dyDescent="0.25">
      <c r="A157" s="186"/>
      <c r="B157" s="187"/>
      <c r="C157" s="188"/>
      <c r="D157" s="189"/>
      <c r="E157" s="190"/>
      <c r="F157" s="190"/>
      <c r="G157" s="189"/>
      <c r="H157" s="193"/>
      <c r="I157" s="190"/>
      <c r="J157" s="192"/>
      <c r="K157" s="490"/>
      <c r="L157" s="491"/>
      <c r="M157" s="491"/>
      <c r="N157" s="491"/>
      <c r="O157" s="491"/>
      <c r="P157" s="492"/>
    </row>
    <row r="158" spans="1:16" ht="18" customHeight="1" x14ac:dyDescent="0.25">
      <c r="A158" s="186"/>
      <c r="B158" s="187"/>
      <c r="C158" s="188"/>
      <c r="D158" s="189"/>
      <c r="E158" s="190"/>
      <c r="F158" s="190"/>
      <c r="G158" s="189"/>
      <c r="H158" s="193"/>
      <c r="I158" s="190"/>
      <c r="J158" s="192"/>
      <c r="K158" s="490"/>
      <c r="L158" s="491"/>
      <c r="M158" s="491"/>
      <c r="N158" s="491"/>
      <c r="O158" s="491"/>
      <c r="P158" s="492"/>
    </row>
    <row r="159" spans="1:16" ht="18" customHeight="1" x14ac:dyDescent="0.25">
      <c r="A159" s="186"/>
      <c r="B159" s="187"/>
      <c r="C159" s="188"/>
      <c r="D159" s="189"/>
      <c r="E159" s="190"/>
      <c r="F159" s="190"/>
      <c r="G159" s="255"/>
      <c r="H159" s="193"/>
      <c r="I159" s="190"/>
      <c r="J159" s="192"/>
      <c r="K159" s="490"/>
      <c r="L159" s="491"/>
      <c r="M159" s="491"/>
      <c r="N159" s="491"/>
      <c r="O159" s="491"/>
      <c r="P159" s="492"/>
    </row>
    <row r="160" spans="1:16" ht="18" customHeight="1" x14ac:dyDescent="0.25">
      <c r="A160" s="186"/>
      <c r="B160" s="187"/>
      <c r="C160" s="188"/>
      <c r="D160" s="189"/>
      <c r="E160" s="190"/>
      <c r="F160" s="190"/>
      <c r="G160" s="255"/>
      <c r="H160" s="193"/>
      <c r="I160" s="190"/>
      <c r="J160" s="192"/>
      <c r="K160" s="490"/>
      <c r="L160" s="491"/>
      <c r="M160" s="491"/>
      <c r="N160" s="491"/>
      <c r="O160" s="491"/>
      <c r="P160" s="492"/>
    </row>
    <row r="161" spans="1:16" ht="18" customHeight="1" x14ac:dyDescent="0.25">
      <c r="A161" s="186"/>
      <c r="B161" s="187"/>
      <c r="C161" s="188"/>
      <c r="D161" s="189"/>
      <c r="E161" s="190"/>
      <c r="F161" s="190"/>
      <c r="G161" s="189"/>
      <c r="H161" s="193"/>
      <c r="I161" s="190"/>
      <c r="J161" s="192"/>
      <c r="K161" s="490"/>
      <c r="L161" s="491"/>
      <c r="M161" s="491"/>
      <c r="N161" s="491"/>
      <c r="O161" s="491"/>
      <c r="P161" s="492"/>
    </row>
    <row r="162" spans="1:16" ht="18" customHeight="1" x14ac:dyDescent="0.25">
      <c r="A162" s="186"/>
      <c r="B162" s="187"/>
      <c r="C162" s="188"/>
      <c r="D162" s="189"/>
      <c r="E162" s="190"/>
      <c r="F162" s="190"/>
      <c r="G162" s="189"/>
      <c r="H162" s="193"/>
      <c r="I162" s="190"/>
      <c r="J162" s="192"/>
      <c r="K162" s="189"/>
      <c r="L162" s="254"/>
      <c r="M162" s="254"/>
      <c r="N162" s="254"/>
      <c r="O162" s="254"/>
      <c r="P162" s="192"/>
    </row>
    <row r="163" spans="1:16" ht="18" customHeight="1" x14ac:dyDescent="0.25">
      <c r="A163" s="186"/>
      <c r="B163" s="187"/>
      <c r="C163" s="188"/>
      <c r="D163" s="189"/>
      <c r="E163" s="190"/>
      <c r="F163" s="190"/>
      <c r="G163" s="189"/>
      <c r="H163" s="193"/>
      <c r="I163" s="190"/>
      <c r="J163" s="192"/>
      <c r="K163" s="189"/>
      <c r="L163" s="254"/>
      <c r="M163" s="254"/>
      <c r="N163" s="254"/>
      <c r="O163" s="254"/>
      <c r="P163" s="192"/>
    </row>
    <row r="164" spans="1:16" ht="18" customHeight="1" x14ac:dyDescent="0.25">
      <c r="A164" s="186"/>
      <c r="B164" s="187"/>
      <c r="C164" s="188"/>
      <c r="D164" s="189"/>
      <c r="E164" s="190"/>
      <c r="F164" s="190"/>
      <c r="G164" s="189"/>
      <c r="H164" s="193"/>
      <c r="I164" s="190"/>
      <c r="J164" s="192"/>
      <c r="K164" s="189"/>
      <c r="L164" s="254"/>
      <c r="M164" s="254"/>
      <c r="N164" s="254"/>
      <c r="O164" s="254"/>
      <c r="P164" s="192"/>
    </row>
    <row r="165" spans="1:16" ht="18" customHeight="1" x14ac:dyDescent="0.25">
      <c r="A165" s="186"/>
      <c r="B165" s="187"/>
      <c r="C165" s="188"/>
      <c r="D165" s="189"/>
      <c r="E165" s="190"/>
      <c r="F165" s="190"/>
      <c r="G165" s="189"/>
      <c r="H165" s="193"/>
      <c r="I165" s="190"/>
      <c r="J165" s="192"/>
      <c r="K165" s="189"/>
      <c r="L165" s="254"/>
      <c r="M165" s="254"/>
      <c r="N165" s="254"/>
      <c r="O165" s="254"/>
      <c r="P165" s="192"/>
    </row>
    <row r="166" spans="1:16" ht="18" customHeight="1" x14ac:dyDescent="0.25">
      <c r="A166" s="186"/>
      <c r="B166" s="187"/>
      <c r="C166" s="188"/>
      <c r="D166" s="189"/>
      <c r="E166" s="190"/>
      <c r="F166" s="190"/>
      <c r="G166" s="189"/>
      <c r="H166" s="193"/>
      <c r="I166" s="190"/>
      <c r="J166" s="192"/>
      <c r="K166" s="189"/>
      <c r="L166" s="254"/>
      <c r="M166" s="254"/>
      <c r="N166" s="254"/>
      <c r="O166" s="254"/>
      <c r="P166" s="192"/>
    </row>
    <row r="167" spans="1:16" ht="18" customHeight="1" x14ac:dyDescent="0.25">
      <c r="A167" s="186"/>
      <c r="B167" s="187"/>
      <c r="C167" s="188"/>
      <c r="D167" s="189"/>
      <c r="E167" s="190"/>
      <c r="F167" s="190"/>
      <c r="G167" s="189"/>
      <c r="H167" s="193"/>
      <c r="I167" s="190"/>
      <c r="J167" s="192"/>
      <c r="K167" s="189"/>
      <c r="L167" s="254"/>
      <c r="M167" s="254"/>
      <c r="N167" s="254"/>
      <c r="O167" s="254"/>
      <c r="P167" s="192"/>
    </row>
    <row r="168" spans="1:16" ht="18" customHeight="1" x14ac:dyDescent="0.25">
      <c r="A168" s="186"/>
      <c r="B168" s="187"/>
      <c r="C168" s="188"/>
      <c r="D168" s="189"/>
      <c r="E168" s="190"/>
      <c r="F168" s="190"/>
      <c r="G168" s="189"/>
      <c r="H168" s="193"/>
      <c r="I168" s="190"/>
      <c r="J168" s="192"/>
      <c r="K168" s="189"/>
      <c r="L168" s="254"/>
      <c r="M168" s="254"/>
      <c r="N168" s="254"/>
      <c r="O168" s="254"/>
      <c r="P168" s="192"/>
    </row>
    <row r="169" spans="1:16" ht="18" customHeight="1" x14ac:dyDescent="0.25">
      <c r="A169" s="186"/>
      <c r="B169" s="187"/>
      <c r="C169" s="188"/>
      <c r="D169" s="189"/>
      <c r="E169" s="190"/>
      <c r="F169" s="190"/>
      <c r="G169" s="189"/>
      <c r="H169" s="193"/>
      <c r="I169" s="190"/>
      <c r="J169" s="192"/>
      <c r="K169" s="189"/>
      <c r="L169" s="254"/>
      <c r="M169" s="254"/>
      <c r="N169" s="254"/>
      <c r="O169" s="254"/>
      <c r="P169" s="192"/>
    </row>
    <row r="170" spans="1:16" ht="18" customHeight="1" x14ac:dyDescent="0.25">
      <c r="A170" s="186"/>
      <c r="B170" s="187"/>
      <c r="C170" s="188"/>
      <c r="D170" s="189"/>
      <c r="E170" s="190"/>
      <c r="F170" s="190"/>
      <c r="G170" s="189"/>
      <c r="H170" s="193"/>
      <c r="I170" s="190"/>
      <c r="J170" s="192"/>
      <c r="K170" s="189"/>
      <c r="L170" s="254"/>
      <c r="M170" s="254"/>
      <c r="N170" s="254"/>
      <c r="O170" s="254"/>
      <c r="P170" s="192"/>
    </row>
    <row r="171" spans="1:16" ht="18" customHeight="1" x14ac:dyDescent="0.25">
      <c r="A171" s="186"/>
      <c r="B171" s="187"/>
      <c r="C171" s="188"/>
      <c r="D171" s="189"/>
      <c r="E171" s="190"/>
      <c r="F171" s="190"/>
      <c r="G171" s="189"/>
      <c r="H171" s="193"/>
      <c r="I171" s="190"/>
      <c r="J171" s="192"/>
      <c r="K171" s="189"/>
      <c r="L171" s="254"/>
      <c r="M171" s="254"/>
      <c r="N171" s="254"/>
      <c r="O171" s="254"/>
      <c r="P171" s="192"/>
    </row>
    <row r="172" spans="1:16" ht="18" customHeight="1" x14ac:dyDescent="0.25">
      <c r="A172" s="186"/>
      <c r="B172" s="187"/>
      <c r="C172" s="188"/>
      <c r="D172" s="189"/>
      <c r="E172" s="190"/>
      <c r="F172" s="190"/>
      <c r="G172" s="189"/>
      <c r="H172" s="193"/>
      <c r="I172" s="190"/>
      <c r="J172" s="192"/>
      <c r="K172" s="189"/>
      <c r="L172" s="254"/>
      <c r="M172" s="254"/>
      <c r="N172" s="254"/>
      <c r="O172" s="254"/>
      <c r="P172" s="192"/>
    </row>
    <row r="173" spans="1:16" ht="18" customHeight="1" x14ac:dyDescent="0.25">
      <c r="A173" s="186"/>
      <c r="B173" s="187"/>
      <c r="C173" s="188"/>
      <c r="D173" s="189"/>
      <c r="E173" s="190"/>
      <c r="F173" s="190"/>
      <c r="G173" s="189"/>
      <c r="H173" s="193"/>
      <c r="I173" s="190"/>
      <c r="J173" s="192"/>
      <c r="K173" s="189"/>
      <c r="L173" s="254"/>
      <c r="M173" s="254"/>
      <c r="N173" s="254"/>
      <c r="O173" s="254"/>
      <c r="P173" s="192"/>
    </row>
    <row r="174" spans="1:16" ht="18" customHeight="1" x14ac:dyDescent="0.25">
      <c r="A174" s="186"/>
      <c r="B174" s="187"/>
      <c r="C174" s="188"/>
      <c r="D174" s="189"/>
      <c r="E174" s="190"/>
      <c r="F174" s="190"/>
      <c r="G174" s="189"/>
      <c r="H174" s="193"/>
      <c r="I174" s="190"/>
      <c r="J174" s="192"/>
      <c r="K174" s="189"/>
      <c r="L174" s="254"/>
      <c r="M174" s="254"/>
      <c r="N174" s="254"/>
      <c r="O174" s="254"/>
      <c r="P174" s="192"/>
    </row>
    <row r="175" spans="1:16" ht="18" customHeight="1" x14ac:dyDescent="0.25">
      <c r="A175" s="186"/>
      <c r="B175" s="187"/>
      <c r="C175" s="188"/>
      <c r="D175" s="189"/>
      <c r="E175" s="190"/>
      <c r="F175" s="190"/>
      <c r="G175" s="189"/>
      <c r="H175" s="193"/>
      <c r="I175" s="190"/>
      <c r="J175" s="192"/>
      <c r="K175" s="189"/>
      <c r="L175" s="254"/>
      <c r="M175" s="254"/>
      <c r="N175" s="254"/>
      <c r="O175" s="254"/>
      <c r="P175" s="192"/>
    </row>
    <row r="176" spans="1:16" ht="18" customHeight="1" x14ac:dyDescent="0.25">
      <c r="A176" s="186"/>
      <c r="B176" s="187"/>
      <c r="C176" s="188"/>
      <c r="D176" s="189"/>
      <c r="E176" s="190"/>
      <c r="F176" s="190"/>
      <c r="G176" s="189"/>
      <c r="H176" s="193"/>
      <c r="I176" s="190"/>
      <c r="J176" s="192"/>
      <c r="K176" s="189"/>
      <c r="L176" s="254"/>
      <c r="M176" s="254"/>
      <c r="N176" s="254"/>
      <c r="O176" s="254"/>
      <c r="P176" s="192"/>
    </row>
    <row r="177" spans="1:16" ht="18" customHeight="1" x14ac:dyDescent="0.25">
      <c r="A177" s="186"/>
      <c r="B177" s="187"/>
      <c r="C177" s="188"/>
      <c r="D177" s="189"/>
      <c r="E177" s="190"/>
      <c r="F177" s="190"/>
      <c r="G177" s="189"/>
      <c r="H177" s="193"/>
      <c r="I177" s="190"/>
      <c r="J177" s="192"/>
      <c r="K177" s="189"/>
      <c r="L177" s="254"/>
      <c r="M177" s="254"/>
      <c r="N177" s="254"/>
      <c r="O177" s="254"/>
      <c r="P177" s="192"/>
    </row>
    <row r="178" spans="1:16" ht="18" customHeight="1" x14ac:dyDescent="0.25">
      <c r="A178" s="186"/>
      <c r="B178" s="187"/>
      <c r="C178" s="188"/>
      <c r="D178" s="189"/>
      <c r="E178" s="190"/>
      <c r="F178" s="190"/>
      <c r="G178" s="189"/>
      <c r="H178" s="193"/>
      <c r="I178" s="190"/>
      <c r="J178" s="192"/>
      <c r="K178" s="189"/>
      <c r="L178" s="254"/>
      <c r="M178" s="254"/>
      <c r="N178" s="254"/>
      <c r="O178" s="254"/>
      <c r="P178" s="192"/>
    </row>
    <row r="179" spans="1:16" ht="18" customHeight="1" x14ac:dyDescent="0.25">
      <c r="A179" s="186"/>
      <c r="B179" s="187"/>
      <c r="C179" s="188"/>
      <c r="D179" s="189"/>
      <c r="E179" s="190"/>
      <c r="F179" s="190"/>
      <c r="G179" s="189"/>
      <c r="H179" s="193"/>
      <c r="I179" s="190"/>
      <c r="J179" s="192"/>
      <c r="K179" s="189"/>
      <c r="L179" s="254"/>
      <c r="M179" s="254"/>
      <c r="N179" s="254"/>
      <c r="O179" s="254"/>
      <c r="P179" s="192"/>
    </row>
    <row r="180" spans="1:16" ht="18" customHeight="1" x14ac:dyDescent="0.25">
      <c r="A180" s="186"/>
      <c r="B180" s="187"/>
      <c r="C180" s="188"/>
      <c r="D180" s="189"/>
      <c r="E180" s="190"/>
      <c r="F180" s="190"/>
      <c r="G180" s="189"/>
      <c r="H180" s="193"/>
      <c r="I180" s="190"/>
      <c r="J180" s="192"/>
      <c r="K180" s="189"/>
      <c r="L180" s="254"/>
      <c r="M180" s="254"/>
      <c r="N180" s="254"/>
      <c r="O180" s="254"/>
      <c r="P180" s="192"/>
    </row>
    <row r="181" spans="1:16" ht="18" customHeight="1" thickBot="1" x14ac:dyDescent="0.3">
      <c r="A181" s="236"/>
      <c r="B181" s="242"/>
      <c r="C181" s="243"/>
      <c r="D181" s="244"/>
      <c r="E181" s="245"/>
      <c r="F181" s="246"/>
      <c r="G181" s="249"/>
      <c r="H181" s="247"/>
      <c r="I181" s="239"/>
      <c r="J181" s="241"/>
      <c r="K181" s="528"/>
      <c r="L181" s="529"/>
      <c r="M181" s="529"/>
      <c r="N181" s="529"/>
      <c r="O181" s="529"/>
      <c r="P181" s="530"/>
    </row>
    <row r="182" spans="1:16" ht="16.5" thickBot="1" x14ac:dyDescent="0.3">
      <c r="A182" s="501" t="s">
        <v>30</v>
      </c>
      <c r="B182" s="502"/>
      <c r="C182" s="503"/>
      <c r="D182" s="63"/>
      <c r="E182" s="64"/>
      <c r="F182" s="248">
        <f>SUM(C19:C20)</f>
        <v>500</v>
      </c>
      <c r="G182" s="66"/>
      <c r="H182" s="67"/>
      <c r="I182" s="65">
        <f>SUM(I83:I181)</f>
        <v>0</v>
      </c>
      <c r="J182" s="66">
        <f>SUM(J83:J181)</f>
        <v>0</v>
      </c>
      <c r="K182" s="504"/>
      <c r="L182" s="505"/>
      <c r="M182" s="505"/>
      <c r="N182" s="505"/>
      <c r="O182" s="505"/>
      <c r="P182" s="506"/>
    </row>
    <row r="183" spans="1:16" x14ac:dyDescent="0.25">
      <c r="A183" s="68"/>
      <c r="B183" s="507"/>
      <c r="C183" s="507"/>
      <c r="D183" s="508"/>
      <c r="E183" s="508"/>
      <c r="F183" s="69"/>
      <c r="G183" s="69"/>
      <c r="H183" s="70"/>
      <c r="I183" s="71"/>
      <c r="J183" s="71"/>
      <c r="K183" s="72"/>
      <c r="L183" s="508"/>
      <c r="M183" s="508"/>
      <c r="N183" s="508"/>
      <c r="O183" s="508"/>
      <c r="P183" s="509"/>
    </row>
    <row r="184" spans="1:16" ht="15.75" x14ac:dyDescent="0.25">
      <c r="A184" s="73" t="s">
        <v>26</v>
      </c>
      <c r="B184" s="74"/>
      <c r="C184" s="74"/>
      <c r="D184" s="74"/>
      <c r="E184" s="74"/>
      <c r="F184" s="74"/>
      <c r="G184" s="74"/>
      <c r="H184" s="75"/>
      <c r="I184" s="74"/>
      <c r="J184" s="74"/>
      <c r="K184" s="74"/>
      <c r="L184" s="74"/>
      <c r="M184" s="74"/>
      <c r="N184" s="74"/>
      <c r="O184" s="74"/>
      <c r="P184" s="76"/>
    </row>
    <row r="185" spans="1:16" x14ac:dyDescent="0.25">
      <c r="A185" s="77"/>
      <c r="B185" s="493"/>
      <c r="C185" s="493"/>
      <c r="D185" s="493"/>
      <c r="E185" s="493"/>
      <c r="F185" s="78"/>
      <c r="G185" s="78"/>
      <c r="H185" s="79"/>
      <c r="I185" s="493"/>
      <c r="J185" s="493"/>
      <c r="K185" s="80"/>
      <c r="L185" s="493"/>
      <c r="M185" s="493"/>
      <c r="N185" s="493"/>
      <c r="O185" s="493"/>
      <c r="P185" s="494"/>
    </row>
    <row r="186" spans="1:16" x14ac:dyDescent="0.25">
      <c r="A186" s="81"/>
      <c r="B186" s="82"/>
      <c r="C186" s="82"/>
      <c r="D186" s="82"/>
      <c r="E186" s="82"/>
      <c r="F186" s="82"/>
      <c r="G186" s="82"/>
      <c r="H186" s="83"/>
      <c r="I186" s="82"/>
      <c r="J186" s="82"/>
      <c r="K186" s="82"/>
      <c r="L186" s="82"/>
      <c r="M186" s="82"/>
      <c r="N186" s="82"/>
      <c r="O186" s="82"/>
      <c r="P186" s="84"/>
    </row>
  </sheetData>
  <mergeCells count="193">
    <mergeCell ref="K149:P149"/>
    <mergeCell ref="K150:P150"/>
    <mergeCell ref="K151:P151"/>
    <mergeCell ref="K152:P152"/>
    <mergeCell ref="K141:P141"/>
    <mergeCell ref="K142:P142"/>
    <mergeCell ref="K143:P143"/>
    <mergeCell ref="K144:P144"/>
    <mergeCell ref="K139:P139"/>
    <mergeCell ref="K140:P140"/>
    <mergeCell ref="K145:P145"/>
    <mergeCell ref="K146:P146"/>
    <mergeCell ref="K147:P147"/>
    <mergeCell ref="K148:P148"/>
    <mergeCell ref="K133:P133"/>
    <mergeCell ref="K134:P134"/>
    <mergeCell ref="K135:P135"/>
    <mergeCell ref="K136:P136"/>
    <mergeCell ref="K137:P137"/>
    <mergeCell ref="K138:P138"/>
    <mergeCell ref="K87:P87"/>
    <mergeCell ref="K88:P88"/>
    <mergeCell ref="K89:P89"/>
    <mergeCell ref="K90:P90"/>
    <mergeCell ref="K124:P124"/>
    <mergeCell ref="K123:P123"/>
    <mergeCell ref="K125:P125"/>
    <mergeCell ref="K126:P126"/>
    <mergeCell ref="K128:P128"/>
    <mergeCell ref="K127:P127"/>
    <mergeCell ref="K97:P97"/>
    <mergeCell ref="K106:P106"/>
    <mergeCell ref="K107:P107"/>
    <mergeCell ref="K108:P108"/>
    <mergeCell ref="K129:P129"/>
    <mergeCell ref="K130:P130"/>
    <mergeCell ref="K131:P131"/>
    <mergeCell ref="K132:P132"/>
    <mergeCell ref="K83:P83"/>
    <mergeCell ref="K117:P117"/>
    <mergeCell ref="K118:P118"/>
    <mergeCell ref="K98:P98"/>
    <mergeCell ref="K100:P100"/>
    <mergeCell ref="K101:P101"/>
    <mergeCell ref="K114:P114"/>
    <mergeCell ref="K95:P95"/>
    <mergeCell ref="K96:P96"/>
    <mergeCell ref="K119:P119"/>
    <mergeCell ref="K120:P120"/>
    <mergeCell ref="K121:P121"/>
    <mergeCell ref="K122:P122"/>
    <mergeCell ref="K113:P113"/>
    <mergeCell ref="K109:P109"/>
    <mergeCell ref="K110:P110"/>
    <mergeCell ref="K111:P111"/>
    <mergeCell ref="K112:P112"/>
    <mergeCell ref="K115:P115"/>
    <mergeCell ref="K116:P116"/>
    <mergeCell ref="B185:C185"/>
    <mergeCell ref="D185:E185"/>
    <mergeCell ref="I185:J185"/>
    <mergeCell ref="L185:P185"/>
    <mergeCell ref="K181:P181"/>
    <mergeCell ref="A182:C182"/>
    <mergeCell ref="K182:P182"/>
    <mergeCell ref="B183:C183"/>
    <mergeCell ref="D183:E183"/>
    <mergeCell ref="L183:P183"/>
    <mergeCell ref="K71:P71"/>
    <mergeCell ref="K72:P72"/>
    <mergeCell ref="K73:P73"/>
    <mergeCell ref="K74:P74"/>
    <mergeCell ref="K75:P75"/>
    <mergeCell ref="K102:P102"/>
    <mergeCell ref="K103:P103"/>
    <mergeCell ref="K104:P104"/>
    <mergeCell ref="K105:P105"/>
    <mergeCell ref="K91:P91"/>
    <mergeCell ref="K92:P92"/>
    <mergeCell ref="K93:P93"/>
    <mergeCell ref="K94:P94"/>
    <mergeCell ref="K99:P99"/>
    <mergeCell ref="K76:P76"/>
    <mergeCell ref="K77:P77"/>
    <mergeCell ref="K78:P78"/>
    <mergeCell ref="K79:P79"/>
    <mergeCell ref="K80:P80"/>
    <mergeCell ref="K81:P81"/>
    <mergeCell ref="K84:P84"/>
    <mergeCell ref="K85:P85"/>
    <mergeCell ref="K86:P86"/>
    <mergeCell ref="K82:P82"/>
    <mergeCell ref="K66:P66"/>
    <mergeCell ref="K67:P67"/>
    <mergeCell ref="K68:P68"/>
    <mergeCell ref="K69:P69"/>
    <mergeCell ref="K70:P70"/>
    <mergeCell ref="K65:P65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:D3"/>
    <mergeCell ref="E1:P3"/>
    <mergeCell ref="E4:F4"/>
    <mergeCell ref="H4:K4"/>
    <mergeCell ref="L4:P4"/>
    <mergeCell ref="A5:D5"/>
    <mergeCell ref="E5:F5"/>
    <mergeCell ref="H5:K5"/>
    <mergeCell ref="L5:P5"/>
    <mergeCell ref="E6:G6"/>
    <mergeCell ref="H6:K6"/>
    <mergeCell ref="A7:D7"/>
    <mergeCell ref="E7:G7"/>
    <mergeCell ref="H7:K7"/>
    <mergeCell ref="L7:P7"/>
    <mergeCell ref="A8:D9"/>
    <mergeCell ref="E8:P9"/>
    <mergeCell ref="A11:C11"/>
    <mergeCell ref="D11:G11"/>
    <mergeCell ref="H11:J11"/>
    <mergeCell ref="K11:P11"/>
    <mergeCell ref="A12:C12"/>
    <mergeCell ref="D12:G12"/>
    <mergeCell ref="H12:J12"/>
    <mergeCell ref="K12:P12"/>
    <mergeCell ref="K21:P21"/>
    <mergeCell ref="K22:P22"/>
    <mergeCell ref="A13:C13"/>
    <mergeCell ref="D13:G13"/>
    <mergeCell ref="H13:J13"/>
    <mergeCell ref="K13:P13"/>
    <mergeCell ref="A15:C15"/>
    <mergeCell ref="D15:G15"/>
    <mergeCell ref="H15:J15"/>
    <mergeCell ref="L15:M15"/>
    <mergeCell ref="N15:O15"/>
    <mergeCell ref="A14:C14"/>
    <mergeCell ref="D14:G14"/>
    <mergeCell ref="H14:J14"/>
    <mergeCell ref="K14:P14"/>
    <mergeCell ref="A17:A18"/>
    <mergeCell ref="K17:P18"/>
    <mergeCell ref="K19:P19"/>
    <mergeCell ref="K20:P20"/>
    <mergeCell ref="K158:P158"/>
    <mergeCell ref="K159:P159"/>
    <mergeCell ref="K160:P160"/>
    <mergeCell ref="K161:P161"/>
    <mergeCell ref="K153:P153"/>
    <mergeCell ref="K154:P154"/>
    <mergeCell ref="K155:P155"/>
    <mergeCell ref="K156:P156"/>
    <mergeCell ref="K157:P157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7"/>
  <sheetViews>
    <sheetView showGridLines="0" topLeftCell="A141" zoomScale="80" zoomScaleNormal="8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0.5703125" style="22" customWidth="1"/>
    <col min="12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/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129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/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228" t="s">
        <v>125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30" customHeight="1" x14ac:dyDescent="0.25">
      <c r="A19" s="251"/>
      <c r="B19" s="252"/>
      <c r="C19" s="252"/>
      <c r="D19" s="252"/>
      <c r="E19" s="252"/>
      <c r="F19" s="252"/>
      <c r="G19" s="252"/>
      <c r="H19" s="252"/>
      <c r="I19" s="252"/>
      <c r="J19" s="252"/>
      <c r="K19" s="525"/>
      <c r="L19" s="526"/>
      <c r="M19" s="526"/>
      <c r="N19" s="526"/>
      <c r="O19" s="526"/>
      <c r="P19" s="527"/>
    </row>
    <row r="20" spans="1:17" s="19" customFormat="1" ht="43.5" customHeight="1" x14ac:dyDescent="0.25">
      <c r="A20" s="232"/>
      <c r="B20" s="229"/>
      <c r="C20" s="229"/>
      <c r="D20" s="229"/>
      <c r="E20" s="229"/>
      <c r="F20" s="229"/>
      <c r="G20" s="229"/>
      <c r="H20" s="229"/>
      <c r="I20" s="229"/>
      <c r="J20" s="233"/>
      <c r="K20" s="525"/>
      <c r="L20" s="526"/>
      <c r="M20" s="526"/>
      <c r="N20" s="526"/>
      <c r="O20" s="526"/>
      <c r="P20" s="527"/>
    </row>
    <row r="21" spans="1:17" s="19" customFormat="1" ht="18" customHeight="1" x14ac:dyDescent="0.25">
      <c r="A21" s="186"/>
      <c r="B21" s="187"/>
      <c r="C21" s="188"/>
      <c r="D21" s="229"/>
      <c r="E21" s="190"/>
      <c r="F21" s="188"/>
      <c r="G21" s="189"/>
      <c r="H21" s="234"/>
      <c r="I21" s="229"/>
      <c r="J21" s="233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189"/>
      <c r="H22" s="230"/>
      <c r="I22" s="229"/>
      <c r="J22" s="233"/>
      <c r="K22" s="490"/>
      <c r="L22" s="491"/>
      <c r="M22" s="491"/>
      <c r="N22" s="491"/>
      <c r="O22" s="491"/>
      <c r="P22" s="492"/>
    </row>
    <row r="23" spans="1:17" s="19" customFormat="1" ht="18" customHeight="1" x14ac:dyDescent="0.25">
      <c r="A23" s="186"/>
      <c r="B23" s="187"/>
      <c r="C23" s="188"/>
      <c r="D23" s="229"/>
      <c r="E23" s="188"/>
      <c r="F23" s="188"/>
      <c r="G23" s="187"/>
      <c r="H23" s="235"/>
      <c r="I23" s="229"/>
      <c r="J23" s="233"/>
      <c r="K23" s="490"/>
      <c r="L23" s="491"/>
      <c r="M23" s="491"/>
      <c r="N23" s="491"/>
      <c r="O23" s="491"/>
      <c r="P23" s="492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189"/>
      <c r="H24" s="230"/>
      <c r="I24" s="229"/>
      <c r="J24" s="233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189"/>
      <c r="H25" s="193"/>
      <c r="I25" s="229"/>
      <c r="J25" s="233"/>
      <c r="K25" s="490"/>
      <c r="L25" s="491"/>
      <c r="M25" s="491"/>
      <c r="N25" s="491"/>
      <c r="O25" s="491"/>
      <c r="P25" s="492"/>
      <c r="Q25" s="231"/>
    </row>
    <row r="26" spans="1:17" s="19" customFormat="1" ht="31.5" customHeight="1" x14ac:dyDescent="0.25">
      <c r="A26" s="186"/>
      <c r="B26" s="187"/>
      <c r="C26" s="188"/>
      <c r="D26" s="253"/>
      <c r="E26" s="190"/>
      <c r="F26" s="190"/>
      <c r="G26" s="189"/>
      <c r="H26" s="193"/>
      <c r="I26" s="229"/>
      <c r="J26" s="233"/>
      <c r="K26" s="490"/>
      <c r="L26" s="491"/>
      <c r="M26" s="491"/>
      <c r="N26" s="491"/>
      <c r="O26" s="491"/>
      <c r="P26" s="492"/>
      <c r="Q26" s="231"/>
    </row>
    <row r="27" spans="1:17" s="19" customFormat="1" ht="33" customHeight="1" x14ac:dyDescent="0.25">
      <c r="A27" s="186"/>
      <c r="B27" s="187"/>
      <c r="C27" s="188"/>
      <c r="D27" s="253"/>
      <c r="E27" s="190"/>
      <c r="F27" s="190"/>
      <c r="G27" s="189"/>
      <c r="H27" s="193"/>
      <c r="I27" s="229"/>
      <c r="J27" s="233"/>
      <c r="K27" s="490"/>
      <c r="L27" s="491"/>
      <c r="M27" s="491"/>
      <c r="N27" s="491"/>
      <c r="O27" s="491"/>
      <c r="P27" s="492"/>
    </row>
    <row r="28" spans="1:17" s="19" customFormat="1" ht="18" customHeight="1" x14ac:dyDescent="0.25">
      <c r="A28" s="186"/>
      <c r="B28" s="187"/>
      <c r="C28" s="188"/>
      <c r="D28" s="253"/>
      <c r="E28" s="190"/>
      <c r="F28" s="190"/>
      <c r="G28" s="189"/>
      <c r="H28" s="193"/>
      <c r="I28" s="229"/>
      <c r="J28" s="233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189"/>
      <c r="H29" s="193"/>
      <c r="I29" s="229"/>
      <c r="J29" s="233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53"/>
      <c r="E30" s="190"/>
      <c r="F30" s="190"/>
      <c r="G30" s="189"/>
      <c r="H30" s="193"/>
      <c r="I30" s="229"/>
      <c r="J30" s="233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189"/>
      <c r="H31" s="193"/>
      <c r="I31" s="229"/>
      <c r="J31" s="233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53"/>
      <c r="E32" s="190"/>
      <c r="F32" s="190"/>
      <c r="G32" s="189"/>
      <c r="H32" s="193"/>
      <c r="I32" s="229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187"/>
      <c r="C33" s="188"/>
      <c r="D33" s="253"/>
      <c r="E33" s="190"/>
      <c r="F33" s="190"/>
      <c r="G33" s="189"/>
      <c r="H33" s="193"/>
      <c r="I33" s="229"/>
      <c r="J33" s="188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259"/>
      <c r="C34" s="259"/>
      <c r="D34" s="253"/>
      <c r="E34" s="190"/>
      <c r="F34" s="190"/>
      <c r="G34" s="194"/>
      <c r="H34" s="193"/>
      <c r="I34" s="229"/>
      <c r="J34" s="194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94"/>
      <c r="C35" s="194"/>
      <c r="D35" s="253"/>
      <c r="E35" s="190"/>
      <c r="F35" s="190"/>
      <c r="G35" s="194"/>
      <c r="H35" s="193"/>
      <c r="I35" s="229"/>
      <c r="J35" s="194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53"/>
      <c r="E36" s="194"/>
      <c r="F36" s="190"/>
      <c r="G36" s="189"/>
      <c r="H36" s="193"/>
      <c r="I36" s="229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90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90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90"/>
      <c r="F39" s="190"/>
      <c r="G39" s="189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88"/>
      <c r="G40" s="188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88"/>
      <c r="G41" s="188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88"/>
      <c r="G42" s="188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88"/>
      <c r="G43" s="188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88"/>
      <c r="F44" s="188"/>
      <c r="G44" s="188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88"/>
      <c r="F45" s="188"/>
      <c r="G45" s="188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88"/>
      <c r="F46" s="188"/>
      <c r="G46" s="188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88"/>
      <c r="F47" s="188"/>
      <c r="G47" s="188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88"/>
      <c r="F48" s="188"/>
      <c r="G48" s="188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88"/>
      <c r="F49" s="188"/>
      <c r="G49" s="188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88"/>
      <c r="F50" s="188"/>
      <c r="G50" s="188"/>
      <c r="H50" s="193"/>
      <c r="I50" s="190"/>
      <c r="J50" s="190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88"/>
      <c r="F51" s="188"/>
      <c r="G51" s="188"/>
      <c r="H51" s="193"/>
      <c r="I51" s="190"/>
      <c r="J51" s="190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88"/>
      <c r="F52" s="188"/>
      <c r="G52" s="188"/>
      <c r="H52" s="193"/>
      <c r="I52" s="190"/>
      <c r="J52" s="190"/>
      <c r="K52" s="490"/>
      <c r="L52" s="491"/>
      <c r="M52" s="491"/>
      <c r="N52" s="491"/>
      <c r="O52" s="491"/>
      <c r="P52" s="492"/>
    </row>
    <row r="53" spans="1:16" ht="15.75" x14ac:dyDescent="0.25">
      <c r="A53" s="186"/>
      <c r="B53" s="187"/>
      <c r="C53" s="188"/>
      <c r="D53" s="229"/>
      <c r="E53" s="188"/>
      <c r="F53" s="188"/>
      <c r="G53" s="188"/>
      <c r="H53" s="193"/>
      <c r="I53" s="190"/>
      <c r="J53" s="190"/>
      <c r="K53" s="490"/>
      <c r="L53" s="491"/>
      <c r="M53" s="491"/>
      <c r="N53" s="491"/>
      <c r="O53" s="491"/>
      <c r="P53" s="492"/>
    </row>
    <row r="54" spans="1:16" ht="15.75" x14ac:dyDescent="0.25">
      <c r="A54" s="186"/>
      <c r="B54" s="187"/>
      <c r="C54" s="188"/>
      <c r="D54" s="229"/>
      <c r="E54" s="188"/>
      <c r="F54" s="188"/>
      <c r="G54" s="188"/>
      <c r="H54" s="193"/>
      <c r="I54" s="190"/>
      <c r="J54" s="190"/>
      <c r="K54" s="490"/>
      <c r="L54" s="491"/>
      <c r="M54" s="491"/>
      <c r="N54" s="491"/>
      <c r="O54" s="491"/>
      <c r="P54" s="492"/>
    </row>
    <row r="55" spans="1:16" ht="17.25" customHeight="1" x14ac:dyDescent="0.25">
      <c r="A55" s="186"/>
      <c r="B55" s="187"/>
      <c r="C55" s="188"/>
      <c r="D55" s="229"/>
      <c r="E55" s="188"/>
      <c r="F55" s="188"/>
      <c r="G55" s="188"/>
      <c r="H55" s="193"/>
      <c r="I55" s="190"/>
      <c r="J55" s="190"/>
      <c r="K55" s="490"/>
      <c r="L55" s="491"/>
      <c r="M55" s="491"/>
      <c r="N55" s="491"/>
      <c r="O55" s="491"/>
      <c r="P55" s="492"/>
    </row>
    <row r="56" spans="1:16" ht="18" customHeight="1" x14ac:dyDescent="0.25">
      <c r="A56" s="186"/>
      <c r="B56" s="187"/>
      <c r="C56" s="188"/>
      <c r="D56" s="229"/>
      <c r="E56" s="188"/>
      <c r="F56" s="188"/>
      <c r="G56" s="188"/>
      <c r="H56" s="193"/>
      <c r="I56" s="190"/>
      <c r="J56" s="190"/>
      <c r="K56" s="490"/>
      <c r="L56" s="491"/>
      <c r="M56" s="491"/>
      <c r="N56" s="491"/>
      <c r="O56" s="491"/>
      <c r="P56" s="492"/>
    </row>
    <row r="57" spans="1:16" ht="18" customHeight="1" x14ac:dyDescent="0.25">
      <c r="A57" s="186"/>
      <c r="B57" s="187"/>
      <c r="C57" s="188"/>
      <c r="D57" s="229"/>
      <c r="E57" s="188"/>
      <c r="F57" s="188"/>
      <c r="G57" s="188"/>
      <c r="H57" s="193"/>
      <c r="I57" s="190"/>
      <c r="J57" s="190"/>
      <c r="K57" s="490"/>
      <c r="L57" s="491"/>
      <c r="M57" s="491"/>
      <c r="N57" s="491"/>
      <c r="O57" s="491"/>
      <c r="P57" s="492"/>
    </row>
    <row r="58" spans="1:16" ht="18" customHeight="1" x14ac:dyDescent="0.25">
      <c r="A58" s="186"/>
      <c r="B58" s="187"/>
      <c r="C58" s="188"/>
      <c r="D58" s="229"/>
      <c r="E58" s="188"/>
      <c r="F58" s="188"/>
      <c r="G58" s="188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ht="18" customHeight="1" x14ac:dyDescent="0.25">
      <c r="A59" s="186"/>
      <c r="B59" s="187"/>
      <c r="C59" s="188"/>
      <c r="D59" s="229"/>
      <c r="E59" s="188"/>
      <c r="F59" s="188"/>
      <c r="G59" s="188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ht="18" customHeight="1" x14ac:dyDescent="0.25">
      <c r="A60" s="186"/>
      <c r="B60" s="187"/>
      <c r="C60" s="188"/>
      <c r="D60" s="229"/>
      <c r="E60" s="188"/>
      <c r="F60" s="188"/>
      <c r="G60" s="188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ht="18" customHeight="1" x14ac:dyDescent="0.25">
      <c r="A61" s="186"/>
      <c r="B61" s="187"/>
      <c r="C61" s="188"/>
      <c r="D61" s="229"/>
      <c r="E61" s="188"/>
      <c r="F61" s="188"/>
      <c r="G61" s="188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ht="18" customHeight="1" x14ac:dyDescent="0.25">
      <c r="A62" s="186"/>
      <c r="B62" s="187"/>
      <c r="C62" s="188"/>
      <c r="D62" s="229"/>
      <c r="E62" s="188"/>
      <c r="F62" s="188"/>
      <c r="G62" s="188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ht="18" customHeight="1" x14ac:dyDescent="0.25">
      <c r="A63" s="186"/>
      <c r="B63" s="187"/>
      <c r="C63" s="188"/>
      <c r="D63" s="229"/>
      <c r="E63" s="188"/>
      <c r="F63" s="188"/>
      <c r="G63" s="188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ht="18" customHeight="1" x14ac:dyDescent="0.25">
      <c r="A64" s="186"/>
      <c r="B64" s="187"/>
      <c r="C64" s="188"/>
      <c r="D64" s="229"/>
      <c r="E64" s="188"/>
      <c r="F64" s="188"/>
      <c r="G64" s="188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ht="18" customHeight="1" x14ac:dyDescent="0.25">
      <c r="A65" s="186"/>
      <c r="B65" s="187"/>
      <c r="C65" s="188"/>
      <c r="D65" s="229"/>
      <c r="E65" s="188"/>
      <c r="F65" s="188"/>
      <c r="G65" s="188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ht="18" customHeight="1" x14ac:dyDescent="0.25">
      <c r="A66" s="186"/>
      <c r="B66" s="187"/>
      <c r="C66" s="188"/>
      <c r="D66" s="229"/>
      <c r="E66" s="188"/>
      <c r="F66" s="188"/>
      <c r="G66" s="188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ht="18" customHeight="1" x14ac:dyDescent="0.25">
      <c r="A67" s="186"/>
      <c r="B67" s="187"/>
      <c r="C67" s="188"/>
      <c r="D67" s="229"/>
      <c r="E67" s="188"/>
      <c r="F67" s="188"/>
      <c r="G67" s="188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ht="18" customHeight="1" x14ac:dyDescent="0.25">
      <c r="A68" s="186"/>
      <c r="B68" s="187"/>
      <c r="C68" s="188"/>
      <c r="D68" s="229"/>
      <c r="E68" s="188"/>
      <c r="F68" s="188"/>
      <c r="G68" s="188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ht="18" customHeight="1" x14ac:dyDescent="0.25">
      <c r="A69" s="186"/>
      <c r="B69" s="187"/>
      <c r="C69" s="188"/>
      <c r="D69" s="229"/>
      <c r="E69" s="188"/>
      <c r="F69" s="188"/>
      <c r="G69" s="188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ht="18" customHeight="1" x14ac:dyDescent="0.25">
      <c r="A70" s="186"/>
      <c r="B70" s="187"/>
      <c r="C70" s="188"/>
      <c r="D70" s="229"/>
      <c r="E70" s="188"/>
      <c r="F70" s="188"/>
      <c r="G70" s="188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ht="18" customHeight="1" x14ac:dyDescent="0.25">
      <c r="A71" s="186"/>
      <c r="B71" s="187"/>
      <c r="C71" s="188"/>
      <c r="D71" s="229"/>
      <c r="E71" s="188"/>
      <c r="F71" s="188"/>
      <c r="G71" s="188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ht="18" customHeight="1" x14ac:dyDescent="0.25">
      <c r="A72" s="186"/>
      <c r="B72" s="187"/>
      <c r="C72" s="188"/>
      <c r="D72" s="229"/>
      <c r="E72" s="188"/>
      <c r="F72" s="188"/>
      <c r="G72" s="188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ht="18" customHeight="1" x14ac:dyDescent="0.25">
      <c r="A73" s="186"/>
      <c r="B73" s="187"/>
      <c r="C73" s="188"/>
      <c r="D73" s="229"/>
      <c r="E73" s="188"/>
      <c r="F73" s="188"/>
      <c r="G73" s="188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ht="18" customHeight="1" x14ac:dyDescent="0.25">
      <c r="A74" s="186"/>
      <c r="B74" s="187"/>
      <c r="C74" s="188"/>
      <c r="D74" s="229"/>
      <c r="E74" s="188"/>
      <c r="F74" s="188"/>
      <c r="G74" s="188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ht="18" customHeight="1" x14ac:dyDescent="0.25">
      <c r="A75" s="186"/>
      <c r="B75" s="187"/>
      <c r="C75" s="188"/>
      <c r="D75" s="229"/>
      <c r="E75" s="188"/>
      <c r="F75" s="188"/>
      <c r="G75" s="188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ht="18" customHeight="1" x14ac:dyDescent="0.25">
      <c r="A76" s="186"/>
      <c r="B76" s="187"/>
      <c r="C76" s="188"/>
      <c r="D76" s="229"/>
      <c r="E76" s="188"/>
      <c r="F76" s="188"/>
      <c r="G76" s="188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ht="18" customHeight="1" x14ac:dyDescent="0.25">
      <c r="A77" s="186"/>
      <c r="B77" s="187"/>
      <c r="C77" s="188"/>
      <c r="D77" s="229"/>
      <c r="E77" s="188"/>
      <c r="F77" s="188"/>
      <c r="G77" s="188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ht="18" customHeight="1" x14ac:dyDescent="0.25">
      <c r="A78" s="186"/>
      <c r="B78" s="187"/>
      <c r="C78" s="188"/>
      <c r="D78" s="229"/>
      <c r="E78" s="188"/>
      <c r="F78" s="188"/>
      <c r="G78" s="188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ht="18" customHeight="1" x14ac:dyDescent="0.25">
      <c r="A79" s="186"/>
      <c r="B79" s="187"/>
      <c r="C79" s="188"/>
      <c r="D79" s="229"/>
      <c r="E79" s="188"/>
      <c r="F79" s="188"/>
      <c r="G79" s="188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ht="18" customHeight="1" x14ac:dyDescent="0.25">
      <c r="A80" s="186"/>
      <c r="B80" s="187"/>
      <c r="C80" s="188"/>
      <c r="D80" s="229"/>
      <c r="E80" s="188"/>
      <c r="F80" s="188"/>
      <c r="G80" s="188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ht="18" customHeight="1" x14ac:dyDescent="0.25">
      <c r="A81" s="186"/>
      <c r="B81" s="187"/>
      <c r="C81" s="188"/>
      <c r="D81" s="229"/>
      <c r="E81" s="188"/>
      <c r="F81" s="188"/>
      <c r="G81" s="188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ht="18" customHeight="1" x14ac:dyDescent="0.25">
      <c r="A82" s="186"/>
      <c r="B82" s="187"/>
      <c r="C82" s="188"/>
      <c r="D82" s="229"/>
      <c r="E82" s="188"/>
      <c r="F82" s="188"/>
      <c r="G82" s="188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ht="18" customHeight="1" x14ac:dyDescent="0.25">
      <c r="A83" s="186"/>
      <c r="B83" s="187"/>
      <c r="C83" s="188"/>
      <c r="D83" s="229"/>
      <c r="E83" s="188"/>
      <c r="F83" s="188"/>
      <c r="G83" s="188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ht="18" customHeight="1" x14ac:dyDescent="0.25">
      <c r="A84" s="186"/>
      <c r="B84" s="187"/>
      <c r="C84" s="188"/>
      <c r="D84" s="229"/>
      <c r="E84" s="188"/>
      <c r="F84" s="188"/>
      <c r="G84" s="188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ht="18" customHeight="1" x14ac:dyDescent="0.25">
      <c r="A85" s="186"/>
      <c r="B85" s="187"/>
      <c r="C85" s="188"/>
      <c r="D85" s="229"/>
      <c r="E85" s="188"/>
      <c r="F85" s="188"/>
      <c r="G85" s="188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ht="18" customHeight="1" x14ac:dyDescent="0.25">
      <c r="A86" s="186"/>
      <c r="B86" s="187"/>
      <c r="C86" s="188"/>
      <c r="D86" s="229"/>
      <c r="E86" s="190"/>
      <c r="F86" s="190"/>
      <c r="G86" s="188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ht="18" customHeight="1" x14ac:dyDescent="0.25">
      <c r="A87" s="186"/>
      <c r="B87" s="187"/>
      <c r="C87" s="188"/>
      <c r="D87" s="229"/>
      <c r="E87" s="190"/>
      <c r="F87" s="190"/>
      <c r="G87" s="188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ht="18" customHeight="1" x14ac:dyDescent="0.25">
      <c r="A88" s="186"/>
      <c r="B88" s="187"/>
      <c r="C88" s="188"/>
      <c r="D88" s="229"/>
      <c r="E88" s="190"/>
      <c r="F88" s="190"/>
      <c r="G88" s="189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ht="18" customHeight="1" x14ac:dyDescent="0.25">
      <c r="A89" s="186"/>
      <c r="B89" s="187"/>
      <c r="C89" s="188"/>
      <c r="D89" s="229"/>
      <c r="E89" s="190"/>
      <c r="F89" s="190"/>
      <c r="G89" s="189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ht="18" customHeight="1" x14ac:dyDescent="0.25">
      <c r="A90" s="186"/>
      <c r="B90" s="187"/>
      <c r="C90" s="188"/>
      <c r="D90" s="229"/>
      <c r="E90" s="190"/>
      <c r="F90" s="190"/>
      <c r="G90" s="189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ht="18" customHeight="1" x14ac:dyDescent="0.25">
      <c r="A91" s="186"/>
      <c r="B91" s="187"/>
      <c r="C91" s="188"/>
      <c r="D91" s="229"/>
      <c r="E91" s="190"/>
      <c r="F91" s="190"/>
      <c r="G91" s="189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8" customHeight="1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8" customHeight="1" x14ac:dyDescent="0.25">
      <c r="A97" s="186"/>
      <c r="B97" s="187"/>
      <c r="C97" s="188"/>
      <c r="D97" s="229"/>
      <c r="E97" s="190"/>
      <c r="F97" s="190"/>
      <c r="G97" s="189"/>
      <c r="H97" s="193"/>
      <c r="I97" s="190"/>
      <c r="J97" s="192"/>
      <c r="K97" s="490"/>
      <c r="L97" s="491"/>
      <c r="M97" s="491"/>
      <c r="N97" s="491"/>
      <c r="O97" s="491"/>
      <c r="P97" s="492"/>
    </row>
    <row r="98" spans="1:16" ht="18" customHeight="1" x14ac:dyDescent="0.25">
      <c r="A98" s="186"/>
      <c r="B98" s="187"/>
      <c r="C98" s="188"/>
      <c r="D98" s="229"/>
      <c r="E98" s="190"/>
      <c r="F98" s="190"/>
      <c r="G98" s="189"/>
      <c r="H98" s="193"/>
      <c r="I98" s="190"/>
      <c r="J98" s="241"/>
      <c r="K98" s="490"/>
      <c r="L98" s="491"/>
      <c r="M98" s="491"/>
      <c r="N98" s="491"/>
      <c r="O98" s="491"/>
      <c r="P98" s="492"/>
    </row>
    <row r="99" spans="1:16" ht="18" customHeight="1" x14ac:dyDescent="0.25">
      <c r="A99" s="186"/>
      <c r="B99" s="187"/>
      <c r="C99" s="188"/>
      <c r="D99" s="229"/>
      <c r="E99" s="190"/>
      <c r="F99" s="190"/>
      <c r="G99" s="189"/>
      <c r="H99" s="240"/>
      <c r="I99" s="190"/>
      <c r="J99" s="241"/>
      <c r="K99" s="490"/>
      <c r="L99" s="491"/>
      <c r="M99" s="491"/>
      <c r="N99" s="491"/>
      <c r="O99" s="491"/>
      <c r="P99" s="492"/>
    </row>
    <row r="100" spans="1:16" ht="18" customHeight="1" x14ac:dyDescent="0.25">
      <c r="A100" s="186"/>
      <c r="B100" s="187"/>
      <c r="C100" s="188"/>
      <c r="D100" s="229"/>
      <c r="E100" s="190"/>
      <c r="F100" s="190"/>
      <c r="G100" s="189"/>
      <c r="H100" s="240"/>
      <c r="I100" s="190"/>
      <c r="J100" s="241"/>
      <c r="K100" s="490"/>
      <c r="L100" s="491"/>
      <c r="M100" s="491"/>
      <c r="N100" s="491"/>
      <c r="O100" s="491"/>
      <c r="P100" s="492"/>
    </row>
    <row r="101" spans="1:16" ht="18" customHeight="1" x14ac:dyDescent="0.25">
      <c r="A101" s="186"/>
      <c r="B101" s="187"/>
      <c r="C101" s="188"/>
      <c r="D101" s="229"/>
      <c r="E101" s="190"/>
      <c r="F101" s="190"/>
      <c r="G101" s="189"/>
      <c r="H101" s="240"/>
      <c r="I101" s="190"/>
      <c r="J101" s="241"/>
      <c r="K101" s="490"/>
      <c r="L101" s="491"/>
      <c r="M101" s="491"/>
      <c r="N101" s="491"/>
      <c r="O101" s="491"/>
      <c r="P101" s="492"/>
    </row>
    <row r="102" spans="1:16" ht="18" customHeight="1" x14ac:dyDescent="0.25">
      <c r="A102" s="186"/>
      <c r="B102" s="187"/>
      <c r="C102" s="188"/>
      <c r="D102" s="229"/>
      <c r="E102" s="190"/>
      <c r="F102" s="190"/>
      <c r="G102" s="189"/>
      <c r="H102" s="240"/>
      <c r="I102" s="190"/>
      <c r="J102" s="241"/>
      <c r="K102" s="490"/>
      <c r="L102" s="491"/>
      <c r="M102" s="491"/>
      <c r="N102" s="491"/>
      <c r="O102" s="491"/>
      <c r="P102" s="492"/>
    </row>
    <row r="103" spans="1:16" ht="18" customHeight="1" x14ac:dyDescent="0.25">
      <c r="A103" s="186"/>
      <c r="B103" s="187"/>
      <c r="C103" s="188"/>
      <c r="D103" s="229"/>
      <c r="E103" s="190"/>
      <c r="F103" s="190"/>
      <c r="G103" s="189"/>
      <c r="H103" s="240"/>
      <c r="I103" s="190"/>
      <c r="J103" s="241"/>
      <c r="K103" s="490"/>
      <c r="L103" s="491"/>
      <c r="M103" s="491"/>
      <c r="N103" s="491"/>
      <c r="O103" s="491"/>
      <c r="P103" s="492"/>
    </row>
    <row r="104" spans="1:16" ht="18" customHeight="1" x14ac:dyDescent="0.25">
      <c r="A104" s="186"/>
      <c r="B104" s="187"/>
      <c r="C104" s="188"/>
      <c r="D104" s="229"/>
      <c r="E104" s="190"/>
      <c r="F104" s="190"/>
      <c r="G104" s="189"/>
      <c r="H104" s="240"/>
      <c r="I104" s="190"/>
      <c r="J104" s="241"/>
      <c r="K104" s="490"/>
      <c r="L104" s="491"/>
      <c r="M104" s="491"/>
      <c r="N104" s="491"/>
      <c r="O104" s="491"/>
      <c r="P104" s="492"/>
    </row>
    <row r="105" spans="1:16" ht="18" customHeight="1" x14ac:dyDescent="0.25">
      <c r="A105" s="186"/>
      <c r="B105" s="187"/>
      <c r="C105" s="188"/>
      <c r="D105" s="229"/>
      <c r="E105" s="190"/>
      <c r="F105" s="190"/>
      <c r="G105" s="189"/>
      <c r="H105" s="240"/>
      <c r="I105" s="190"/>
      <c r="J105" s="241"/>
      <c r="K105" s="490"/>
      <c r="L105" s="491"/>
      <c r="M105" s="491"/>
      <c r="N105" s="491"/>
      <c r="O105" s="491"/>
      <c r="P105" s="492"/>
    </row>
    <row r="106" spans="1:16" ht="18" customHeight="1" x14ac:dyDescent="0.25">
      <c r="A106" s="186"/>
      <c r="B106" s="187"/>
      <c r="C106" s="188"/>
      <c r="D106" s="229"/>
      <c r="E106" s="190"/>
      <c r="F106" s="190"/>
      <c r="G106" s="189"/>
      <c r="H106" s="240"/>
      <c r="I106" s="190"/>
      <c r="J106" s="241"/>
      <c r="K106" s="490"/>
      <c r="L106" s="491"/>
      <c r="M106" s="491"/>
      <c r="N106" s="491"/>
      <c r="O106" s="491"/>
      <c r="P106" s="492"/>
    </row>
    <row r="107" spans="1:16" ht="18" customHeight="1" x14ac:dyDescent="0.25">
      <c r="A107" s="186"/>
      <c r="B107" s="187"/>
      <c r="C107" s="188"/>
      <c r="D107" s="229"/>
      <c r="E107" s="190"/>
      <c r="F107" s="190"/>
      <c r="G107" s="189"/>
      <c r="H107" s="240"/>
      <c r="I107" s="190"/>
      <c r="J107" s="241"/>
      <c r="K107" s="490"/>
      <c r="L107" s="491"/>
      <c r="M107" s="491"/>
      <c r="N107" s="491"/>
      <c r="O107" s="491"/>
      <c r="P107" s="492"/>
    </row>
    <row r="108" spans="1:16" ht="18" customHeight="1" x14ac:dyDescent="0.25">
      <c r="A108" s="186"/>
      <c r="B108" s="187"/>
      <c r="C108" s="188"/>
      <c r="D108" s="229"/>
      <c r="E108" s="190"/>
      <c r="F108" s="190"/>
      <c r="G108" s="189"/>
      <c r="H108" s="240"/>
      <c r="I108" s="190"/>
      <c r="J108" s="241"/>
      <c r="K108" s="490"/>
      <c r="L108" s="491"/>
      <c r="M108" s="491"/>
      <c r="N108" s="491"/>
      <c r="O108" s="491"/>
      <c r="P108" s="492"/>
    </row>
    <row r="109" spans="1:16" ht="18" customHeight="1" x14ac:dyDescent="0.25">
      <c r="A109" s="186"/>
      <c r="B109" s="187"/>
      <c r="C109" s="188"/>
      <c r="D109" s="229"/>
      <c r="E109" s="190"/>
      <c r="F109" s="190"/>
      <c r="G109" s="189"/>
      <c r="H109" s="240"/>
      <c r="I109" s="190"/>
      <c r="J109" s="241"/>
      <c r="K109" s="490"/>
      <c r="L109" s="491"/>
      <c r="M109" s="491"/>
      <c r="N109" s="491"/>
      <c r="O109" s="491"/>
      <c r="P109" s="492"/>
    </row>
    <row r="110" spans="1:16" ht="18" customHeight="1" x14ac:dyDescent="0.25">
      <c r="A110" s="186"/>
      <c r="B110" s="187"/>
      <c r="C110" s="188"/>
      <c r="D110" s="229"/>
      <c r="E110" s="190"/>
      <c r="F110" s="190"/>
      <c r="G110" s="189"/>
      <c r="H110" s="240"/>
      <c r="I110" s="190"/>
      <c r="J110" s="241"/>
      <c r="K110" s="490"/>
      <c r="L110" s="491"/>
      <c r="M110" s="491"/>
      <c r="N110" s="491"/>
      <c r="O110" s="491"/>
      <c r="P110" s="492"/>
    </row>
    <row r="111" spans="1:16" ht="18" customHeight="1" x14ac:dyDescent="0.25">
      <c r="A111" s="186"/>
      <c r="B111" s="187"/>
      <c r="C111" s="188"/>
      <c r="D111" s="229"/>
      <c r="E111" s="190"/>
      <c r="F111" s="190"/>
      <c r="G111" s="189"/>
      <c r="H111" s="240"/>
      <c r="I111" s="190"/>
      <c r="J111" s="241"/>
      <c r="K111" s="490"/>
      <c r="L111" s="491"/>
      <c r="M111" s="491"/>
      <c r="N111" s="491"/>
      <c r="O111" s="491"/>
      <c r="P111" s="492"/>
    </row>
    <row r="112" spans="1:16" ht="18" customHeight="1" x14ac:dyDescent="0.25">
      <c r="A112" s="186"/>
      <c r="B112" s="187"/>
      <c r="C112" s="188"/>
      <c r="D112" s="229"/>
      <c r="E112" s="190"/>
      <c r="F112" s="190"/>
      <c r="G112" s="189"/>
      <c r="H112" s="240"/>
      <c r="I112" s="190"/>
      <c r="J112" s="241"/>
      <c r="K112" s="490"/>
      <c r="L112" s="491"/>
      <c r="M112" s="491"/>
      <c r="N112" s="491"/>
      <c r="O112" s="491"/>
      <c r="P112" s="492"/>
    </row>
    <row r="113" spans="1:16" ht="18" customHeight="1" x14ac:dyDescent="0.25">
      <c r="A113" s="186"/>
      <c r="B113" s="187"/>
      <c r="C113" s="188"/>
      <c r="D113" s="229"/>
      <c r="E113" s="190"/>
      <c r="F113" s="190"/>
      <c r="G113" s="189"/>
      <c r="H113" s="240"/>
      <c r="I113" s="190"/>
      <c r="J113" s="241"/>
      <c r="K113" s="490"/>
      <c r="L113" s="491"/>
      <c r="M113" s="491"/>
      <c r="N113" s="491"/>
      <c r="O113" s="491"/>
      <c r="P113" s="492"/>
    </row>
    <row r="114" spans="1:16" ht="18" customHeight="1" x14ac:dyDescent="0.25">
      <c r="A114" s="186"/>
      <c r="B114" s="187"/>
      <c r="C114" s="188"/>
      <c r="D114" s="229"/>
      <c r="E114" s="190"/>
      <c r="F114" s="190"/>
      <c r="G114" s="189"/>
      <c r="H114" s="240"/>
      <c r="I114" s="190"/>
      <c r="J114" s="241"/>
      <c r="K114" s="490"/>
      <c r="L114" s="491"/>
      <c r="M114" s="491"/>
      <c r="N114" s="491"/>
      <c r="O114" s="491"/>
      <c r="P114" s="492"/>
    </row>
    <row r="115" spans="1:16" ht="18" customHeight="1" x14ac:dyDescent="0.25">
      <c r="A115" s="186"/>
      <c r="B115" s="187"/>
      <c r="C115" s="188"/>
      <c r="D115" s="229"/>
      <c r="E115" s="190"/>
      <c r="F115" s="190"/>
      <c r="G115" s="189"/>
      <c r="H115" s="240"/>
      <c r="I115" s="190"/>
      <c r="J115" s="241"/>
      <c r="K115" s="490"/>
      <c r="L115" s="491"/>
      <c r="M115" s="491"/>
      <c r="N115" s="491"/>
      <c r="O115" s="491"/>
      <c r="P115" s="492"/>
    </row>
    <row r="116" spans="1:16" ht="18" customHeight="1" x14ac:dyDescent="0.25">
      <c r="A116" s="186"/>
      <c r="B116" s="187"/>
      <c r="C116" s="188"/>
      <c r="D116" s="229"/>
      <c r="E116" s="190"/>
      <c r="F116" s="190"/>
      <c r="G116" s="189"/>
      <c r="H116" s="240"/>
      <c r="I116" s="190"/>
      <c r="J116" s="241"/>
      <c r="K116" s="490"/>
      <c r="L116" s="491"/>
      <c r="M116" s="491"/>
      <c r="N116" s="491"/>
      <c r="O116" s="491"/>
      <c r="P116" s="492"/>
    </row>
    <row r="117" spans="1:16" ht="18" customHeight="1" x14ac:dyDescent="0.25">
      <c r="A117" s="186"/>
      <c r="B117" s="187"/>
      <c r="C117" s="188"/>
      <c r="D117" s="229"/>
      <c r="E117" s="190"/>
      <c r="F117" s="190"/>
      <c r="G117" s="189"/>
      <c r="H117" s="240"/>
      <c r="I117" s="190"/>
      <c r="J117" s="241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229"/>
      <c r="E118" s="190"/>
      <c r="F118" s="190"/>
      <c r="G118" s="189"/>
      <c r="H118" s="240"/>
      <c r="I118" s="190"/>
      <c r="J118" s="241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7"/>
      <c r="E119" s="190"/>
      <c r="F119" s="190"/>
      <c r="G119" s="190"/>
      <c r="H119" s="240"/>
      <c r="I119" s="190"/>
      <c r="J119" s="241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7"/>
      <c r="E120" s="190"/>
      <c r="F120" s="190"/>
      <c r="G120" s="190"/>
      <c r="H120" s="240"/>
      <c r="I120" s="190"/>
      <c r="J120" s="241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7"/>
      <c r="E121" s="190"/>
      <c r="F121" s="190"/>
      <c r="G121" s="190"/>
      <c r="H121" s="240"/>
      <c r="I121" s="190"/>
      <c r="J121" s="241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7"/>
      <c r="E122" s="190"/>
      <c r="F122" s="190"/>
      <c r="G122" s="190"/>
      <c r="H122" s="240"/>
      <c r="I122" s="190"/>
      <c r="J122" s="241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7"/>
      <c r="E123" s="190"/>
      <c r="F123" s="190"/>
      <c r="G123" s="190"/>
      <c r="H123" s="240"/>
      <c r="I123" s="190"/>
      <c r="J123" s="241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7"/>
      <c r="E124" s="190"/>
      <c r="F124" s="190"/>
      <c r="G124" s="190"/>
      <c r="H124" s="240"/>
      <c r="I124" s="190"/>
      <c r="J124" s="241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7"/>
      <c r="E125" s="190"/>
      <c r="F125" s="190"/>
      <c r="G125" s="190"/>
      <c r="H125" s="240"/>
      <c r="I125" s="190"/>
      <c r="J125" s="241"/>
      <c r="K125" s="490"/>
      <c r="L125" s="491"/>
      <c r="M125" s="491"/>
      <c r="N125" s="491"/>
      <c r="O125" s="491"/>
      <c r="P125" s="492"/>
    </row>
    <row r="126" spans="1:16" ht="18" customHeight="1" x14ac:dyDescent="0.25">
      <c r="A126" s="186"/>
      <c r="B126" s="187"/>
      <c r="C126" s="188"/>
      <c r="D126" s="187"/>
      <c r="E126" s="190"/>
      <c r="F126" s="190"/>
      <c r="G126" s="190"/>
      <c r="H126" s="240"/>
      <c r="I126" s="190"/>
      <c r="J126" s="241"/>
      <c r="K126" s="490"/>
      <c r="L126" s="491"/>
      <c r="M126" s="491"/>
      <c r="N126" s="491"/>
      <c r="O126" s="491"/>
      <c r="P126" s="492"/>
    </row>
    <row r="127" spans="1:16" ht="18" customHeight="1" x14ac:dyDescent="0.25">
      <c r="A127" s="186"/>
      <c r="B127" s="187"/>
      <c r="C127" s="188"/>
      <c r="D127" s="187"/>
      <c r="E127" s="190"/>
      <c r="F127" s="190"/>
      <c r="G127" s="190"/>
      <c r="H127" s="240"/>
      <c r="I127" s="190"/>
      <c r="J127" s="241"/>
      <c r="K127" s="490"/>
      <c r="L127" s="491"/>
      <c r="M127" s="491"/>
      <c r="N127" s="491"/>
      <c r="O127" s="491"/>
      <c r="P127" s="492"/>
    </row>
    <row r="128" spans="1:16" ht="18" customHeight="1" x14ac:dyDescent="0.25">
      <c r="A128" s="186"/>
      <c r="B128" s="187"/>
      <c r="C128" s="188"/>
      <c r="D128" s="187"/>
      <c r="E128" s="190"/>
      <c r="F128" s="190"/>
      <c r="G128" s="190"/>
      <c r="H128" s="240"/>
      <c r="I128" s="190"/>
      <c r="J128" s="241"/>
      <c r="K128" s="490"/>
      <c r="L128" s="491"/>
      <c r="M128" s="491"/>
      <c r="N128" s="491"/>
      <c r="O128" s="491"/>
      <c r="P128" s="492"/>
    </row>
    <row r="129" spans="1:16" ht="18" customHeight="1" x14ac:dyDescent="0.25">
      <c r="A129" s="186"/>
      <c r="B129" s="187"/>
      <c r="C129" s="188"/>
      <c r="D129" s="187"/>
      <c r="E129" s="190"/>
      <c r="F129" s="190"/>
      <c r="G129" s="190"/>
      <c r="H129" s="240"/>
      <c r="I129" s="190"/>
      <c r="J129" s="241"/>
      <c r="K129" s="490"/>
      <c r="L129" s="491"/>
      <c r="M129" s="491"/>
      <c r="N129" s="491"/>
      <c r="O129" s="491"/>
      <c r="P129" s="492"/>
    </row>
    <row r="130" spans="1:16" ht="18" customHeight="1" x14ac:dyDescent="0.25">
      <c r="A130" s="186"/>
      <c r="B130" s="187"/>
      <c r="C130" s="188"/>
      <c r="D130" s="187"/>
      <c r="E130" s="190"/>
      <c r="F130" s="190"/>
      <c r="G130" s="190"/>
      <c r="H130" s="240"/>
      <c r="I130" s="190"/>
      <c r="J130" s="241"/>
      <c r="K130" s="490"/>
      <c r="L130" s="491"/>
      <c r="M130" s="491"/>
      <c r="N130" s="491"/>
      <c r="O130" s="491"/>
      <c r="P130" s="492"/>
    </row>
    <row r="131" spans="1:16" ht="18" customHeight="1" x14ac:dyDescent="0.25">
      <c r="A131" s="186"/>
      <c r="B131" s="187"/>
      <c r="C131" s="188"/>
      <c r="D131" s="187"/>
      <c r="E131" s="190"/>
      <c r="F131" s="190"/>
      <c r="G131" s="190"/>
      <c r="H131" s="240"/>
      <c r="I131" s="190"/>
      <c r="J131" s="241"/>
      <c r="K131" s="490"/>
      <c r="L131" s="491"/>
      <c r="M131" s="491"/>
      <c r="N131" s="491"/>
      <c r="O131" s="491"/>
      <c r="P131" s="492"/>
    </row>
    <row r="132" spans="1:16" ht="18" customHeight="1" x14ac:dyDescent="0.25">
      <c r="A132" s="186"/>
      <c r="B132" s="187"/>
      <c r="C132" s="188"/>
      <c r="D132" s="187"/>
      <c r="E132" s="190"/>
      <c r="F132" s="190"/>
      <c r="G132" s="190"/>
      <c r="H132" s="240"/>
      <c r="I132" s="190"/>
      <c r="J132" s="241"/>
      <c r="K132" s="490"/>
      <c r="L132" s="491"/>
      <c r="M132" s="491"/>
      <c r="N132" s="491"/>
      <c r="O132" s="491"/>
      <c r="P132" s="492"/>
    </row>
    <row r="133" spans="1:16" ht="18" customHeight="1" x14ac:dyDescent="0.25">
      <c r="A133" s="186"/>
      <c r="B133" s="187"/>
      <c r="C133" s="188"/>
      <c r="D133" s="187"/>
      <c r="E133" s="190"/>
      <c r="F133" s="190"/>
      <c r="G133" s="190"/>
      <c r="H133" s="240"/>
      <c r="I133" s="190"/>
      <c r="J133" s="241"/>
      <c r="K133" s="490"/>
      <c r="L133" s="491"/>
      <c r="M133" s="491"/>
      <c r="N133" s="491"/>
      <c r="O133" s="491"/>
      <c r="P133" s="492"/>
    </row>
    <row r="134" spans="1:16" ht="18" customHeight="1" x14ac:dyDescent="0.25">
      <c r="A134" s="186"/>
      <c r="B134" s="187"/>
      <c r="C134" s="188"/>
      <c r="D134" s="187"/>
      <c r="E134" s="190"/>
      <c r="F134" s="190"/>
      <c r="G134" s="190"/>
      <c r="H134" s="240"/>
      <c r="I134" s="190"/>
      <c r="J134" s="190"/>
      <c r="K134" s="490"/>
      <c r="L134" s="491"/>
      <c r="M134" s="491"/>
      <c r="N134" s="491"/>
      <c r="O134" s="491"/>
      <c r="P134" s="492"/>
    </row>
    <row r="135" spans="1:16" ht="18" customHeight="1" x14ac:dyDescent="0.25">
      <c r="A135" s="186"/>
      <c r="B135" s="187"/>
      <c r="C135" s="188"/>
      <c r="D135" s="187"/>
      <c r="E135" s="190"/>
      <c r="F135" s="190"/>
      <c r="G135" s="190"/>
      <c r="H135" s="240"/>
      <c r="I135" s="190"/>
      <c r="J135" s="241"/>
      <c r="K135" s="490"/>
      <c r="L135" s="491"/>
      <c r="M135" s="491"/>
      <c r="N135" s="491"/>
      <c r="O135" s="491"/>
      <c r="P135" s="492"/>
    </row>
    <row r="136" spans="1:16" ht="18" customHeight="1" x14ac:dyDescent="0.25">
      <c r="A136" s="186"/>
      <c r="B136" s="187"/>
      <c r="C136" s="188"/>
      <c r="D136" s="187"/>
      <c r="E136" s="190"/>
      <c r="F136" s="190"/>
      <c r="G136" s="190"/>
      <c r="H136" s="240"/>
      <c r="I136" s="190"/>
      <c r="J136" s="241"/>
      <c r="K136" s="490"/>
      <c r="L136" s="491"/>
      <c r="M136" s="491"/>
      <c r="N136" s="491"/>
      <c r="O136" s="491"/>
      <c r="P136" s="492"/>
    </row>
    <row r="137" spans="1:16" ht="18" customHeight="1" x14ac:dyDescent="0.25">
      <c r="A137" s="186"/>
      <c r="B137" s="187"/>
      <c r="C137" s="188"/>
      <c r="D137" s="187"/>
      <c r="E137" s="190"/>
      <c r="F137" s="190"/>
      <c r="G137" s="190"/>
      <c r="H137" s="240"/>
      <c r="I137" s="190"/>
      <c r="J137" s="241"/>
      <c r="K137" s="490"/>
      <c r="L137" s="491"/>
      <c r="M137" s="491"/>
      <c r="N137" s="491"/>
      <c r="O137" s="491"/>
      <c r="P137" s="492"/>
    </row>
    <row r="138" spans="1:16" ht="18" customHeight="1" x14ac:dyDescent="0.25">
      <c r="A138" s="186"/>
      <c r="B138" s="250"/>
      <c r="C138" s="237"/>
      <c r="D138" s="238"/>
      <c r="E138" s="239"/>
      <c r="F138" s="239"/>
      <c r="G138" s="238"/>
      <c r="H138" s="240"/>
      <c r="I138" s="239"/>
      <c r="J138" s="241"/>
      <c r="K138" s="238"/>
      <c r="L138" s="261"/>
      <c r="M138" s="261"/>
      <c r="N138" s="261"/>
      <c r="O138" s="261"/>
      <c r="P138" s="241"/>
    </row>
    <row r="139" spans="1:16" ht="18" customHeight="1" x14ac:dyDescent="0.25">
      <c r="A139" s="186"/>
      <c r="B139" s="250"/>
      <c r="C139" s="237"/>
      <c r="D139" s="238"/>
      <c r="E139" s="239"/>
      <c r="F139" s="239"/>
      <c r="G139" s="238"/>
      <c r="H139" s="240"/>
      <c r="I139" s="239"/>
      <c r="J139" s="241"/>
      <c r="K139" s="238"/>
      <c r="L139" s="261"/>
      <c r="M139" s="261"/>
      <c r="N139" s="261"/>
      <c r="O139" s="261"/>
      <c r="P139" s="241"/>
    </row>
    <row r="140" spans="1:16" ht="18" customHeight="1" x14ac:dyDescent="0.25">
      <c r="A140" s="186"/>
      <c r="B140" s="250"/>
      <c r="C140" s="237"/>
      <c r="D140" s="238"/>
      <c r="E140" s="239"/>
      <c r="F140" s="239"/>
      <c r="G140" s="238"/>
      <c r="H140" s="240"/>
      <c r="I140" s="239"/>
      <c r="J140" s="241"/>
      <c r="K140" s="238"/>
      <c r="L140" s="261"/>
      <c r="M140" s="261"/>
      <c r="N140" s="261"/>
      <c r="O140" s="261"/>
      <c r="P140" s="241"/>
    </row>
    <row r="141" spans="1:16" ht="18" customHeight="1" x14ac:dyDescent="0.25">
      <c r="A141" s="186"/>
      <c r="B141" s="250"/>
      <c r="C141" s="237"/>
      <c r="D141" s="238"/>
      <c r="E141" s="239"/>
      <c r="F141" s="239"/>
      <c r="G141" s="238"/>
      <c r="H141" s="240"/>
      <c r="I141" s="239"/>
      <c r="J141" s="241"/>
      <c r="K141" s="238"/>
      <c r="L141" s="261"/>
      <c r="M141" s="261"/>
      <c r="N141" s="261"/>
      <c r="O141" s="261"/>
      <c r="P141" s="241"/>
    </row>
    <row r="142" spans="1:16" ht="18" customHeight="1" x14ac:dyDescent="0.25">
      <c r="A142" s="186"/>
      <c r="B142" s="250"/>
      <c r="C142" s="237"/>
      <c r="D142" s="238"/>
      <c r="E142" s="239"/>
      <c r="F142" s="239"/>
      <c r="G142" s="238"/>
      <c r="H142" s="240"/>
      <c r="I142" s="239"/>
      <c r="J142" s="241"/>
      <c r="K142" s="238"/>
      <c r="L142" s="261"/>
      <c r="M142" s="261"/>
      <c r="N142" s="261"/>
      <c r="O142" s="261"/>
      <c r="P142" s="241"/>
    </row>
    <row r="143" spans="1:16" ht="18" customHeight="1" x14ac:dyDescent="0.25">
      <c r="A143" s="186"/>
      <c r="B143" s="250"/>
      <c r="C143" s="237"/>
      <c r="D143" s="238"/>
      <c r="E143" s="239"/>
      <c r="F143" s="239"/>
      <c r="G143" s="238"/>
      <c r="H143" s="240"/>
      <c r="I143" s="239"/>
      <c r="J143" s="241"/>
      <c r="K143" s="238"/>
      <c r="L143" s="261"/>
      <c r="M143" s="261"/>
      <c r="N143" s="261"/>
      <c r="O143" s="261"/>
      <c r="P143" s="241"/>
    </row>
    <row r="144" spans="1:16" ht="18" customHeight="1" x14ac:dyDescent="0.25">
      <c r="A144" s="186"/>
      <c r="B144" s="250"/>
      <c r="C144" s="237"/>
      <c r="D144" s="238"/>
      <c r="E144" s="239"/>
      <c r="F144" s="239"/>
      <c r="G144" s="238"/>
      <c r="H144" s="240"/>
      <c r="I144" s="239"/>
      <c r="J144" s="241"/>
      <c r="K144" s="238"/>
      <c r="L144" s="261"/>
      <c r="M144" s="261"/>
      <c r="N144" s="261"/>
      <c r="O144" s="261"/>
      <c r="P144" s="241"/>
    </row>
    <row r="145" spans="1:16" ht="18" customHeight="1" x14ac:dyDescent="0.25">
      <c r="A145" s="186"/>
      <c r="B145" s="250"/>
      <c r="C145" s="237"/>
      <c r="D145" s="238"/>
      <c r="E145" s="239"/>
      <c r="F145" s="239"/>
      <c r="G145" s="238"/>
      <c r="H145" s="240"/>
      <c r="I145" s="239"/>
      <c r="J145" s="241"/>
      <c r="K145" s="238"/>
      <c r="L145" s="261"/>
      <c r="M145" s="261"/>
      <c r="N145" s="261"/>
      <c r="O145" s="261"/>
      <c r="P145" s="241"/>
    </row>
    <row r="146" spans="1:16" ht="18" customHeight="1" x14ac:dyDescent="0.25">
      <c r="A146" s="186"/>
      <c r="B146" s="250"/>
      <c r="C146" s="237"/>
      <c r="D146" s="238"/>
      <c r="E146" s="239"/>
      <c r="F146" s="239"/>
      <c r="G146" s="238"/>
      <c r="H146" s="240"/>
      <c r="I146" s="239"/>
      <c r="J146" s="241"/>
      <c r="K146" s="238"/>
      <c r="L146" s="261"/>
      <c r="M146" s="261"/>
      <c r="N146" s="261"/>
      <c r="O146" s="261"/>
      <c r="P146" s="241"/>
    </row>
    <row r="147" spans="1:16" ht="18" customHeight="1" x14ac:dyDescent="0.25">
      <c r="A147" s="186"/>
      <c r="B147" s="250"/>
      <c r="C147" s="237"/>
      <c r="D147" s="238"/>
      <c r="E147" s="239"/>
      <c r="F147" s="239"/>
      <c r="G147" s="238"/>
      <c r="H147" s="240"/>
      <c r="I147" s="239"/>
      <c r="J147" s="241"/>
      <c r="K147" s="238"/>
      <c r="L147" s="261"/>
      <c r="M147" s="261"/>
      <c r="N147" s="261"/>
      <c r="O147" s="261"/>
      <c r="P147" s="241"/>
    </row>
    <row r="148" spans="1:16" ht="18" customHeight="1" x14ac:dyDescent="0.25">
      <c r="A148" s="186"/>
      <c r="B148" s="250"/>
      <c r="C148" s="237"/>
      <c r="D148" s="238"/>
      <c r="E148" s="239"/>
      <c r="F148" s="239"/>
      <c r="G148" s="238"/>
      <c r="H148" s="240"/>
      <c r="I148" s="239"/>
      <c r="J148" s="241"/>
      <c r="K148" s="238"/>
      <c r="L148" s="261"/>
      <c r="M148" s="261"/>
      <c r="N148" s="261"/>
      <c r="O148" s="261"/>
      <c r="P148" s="241"/>
    </row>
    <row r="149" spans="1:16" ht="18" customHeight="1" x14ac:dyDescent="0.25">
      <c r="A149" s="186"/>
      <c r="B149" s="250"/>
      <c r="C149" s="237"/>
      <c r="D149" s="238"/>
      <c r="E149" s="239"/>
      <c r="F149" s="239"/>
      <c r="G149" s="238"/>
      <c r="H149" s="240"/>
      <c r="I149" s="239"/>
      <c r="J149" s="241"/>
      <c r="K149" s="238"/>
      <c r="L149" s="261"/>
      <c r="M149" s="261"/>
      <c r="N149" s="261"/>
      <c r="O149" s="261"/>
      <c r="P149" s="241"/>
    </row>
    <row r="150" spans="1:16" ht="18" customHeight="1" x14ac:dyDescent="0.25">
      <c r="A150" s="186"/>
      <c r="B150" s="250"/>
      <c r="C150" s="237"/>
      <c r="D150" s="238"/>
      <c r="E150" s="239"/>
      <c r="F150" s="239"/>
      <c r="G150" s="238"/>
      <c r="H150" s="240"/>
      <c r="I150" s="239"/>
      <c r="J150" s="241"/>
      <c r="K150" s="238"/>
      <c r="L150" s="261"/>
      <c r="M150" s="261"/>
      <c r="N150" s="261"/>
      <c r="O150" s="261"/>
      <c r="P150" s="241"/>
    </row>
    <row r="151" spans="1:16" ht="18" customHeight="1" x14ac:dyDescent="0.25">
      <c r="A151" s="186"/>
      <c r="B151" s="250"/>
      <c r="C151" s="237"/>
      <c r="D151" s="238"/>
      <c r="E151" s="239"/>
      <c r="F151" s="239"/>
      <c r="G151" s="238"/>
      <c r="H151" s="240"/>
      <c r="I151" s="239"/>
      <c r="J151" s="241"/>
      <c r="K151" s="238"/>
      <c r="L151" s="261"/>
      <c r="M151" s="261"/>
      <c r="N151" s="261"/>
      <c r="O151" s="261"/>
      <c r="P151" s="241"/>
    </row>
    <row r="152" spans="1:16" ht="18" customHeight="1" thickBot="1" x14ac:dyDescent="0.3">
      <c r="A152" s="236"/>
      <c r="B152" s="242"/>
      <c r="C152" s="243"/>
      <c r="D152" s="244"/>
      <c r="E152" s="245"/>
      <c r="F152" s="246"/>
      <c r="G152" s="249"/>
      <c r="H152" s="247"/>
      <c r="I152" s="239"/>
      <c r="J152" s="241"/>
      <c r="K152" s="528"/>
      <c r="L152" s="529"/>
      <c r="M152" s="529"/>
      <c r="N152" s="529"/>
      <c r="O152" s="529"/>
      <c r="P152" s="530"/>
    </row>
    <row r="153" spans="1:16" ht="16.5" thickBot="1" x14ac:dyDescent="0.3">
      <c r="A153" s="501" t="s">
        <v>30</v>
      </c>
      <c r="B153" s="502"/>
      <c r="C153" s="503"/>
      <c r="D153" s="63"/>
      <c r="E153" s="64"/>
      <c r="F153" s="248">
        <f>SUM(C136:C137)</f>
        <v>0</v>
      </c>
      <c r="G153" s="66"/>
      <c r="H153" s="67"/>
      <c r="I153" s="65">
        <f>SUM(I59:I152)</f>
        <v>0</v>
      </c>
      <c r="J153" s="66">
        <f>SUM(J59:J152)</f>
        <v>0</v>
      </c>
      <c r="K153" s="504"/>
      <c r="L153" s="505"/>
      <c r="M153" s="505"/>
      <c r="N153" s="505"/>
      <c r="O153" s="505"/>
      <c r="P153" s="506"/>
    </row>
    <row r="154" spans="1:16" x14ac:dyDescent="0.25">
      <c r="A154" s="68"/>
      <c r="B154" s="507"/>
      <c r="C154" s="507"/>
      <c r="D154" s="508"/>
      <c r="E154" s="508"/>
      <c r="F154" s="69"/>
      <c r="G154" s="69"/>
      <c r="H154" s="70"/>
      <c r="I154" s="71"/>
      <c r="J154" s="71"/>
      <c r="K154" s="72"/>
      <c r="L154" s="508"/>
      <c r="M154" s="508"/>
      <c r="N154" s="508"/>
      <c r="O154" s="508"/>
      <c r="P154" s="509"/>
    </row>
    <row r="155" spans="1:16" ht="15.75" x14ac:dyDescent="0.25">
      <c r="A155" s="73" t="s">
        <v>26</v>
      </c>
      <c r="B155" s="74"/>
      <c r="C155" s="74"/>
      <c r="D155" s="74"/>
      <c r="E155" s="74"/>
      <c r="F155" s="74"/>
      <c r="G155" s="74"/>
      <c r="H155" s="75"/>
      <c r="I155" s="74"/>
      <c r="J155" s="74"/>
      <c r="K155" s="74"/>
      <c r="L155" s="74"/>
      <c r="M155" s="74"/>
      <c r="N155" s="74"/>
      <c r="O155" s="74"/>
      <c r="P155" s="76"/>
    </row>
    <row r="156" spans="1:16" x14ac:dyDescent="0.25">
      <c r="A156" s="77"/>
      <c r="B156" s="493"/>
      <c r="C156" s="493"/>
      <c r="D156" s="493"/>
      <c r="E156" s="493"/>
      <c r="F156" s="78"/>
      <c r="G156" s="78"/>
      <c r="H156" s="79"/>
      <c r="I156" s="493"/>
      <c r="J156" s="493"/>
      <c r="K156" s="80"/>
      <c r="L156" s="493"/>
      <c r="M156" s="493"/>
      <c r="N156" s="493"/>
      <c r="O156" s="493"/>
      <c r="P156" s="494"/>
    </row>
    <row r="157" spans="1:16" x14ac:dyDescent="0.25">
      <c r="A157" s="81"/>
      <c r="B157" s="82"/>
      <c r="C157" s="82"/>
      <c r="D157" s="82"/>
      <c r="E157" s="82"/>
      <c r="F157" s="82"/>
      <c r="G157" s="82"/>
      <c r="H157" s="83"/>
      <c r="I157" s="82"/>
      <c r="J157" s="82"/>
      <c r="K157" s="82"/>
      <c r="L157" s="82"/>
      <c r="M157" s="82"/>
      <c r="N157" s="82"/>
      <c r="O157" s="82"/>
      <c r="P157" s="84"/>
    </row>
  </sheetData>
  <mergeCells count="169">
    <mergeCell ref="K96:P96"/>
    <mergeCell ref="K106:P106"/>
    <mergeCell ref="K107:P107"/>
    <mergeCell ref="K108:P108"/>
    <mergeCell ref="K109:P109"/>
    <mergeCell ref="K97:P97"/>
    <mergeCell ref="K129:P129"/>
    <mergeCell ref="K130:P130"/>
    <mergeCell ref="K131:P131"/>
    <mergeCell ref="K122:P122"/>
    <mergeCell ref="K123:P123"/>
    <mergeCell ref="K124:P124"/>
    <mergeCell ref="K119:P119"/>
    <mergeCell ref="K120:P120"/>
    <mergeCell ref="K121:P121"/>
    <mergeCell ref="K91:P91"/>
    <mergeCell ref="K92:P92"/>
    <mergeCell ref="K93:P93"/>
    <mergeCell ref="K94:P94"/>
    <mergeCell ref="K76:P76"/>
    <mergeCell ref="K77:P77"/>
    <mergeCell ref="K78:P78"/>
    <mergeCell ref="K79:P79"/>
    <mergeCell ref="K80:P80"/>
    <mergeCell ref="K81:P81"/>
    <mergeCell ref="K85:P85"/>
    <mergeCell ref="K82:P82"/>
    <mergeCell ref="K83:P83"/>
    <mergeCell ref="K84:P84"/>
    <mergeCell ref="K88:P88"/>
    <mergeCell ref="K89:P89"/>
    <mergeCell ref="K87:P87"/>
    <mergeCell ref="K90:P90"/>
    <mergeCell ref="K86:P86"/>
    <mergeCell ref="B156:C156"/>
    <mergeCell ref="D156:E156"/>
    <mergeCell ref="I156:J156"/>
    <mergeCell ref="L156:P156"/>
    <mergeCell ref="K98:P98"/>
    <mergeCell ref="K152:P152"/>
    <mergeCell ref="A153:C153"/>
    <mergeCell ref="K153:P153"/>
    <mergeCell ref="B154:C154"/>
    <mergeCell ref="D154:E154"/>
    <mergeCell ref="L154:P154"/>
    <mergeCell ref="K103:P103"/>
    <mergeCell ref="K104:P104"/>
    <mergeCell ref="K105:P105"/>
    <mergeCell ref="K99:P99"/>
    <mergeCell ref="K100:P100"/>
    <mergeCell ref="K101:P101"/>
    <mergeCell ref="K102:P102"/>
    <mergeCell ref="K110:P110"/>
    <mergeCell ref="K128:P128"/>
    <mergeCell ref="K116:P116"/>
    <mergeCell ref="K117:P117"/>
    <mergeCell ref="K118:P118"/>
    <mergeCell ref="K132:P132"/>
    <mergeCell ref="K95:P95"/>
    <mergeCell ref="K111:P111"/>
    <mergeCell ref="K112:P112"/>
    <mergeCell ref="K113:P113"/>
    <mergeCell ref="K114:P114"/>
    <mergeCell ref="K115:P115"/>
    <mergeCell ref="K58:P58"/>
    <mergeCell ref="K59:P59"/>
    <mergeCell ref="K60:P60"/>
    <mergeCell ref="K61:P61"/>
    <mergeCell ref="K72:P72"/>
    <mergeCell ref="K62:P62"/>
    <mergeCell ref="K63:P63"/>
    <mergeCell ref="K64:P64"/>
    <mergeCell ref="K65:P65"/>
    <mergeCell ref="K66:P66"/>
    <mergeCell ref="K67:P67"/>
    <mergeCell ref="K68:P68"/>
    <mergeCell ref="K69:P69"/>
    <mergeCell ref="K70:P70"/>
    <mergeCell ref="K71:P71"/>
    <mergeCell ref="K73:P73"/>
    <mergeCell ref="K74:P74"/>
    <mergeCell ref="K75:P75"/>
    <mergeCell ref="K57:P57"/>
    <mergeCell ref="K48:P48"/>
    <mergeCell ref="K49:P49"/>
    <mergeCell ref="K50:P50"/>
    <mergeCell ref="K51:P51"/>
    <mergeCell ref="K52:P52"/>
    <mergeCell ref="K53:P53"/>
    <mergeCell ref="K54:P54"/>
    <mergeCell ref="K55:P55"/>
    <mergeCell ref="K56:P56"/>
    <mergeCell ref="K38:P38"/>
    <mergeCell ref="K39:P39"/>
    <mergeCell ref="K40:P40"/>
    <mergeCell ref="K41:P41"/>
    <mergeCell ref="K44:P44"/>
    <mergeCell ref="K45:P45"/>
    <mergeCell ref="K46:P46"/>
    <mergeCell ref="K47:P47"/>
    <mergeCell ref="K42:P42"/>
    <mergeCell ref="K43:P43"/>
    <mergeCell ref="K35:P35"/>
    <mergeCell ref="K36:P36"/>
    <mergeCell ref="K29:P29"/>
    <mergeCell ref="K30:P30"/>
    <mergeCell ref="K31:P31"/>
    <mergeCell ref="K32:P32"/>
    <mergeCell ref="K33:P33"/>
    <mergeCell ref="K34:P34"/>
    <mergeCell ref="K37:P37"/>
    <mergeCell ref="K28:P28"/>
    <mergeCell ref="A17:A18"/>
    <mergeCell ref="K17:P18"/>
    <mergeCell ref="K19:P19"/>
    <mergeCell ref="K20:P20"/>
    <mergeCell ref="K21:P21"/>
    <mergeCell ref="K22:P22"/>
    <mergeCell ref="K23:P23"/>
    <mergeCell ref="K24:P24"/>
    <mergeCell ref="K25:P25"/>
    <mergeCell ref="K26:P26"/>
    <mergeCell ref="K27:P27"/>
    <mergeCell ref="H14:J14"/>
    <mergeCell ref="K14:P14"/>
    <mergeCell ref="A15:C15"/>
    <mergeCell ref="D15:G15"/>
    <mergeCell ref="H15:J15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  <mergeCell ref="E6:G6"/>
    <mergeCell ref="H6:K6"/>
    <mergeCell ref="A7:D7"/>
    <mergeCell ref="E7:G7"/>
    <mergeCell ref="H7:K7"/>
    <mergeCell ref="L15:M15"/>
    <mergeCell ref="N15:O15"/>
    <mergeCell ref="K136:P136"/>
    <mergeCell ref="K137:P137"/>
    <mergeCell ref="K133:P133"/>
    <mergeCell ref="K134:P134"/>
    <mergeCell ref="K135:P135"/>
    <mergeCell ref="A8:D9"/>
    <mergeCell ref="E8:P9"/>
    <mergeCell ref="A11:C11"/>
    <mergeCell ref="D11:G11"/>
    <mergeCell ref="H11:J11"/>
    <mergeCell ref="K11:P11"/>
    <mergeCell ref="K125:P125"/>
    <mergeCell ref="K126:P126"/>
    <mergeCell ref="K127:P127"/>
    <mergeCell ref="A12:C12"/>
    <mergeCell ref="D12:G12"/>
    <mergeCell ref="H12:J12"/>
    <mergeCell ref="K12:P12"/>
    <mergeCell ref="A13:C13"/>
    <mergeCell ref="D13:G13"/>
    <mergeCell ref="H13:J13"/>
    <mergeCell ref="K13:P13"/>
    <mergeCell ref="A14:C14"/>
    <mergeCell ref="D14:G1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4683-6A87-45D2-B13D-0CC3057F9022}">
  <dimension ref="B1:K14"/>
  <sheetViews>
    <sheetView showGridLines="0" topLeftCell="A14" workbookViewId="0">
      <selection activeCell="C37" sqref="C37:C38"/>
    </sheetView>
  </sheetViews>
  <sheetFormatPr baseColWidth="10" defaultRowHeight="15" x14ac:dyDescent="0.25"/>
  <cols>
    <col min="1" max="1" width="2" customWidth="1"/>
    <col min="2" max="2" width="29.5703125" customWidth="1"/>
    <col min="3" max="3" width="17.28515625" customWidth="1"/>
    <col min="4" max="4" width="16.85546875" customWidth="1"/>
    <col min="6" max="6" width="15.28515625" customWidth="1"/>
    <col min="7" max="7" width="12.28515625" customWidth="1"/>
    <col min="8" max="8" width="11" customWidth="1"/>
    <col min="9" max="9" width="12" customWidth="1"/>
    <col min="10" max="10" width="12.5703125" bestFit="1" customWidth="1"/>
  </cols>
  <sheetData>
    <row r="1" spans="2:11" x14ac:dyDescent="0.25">
      <c r="B1" s="409" t="s">
        <v>255</v>
      </c>
      <c r="C1" s="410"/>
      <c r="D1" s="410"/>
      <c r="E1" s="410"/>
      <c r="F1" s="410"/>
      <c r="G1" s="410"/>
    </row>
    <row r="2" spans="2:11" x14ac:dyDescent="0.25">
      <c r="B2" s="362" t="s">
        <v>254</v>
      </c>
      <c r="C2" s="362" t="s">
        <v>168</v>
      </c>
      <c r="D2" s="363">
        <v>45200</v>
      </c>
      <c r="E2" s="363">
        <v>45231</v>
      </c>
      <c r="F2" s="363">
        <v>45261</v>
      </c>
      <c r="G2" s="363">
        <v>45292</v>
      </c>
    </row>
    <row r="3" spans="2:11" x14ac:dyDescent="0.25">
      <c r="B3" s="365" t="s">
        <v>253</v>
      </c>
      <c r="C3" s="361">
        <v>2046480</v>
      </c>
      <c r="D3" s="388">
        <f>+$C$3*H14</f>
        <v>2257821.5767861349</v>
      </c>
      <c r="E3" s="388">
        <f>+$C$3*I14</f>
        <v>2419169.8191159987</v>
      </c>
      <c r="F3" s="388">
        <f>+$C$3*J14</f>
        <v>2641683.6147194137</v>
      </c>
      <c r="G3" s="388">
        <f>+$C$3*K14</f>
        <v>3944996.026676551</v>
      </c>
      <c r="H3" s="397"/>
      <c r="I3" s="379"/>
    </row>
    <row r="4" spans="2:11" x14ac:dyDescent="0.25">
      <c r="B4" s="365"/>
      <c r="C4" s="361"/>
      <c r="D4" s="361"/>
      <c r="E4" s="361"/>
      <c r="F4" s="361"/>
      <c r="G4" s="361"/>
    </row>
    <row r="5" spans="2:11" x14ac:dyDescent="0.25">
      <c r="B5" s="367"/>
      <c r="C5" s="368"/>
      <c r="D5" s="368"/>
      <c r="E5" s="368"/>
      <c r="F5" s="367"/>
    </row>
    <row r="6" spans="2:11" x14ac:dyDescent="0.25">
      <c r="B6" s="367"/>
      <c r="C6" s="368"/>
      <c r="D6" s="368"/>
      <c r="E6" s="368"/>
      <c r="F6" s="367"/>
      <c r="H6" s="392"/>
      <c r="I6" s="392"/>
      <c r="J6" s="392"/>
    </row>
    <row r="7" spans="2:11" x14ac:dyDescent="0.25">
      <c r="H7" s="407" t="s">
        <v>258</v>
      </c>
      <c r="I7" s="408"/>
      <c r="J7" s="408"/>
      <c r="K7" s="408"/>
    </row>
    <row r="8" spans="2:11" x14ac:dyDescent="0.25">
      <c r="B8" s="411" t="s">
        <v>169</v>
      </c>
      <c r="C8" s="411" t="s">
        <v>170</v>
      </c>
      <c r="D8" s="411" t="s">
        <v>171</v>
      </c>
      <c r="E8" s="411" t="s">
        <v>172</v>
      </c>
      <c r="F8" s="411" t="s">
        <v>173</v>
      </c>
      <c r="G8" s="411" t="s">
        <v>183</v>
      </c>
      <c r="H8" s="405">
        <v>45200</v>
      </c>
      <c r="I8" s="405">
        <v>45231</v>
      </c>
      <c r="J8" s="405">
        <v>45261</v>
      </c>
      <c r="K8" s="405">
        <v>45292</v>
      </c>
    </row>
    <row r="9" spans="2:11" x14ac:dyDescent="0.25">
      <c r="B9" s="412"/>
      <c r="C9" s="412"/>
      <c r="D9" s="412"/>
      <c r="E9" s="412"/>
      <c r="F9" s="412"/>
      <c r="G9" s="412"/>
      <c r="H9" s="406"/>
      <c r="I9" s="406"/>
      <c r="J9" s="406"/>
      <c r="K9" s="406"/>
    </row>
    <row r="10" spans="2:11" ht="41.25" customHeight="1" x14ac:dyDescent="0.25">
      <c r="B10" s="271" t="s">
        <v>174</v>
      </c>
      <c r="C10" s="272" t="s">
        <v>256</v>
      </c>
      <c r="D10" s="271" t="s">
        <v>175</v>
      </c>
      <c r="E10" s="273">
        <v>45170</v>
      </c>
      <c r="F10" s="274">
        <v>0.49</v>
      </c>
      <c r="G10" s="393">
        <v>1</v>
      </c>
      <c r="H10" s="393">
        <v>1.117734518419101</v>
      </c>
      <c r="I10" s="393">
        <v>1.2450839860481451</v>
      </c>
      <c r="J10" s="393">
        <v>1.4137806834268793</v>
      </c>
      <c r="K10" s="393">
        <f>J10*(1+'MO 2023-24'!AP42)</f>
        <v>1.7591946024124518</v>
      </c>
    </row>
    <row r="11" spans="2:11" ht="39.75" customHeight="1" x14ac:dyDescent="0.25">
      <c r="B11" s="271" t="s">
        <v>176</v>
      </c>
      <c r="C11" s="272" t="s">
        <v>247</v>
      </c>
      <c r="D11" s="271" t="s">
        <v>177</v>
      </c>
      <c r="E11" s="273">
        <f>+E10-60</f>
        <v>45110</v>
      </c>
      <c r="F11" s="274">
        <v>0.1</v>
      </c>
      <c r="G11" s="358">
        <v>347.6</v>
      </c>
      <c r="H11" s="366">
        <f>+GO!B4</f>
        <v>408.6</v>
      </c>
      <c r="I11" s="366">
        <f>++GO!B5</f>
        <v>408.6</v>
      </c>
      <c r="J11" s="366">
        <f>++GO!B6</f>
        <v>421</v>
      </c>
      <c r="K11" s="366">
        <f>+GO!B8</f>
        <v>809</v>
      </c>
    </row>
    <row r="12" spans="2:11" x14ac:dyDescent="0.25">
      <c r="B12" s="271" t="s">
        <v>178</v>
      </c>
      <c r="C12" s="272" t="s">
        <v>248</v>
      </c>
      <c r="D12" s="271" t="s">
        <v>179</v>
      </c>
      <c r="E12" s="273">
        <f>+E11</f>
        <v>45110</v>
      </c>
      <c r="F12" s="274">
        <v>0.15</v>
      </c>
      <c r="G12" s="357">
        <v>2767.1</v>
      </c>
      <c r="H12" s="357">
        <f>+IPIM!B3</f>
        <v>3284.9</v>
      </c>
      <c r="I12" s="357">
        <f>+IPIM!B4</f>
        <v>3587.5</v>
      </c>
      <c r="J12" s="357">
        <f>+IPIM!B5</f>
        <v>3858.7</v>
      </c>
      <c r="K12" s="357">
        <f>+IPIM!B6</f>
        <v>4287</v>
      </c>
    </row>
    <row r="13" spans="2:11" ht="38.25" x14ac:dyDescent="0.25">
      <c r="B13" s="275" t="s">
        <v>180</v>
      </c>
      <c r="C13" s="276" t="s">
        <v>257</v>
      </c>
      <c r="D13" s="275" t="s">
        <v>181</v>
      </c>
      <c r="E13" s="277" t="s">
        <v>182</v>
      </c>
      <c r="F13" s="278">
        <f>1-SUM(F10:F12)</f>
        <v>0.26</v>
      </c>
      <c r="G13" s="359">
        <v>350</v>
      </c>
      <c r="H13" s="359">
        <f>+USD!B3</f>
        <v>349.95</v>
      </c>
      <c r="I13" s="359">
        <f>+USD!B4</f>
        <v>350</v>
      </c>
      <c r="J13" s="359">
        <f>+USD!B5</f>
        <v>360.5</v>
      </c>
      <c r="K13" s="359">
        <f>+USD!B6</f>
        <v>808.45</v>
      </c>
    </row>
    <row r="14" spans="2:11" x14ac:dyDescent="0.25">
      <c r="F14" s="326" t="s">
        <v>249</v>
      </c>
      <c r="G14" s="326">
        <f>++$F$10*G10/$G$10+$F$11*G11/$G$11+$F$12*G12/$G$12+$F$13*G13/$G$13</f>
        <v>1</v>
      </c>
      <c r="H14" s="360">
        <f>++$F$10*H10/$G$10+$F$11*H11/$G$11+$F$12*H12/$G$12+$F$13*H13/$G$13</f>
        <v>1.1032707755688473</v>
      </c>
      <c r="I14" s="360">
        <f>++$F$10*I10/$G$10+$F$11*I11/$G$11+$F$12*I12/$G$12+$F$13*I13/$G$13</f>
        <v>1.1821126124447825</v>
      </c>
      <c r="J14" s="360">
        <f>++$F$10*J10/$G$10+$F$11*J11/$G$11+$F$12*J12/$G$12+$F$13*J13/$G$13</f>
        <v>1.290842624760278</v>
      </c>
      <c r="K14" s="360">
        <f>++$F$10*K10/$G$10+$F$11*K11/$G$11+$F$12*K12/$G$12+$F$13*K13/$G$13</f>
        <v>1.927698304736206</v>
      </c>
    </row>
  </sheetData>
  <mergeCells count="12">
    <mergeCell ref="K8:K9"/>
    <mergeCell ref="H7:K7"/>
    <mergeCell ref="B1:G1"/>
    <mergeCell ref="J8:J9"/>
    <mergeCell ref="I8:I9"/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536B-34F5-465B-AEB0-5D3637F9BBF6}">
  <dimension ref="A1:Q157"/>
  <sheetViews>
    <sheetView showGridLines="0" topLeftCell="A141" zoomScale="80" zoomScaleNormal="8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0.5703125" style="22" customWidth="1"/>
    <col min="12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158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/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129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/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228" t="s">
        <v>125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30" customHeight="1" x14ac:dyDescent="0.25">
      <c r="A19" s="251"/>
      <c r="B19" s="252"/>
      <c r="C19" s="252"/>
      <c r="D19" s="252"/>
      <c r="E19" s="252"/>
      <c r="F19" s="252"/>
      <c r="G19" s="252"/>
      <c r="H19" s="252"/>
      <c r="I19" s="252"/>
      <c r="J19" s="252"/>
      <c r="K19" s="525"/>
      <c r="L19" s="526"/>
      <c r="M19" s="526"/>
      <c r="N19" s="526"/>
      <c r="O19" s="526"/>
      <c r="P19" s="527"/>
    </row>
    <row r="20" spans="1:17" s="19" customFormat="1" ht="43.5" customHeight="1" x14ac:dyDescent="0.25">
      <c r="A20" s="232"/>
      <c r="B20" s="229"/>
      <c r="C20" s="229"/>
      <c r="D20" s="229"/>
      <c r="E20" s="229"/>
      <c r="F20" s="229"/>
      <c r="G20" s="229"/>
      <c r="H20" s="229"/>
      <c r="I20" s="229"/>
      <c r="J20" s="233"/>
      <c r="K20" s="525"/>
      <c r="L20" s="526"/>
      <c r="M20" s="526"/>
      <c r="N20" s="526"/>
      <c r="O20" s="526"/>
      <c r="P20" s="527"/>
    </row>
    <row r="21" spans="1:17" s="19" customFormat="1" ht="18" customHeight="1" x14ac:dyDescent="0.25">
      <c r="A21" s="186"/>
      <c r="B21" s="187"/>
      <c r="C21" s="188"/>
      <c r="D21" s="229"/>
      <c r="E21" s="190"/>
      <c r="F21" s="188"/>
      <c r="G21" s="189"/>
      <c r="H21" s="234"/>
      <c r="I21" s="229"/>
      <c r="J21" s="233"/>
      <c r="K21" s="490"/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189"/>
      <c r="H22" s="230"/>
      <c r="I22" s="229"/>
      <c r="J22" s="233"/>
      <c r="K22" s="490"/>
      <c r="L22" s="491"/>
      <c r="M22" s="491"/>
      <c r="N22" s="491"/>
      <c r="O22" s="491"/>
      <c r="P22" s="492"/>
    </row>
    <row r="23" spans="1:17" s="19" customFormat="1" ht="18" customHeight="1" x14ac:dyDescent="0.25">
      <c r="A23" s="186"/>
      <c r="B23" s="187"/>
      <c r="C23" s="188"/>
      <c r="D23" s="229"/>
      <c r="E23" s="188"/>
      <c r="F23" s="188"/>
      <c r="G23" s="187"/>
      <c r="H23" s="235"/>
      <c r="I23" s="229"/>
      <c r="J23" s="233"/>
      <c r="K23" s="490"/>
      <c r="L23" s="491"/>
      <c r="M23" s="491"/>
      <c r="N23" s="491"/>
      <c r="O23" s="491"/>
      <c r="P23" s="492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189"/>
      <c r="H24" s="230"/>
      <c r="I24" s="229"/>
      <c r="J24" s="233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189"/>
      <c r="H25" s="193"/>
      <c r="I25" s="229"/>
      <c r="J25" s="233"/>
      <c r="K25" s="490"/>
      <c r="L25" s="491"/>
      <c r="M25" s="491"/>
      <c r="N25" s="491"/>
      <c r="O25" s="491"/>
      <c r="P25" s="492"/>
      <c r="Q25" s="231"/>
    </row>
    <row r="26" spans="1:17" s="19" customFormat="1" ht="31.5" customHeight="1" x14ac:dyDescent="0.25">
      <c r="A26" s="186"/>
      <c r="B26" s="187"/>
      <c r="C26" s="188"/>
      <c r="D26" s="253"/>
      <c r="E26" s="190"/>
      <c r="F26" s="190"/>
      <c r="G26" s="189"/>
      <c r="H26" s="193"/>
      <c r="I26" s="229"/>
      <c r="J26" s="233"/>
      <c r="K26" s="490"/>
      <c r="L26" s="491"/>
      <c r="M26" s="491"/>
      <c r="N26" s="491"/>
      <c r="O26" s="491"/>
      <c r="P26" s="492"/>
      <c r="Q26" s="231"/>
    </row>
    <row r="27" spans="1:17" s="19" customFormat="1" ht="33" customHeight="1" x14ac:dyDescent="0.25">
      <c r="A27" s="186"/>
      <c r="B27" s="187"/>
      <c r="C27" s="188"/>
      <c r="D27" s="253"/>
      <c r="E27" s="190"/>
      <c r="F27" s="190"/>
      <c r="G27" s="189"/>
      <c r="H27" s="193"/>
      <c r="I27" s="229"/>
      <c r="J27" s="233"/>
      <c r="K27" s="490"/>
      <c r="L27" s="491"/>
      <c r="M27" s="491"/>
      <c r="N27" s="491"/>
      <c r="O27" s="491"/>
      <c r="P27" s="492"/>
    </row>
    <row r="28" spans="1:17" s="19" customFormat="1" ht="18" customHeight="1" x14ac:dyDescent="0.25">
      <c r="A28" s="186"/>
      <c r="B28" s="187"/>
      <c r="C28" s="188"/>
      <c r="D28" s="253"/>
      <c r="E28" s="190"/>
      <c r="F28" s="190"/>
      <c r="G28" s="189"/>
      <c r="H28" s="193"/>
      <c r="I28" s="229"/>
      <c r="J28" s="233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189"/>
      <c r="H29" s="193"/>
      <c r="I29" s="229"/>
      <c r="J29" s="233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53"/>
      <c r="E30" s="190"/>
      <c r="F30" s="190"/>
      <c r="G30" s="189"/>
      <c r="H30" s="193"/>
      <c r="I30" s="229"/>
      <c r="J30" s="233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189"/>
      <c r="H31" s="193"/>
      <c r="I31" s="229"/>
      <c r="J31" s="233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53"/>
      <c r="E32" s="190"/>
      <c r="F32" s="190"/>
      <c r="G32" s="189"/>
      <c r="H32" s="193"/>
      <c r="I32" s="229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187"/>
      <c r="C33" s="188"/>
      <c r="D33" s="253"/>
      <c r="E33" s="190"/>
      <c r="F33" s="190"/>
      <c r="G33" s="189"/>
      <c r="H33" s="193"/>
      <c r="I33" s="229"/>
      <c r="J33" s="188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259"/>
      <c r="C34" s="259"/>
      <c r="D34" s="253"/>
      <c r="E34" s="190"/>
      <c r="F34" s="190"/>
      <c r="G34" s="194"/>
      <c r="H34" s="193"/>
      <c r="I34" s="229"/>
      <c r="J34" s="194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94"/>
      <c r="C35" s="194"/>
      <c r="D35" s="253"/>
      <c r="E35" s="190"/>
      <c r="F35" s="190"/>
      <c r="G35" s="194"/>
      <c r="H35" s="193"/>
      <c r="I35" s="229"/>
      <c r="J35" s="194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53"/>
      <c r="E36" s="194"/>
      <c r="F36" s="190"/>
      <c r="G36" s="189"/>
      <c r="H36" s="193"/>
      <c r="I36" s="229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90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90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90"/>
      <c r="F39" s="190"/>
      <c r="G39" s="189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88"/>
      <c r="G40" s="188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88"/>
      <c r="G41" s="188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88"/>
      <c r="G42" s="188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88"/>
      <c r="G43" s="188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88"/>
      <c r="F44" s="188"/>
      <c r="G44" s="188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88"/>
      <c r="F45" s="188"/>
      <c r="G45" s="188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88"/>
      <c r="F46" s="188"/>
      <c r="G46" s="188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88"/>
      <c r="F47" s="188"/>
      <c r="G47" s="188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88"/>
      <c r="F48" s="188"/>
      <c r="G48" s="188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88"/>
      <c r="F49" s="188"/>
      <c r="G49" s="188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88"/>
      <c r="F50" s="188"/>
      <c r="G50" s="188"/>
      <c r="H50" s="193"/>
      <c r="I50" s="190"/>
      <c r="J50" s="190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88"/>
      <c r="F51" s="188"/>
      <c r="G51" s="188"/>
      <c r="H51" s="193"/>
      <c r="I51" s="190"/>
      <c r="J51" s="190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88"/>
      <c r="F52" s="188"/>
      <c r="G52" s="188"/>
      <c r="H52" s="193"/>
      <c r="I52" s="190"/>
      <c r="J52" s="190"/>
      <c r="K52" s="490"/>
      <c r="L52" s="491"/>
      <c r="M52" s="491"/>
      <c r="N52" s="491"/>
      <c r="O52" s="491"/>
      <c r="P52" s="492"/>
    </row>
    <row r="53" spans="1:16" ht="15.75" x14ac:dyDescent="0.25">
      <c r="A53" s="186"/>
      <c r="B53" s="187"/>
      <c r="C53" s="188"/>
      <c r="D53" s="229"/>
      <c r="E53" s="188"/>
      <c r="F53" s="188"/>
      <c r="G53" s="188"/>
      <c r="H53" s="193"/>
      <c r="I53" s="190"/>
      <c r="J53" s="190"/>
      <c r="K53" s="490"/>
      <c r="L53" s="491"/>
      <c r="M53" s="491"/>
      <c r="N53" s="491"/>
      <c r="O53" s="491"/>
      <c r="P53" s="492"/>
    </row>
    <row r="54" spans="1:16" ht="15.75" x14ac:dyDescent="0.25">
      <c r="A54" s="186"/>
      <c r="B54" s="187"/>
      <c r="C54" s="188"/>
      <c r="D54" s="229"/>
      <c r="E54" s="188"/>
      <c r="F54" s="188"/>
      <c r="G54" s="188"/>
      <c r="H54" s="193"/>
      <c r="I54" s="190"/>
      <c r="J54" s="190"/>
      <c r="K54" s="490"/>
      <c r="L54" s="491"/>
      <c r="M54" s="491"/>
      <c r="N54" s="491"/>
      <c r="O54" s="491"/>
      <c r="P54" s="492"/>
    </row>
    <row r="55" spans="1:16" ht="17.25" customHeight="1" x14ac:dyDescent="0.25">
      <c r="A55" s="186"/>
      <c r="B55" s="187"/>
      <c r="C55" s="188"/>
      <c r="D55" s="229"/>
      <c r="E55" s="188"/>
      <c r="F55" s="188"/>
      <c r="G55" s="188"/>
      <c r="H55" s="193"/>
      <c r="I55" s="190"/>
      <c r="J55" s="190"/>
      <c r="K55" s="490"/>
      <c r="L55" s="491"/>
      <c r="M55" s="491"/>
      <c r="N55" s="491"/>
      <c r="O55" s="491"/>
      <c r="P55" s="492"/>
    </row>
    <row r="56" spans="1:16" ht="18" customHeight="1" x14ac:dyDescent="0.25">
      <c r="A56" s="186"/>
      <c r="B56" s="187"/>
      <c r="C56" s="188"/>
      <c r="D56" s="229"/>
      <c r="E56" s="188"/>
      <c r="F56" s="188"/>
      <c r="G56" s="188"/>
      <c r="H56" s="193"/>
      <c r="I56" s="190"/>
      <c r="J56" s="190"/>
      <c r="K56" s="490"/>
      <c r="L56" s="491"/>
      <c r="M56" s="491"/>
      <c r="N56" s="491"/>
      <c r="O56" s="491"/>
      <c r="P56" s="492"/>
    </row>
    <row r="57" spans="1:16" ht="18" customHeight="1" x14ac:dyDescent="0.25">
      <c r="A57" s="186"/>
      <c r="B57" s="187"/>
      <c r="C57" s="188"/>
      <c r="D57" s="229"/>
      <c r="E57" s="188"/>
      <c r="F57" s="188"/>
      <c r="G57" s="188"/>
      <c r="H57" s="193"/>
      <c r="I57" s="190"/>
      <c r="J57" s="190"/>
      <c r="K57" s="490"/>
      <c r="L57" s="491"/>
      <c r="M57" s="491"/>
      <c r="N57" s="491"/>
      <c r="O57" s="491"/>
      <c r="P57" s="492"/>
    </row>
    <row r="58" spans="1:16" ht="18" customHeight="1" x14ac:dyDescent="0.25">
      <c r="A58" s="186"/>
      <c r="B58" s="187"/>
      <c r="C58" s="188"/>
      <c r="D58" s="229"/>
      <c r="E58" s="188"/>
      <c r="F58" s="188"/>
      <c r="G58" s="188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ht="18" customHeight="1" x14ac:dyDescent="0.25">
      <c r="A59" s="186"/>
      <c r="B59" s="187"/>
      <c r="C59" s="188"/>
      <c r="D59" s="229"/>
      <c r="E59" s="188"/>
      <c r="F59" s="188"/>
      <c r="G59" s="188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ht="18" customHeight="1" x14ac:dyDescent="0.25">
      <c r="A60" s="186"/>
      <c r="B60" s="187"/>
      <c r="C60" s="188"/>
      <c r="D60" s="229"/>
      <c r="E60" s="188"/>
      <c r="F60" s="188"/>
      <c r="G60" s="188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ht="18" customHeight="1" x14ac:dyDescent="0.25">
      <c r="A61" s="186"/>
      <c r="B61" s="187"/>
      <c r="C61" s="188"/>
      <c r="D61" s="229"/>
      <c r="E61" s="188"/>
      <c r="F61" s="188"/>
      <c r="G61" s="188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ht="18" customHeight="1" x14ac:dyDescent="0.25">
      <c r="A62" s="186"/>
      <c r="B62" s="187"/>
      <c r="C62" s="188"/>
      <c r="D62" s="229"/>
      <c r="E62" s="188"/>
      <c r="F62" s="188"/>
      <c r="G62" s="188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ht="18" customHeight="1" x14ac:dyDescent="0.25">
      <c r="A63" s="186"/>
      <c r="B63" s="187"/>
      <c r="C63" s="188"/>
      <c r="D63" s="229"/>
      <c r="E63" s="188"/>
      <c r="F63" s="188"/>
      <c r="G63" s="188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ht="18" customHeight="1" x14ac:dyDescent="0.25">
      <c r="A64" s="186"/>
      <c r="B64" s="187"/>
      <c r="C64" s="188"/>
      <c r="D64" s="229"/>
      <c r="E64" s="188"/>
      <c r="F64" s="188"/>
      <c r="G64" s="188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ht="18" customHeight="1" x14ac:dyDescent="0.25">
      <c r="A65" s="186"/>
      <c r="B65" s="187"/>
      <c r="C65" s="188"/>
      <c r="D65" s="229"/>
      <c r="E65" s="188"/>
      <c r="F65" s="188"/>
      <c r="G65" s="188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ht="18" customHeight="1" x14ac:dyDescent="0.25">
      <c r="A66" s="186"/>
      <c r="B66" s="187"/>
      <c r="C66" s="188"/>
      <c r="D66" s="229"/>
      <c r="E66" s="188"/>
      <c r="F66" s="188"/>
      <c r="G66" s="188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ht="18" customHeight="1" x14ac:dyDescent="0.25">
      <c r="A67" s="186"/>
      <c r="B67" s="187"/>
      <c r="C67" s="188"/>
      <c r="D67" s="229"/>
      <c r="E67" s="188"/>
      <c r="F67" s="188"/>
      <c r="G67" s="188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ht="18" customHeight="1" x14ac:dyDescent="0.25">
      <c r="A68" s="186"/>
      <c r="B68" s="187"/>
      <c r="C68" s="188"/>
      <c r="D68" s="229"/>
      <c r="E68" s="188"/>
      <c r="F68" s="188"/>
      <c r="G68" s="188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ht="18" customHeight="1" x14ac:dyDescent="0.25">
      <c r="A69" s="186"/>
      <c r="B69" s="187"/>
      <c r="C69" s="188"/>
      <c r="D69" s="229"/>
      <c r="E69" s="188"/>
      <c r="F69" s="188"/>
      <c r="G69" s="188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ht="18" customHeight="1" x14ac:dyDescent="0.25">
      <c r="A70" s="186"/>
      <c r="B70" s="187"/>
      <c r="C70" s="188"/>
      <c r="D70" s="229"/>
      <c r="E70" s="188"/>
      <c r="F70" s="188"/>
      <c r="G70" s="188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ht="18" customHeight="1" x14ac:dyDescent="0.25">
      <c r="A71" s="186"/>
      <c r="B71" s="187"/>
      <c r="C71" s="188"/>
      <c r="D71" s="229"/>
      <c r="E71" s="188"/>
      <c r="F71" s="188"/>
      <c r="G71" s="188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ht="18" customHeight="1" x14ac:dyDescent="0.25">
      <c r="A72" s="186"/>
      <c r="B72" s="187"/>
      <c r="C72" s="188"/>
      <c r="D72" s="229"/>
      <c r="E72" s="188"/>
      <c r="F72" s="188"/>
      <c r="G72" s="188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ht="18" customHeight="1" x14ac:dyDescent="0.25">
      <c r="A73" s="186"/>
      <c r="B73" s="187"/>
      <c r="C73" s="188"/>
      <c r="D73" s="229"/>
      <c r="E73" s="188"/>
      <c r="F73" s="188"/>
      <c r="G73" s="188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ht="18" customHeight="1" x14ac:dyDescent="0.25">
      <c r="A74" s="186"/>
      <c r="B74" s="187"/>
      <c r="C74" s="188"/>
      <c r="D74" s="229"/>
      <c r="E74" s="188"/>
      <c r="F74" s="188"/>
      <c r="G74" s="188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ht="18" customHeight="1" x14ac:dyDescent="0.25">
      <c r="A75" s="186"/>
      <c r="B75" s="187"/>
      <c r="C75" s="188"/>
      <c r="D75" s="229"/>
      <c r="E75" s="188"/>
      <c r="F75" s="188"/>
      <c r="G75" s="188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ht="18" customHeight="1" x14ac:dyDescent="0.25">
      <c r="A76" s="186"/>
      <c r="B76" s="187"/>
      <c r="C76" s="188"/>
      <c r="D76" s="229"/>
      <c r="E76" s="188"/>
      <c r="F76" s="188"/>
      <c r="G76" s="188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ht="18" customHeight="1" x14ac:dyDescent="0.25">
      <c r="A77" s="186"/>
      <c r="B77" s="187"/>
      <c r="C77" s="188"/>
      <c r="D77" s="229"/>
      <c r="E77" s="188"/>
      <c r="F77" s="188"/>
      <c r="G77" s="188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ht="18" customHeight="1" x14ac:dyDescent="0.25">
      <c r="A78" s="186"/>
      <c r="B78" s="187"/>
      <c r="C78" s="188"/>
      <c r="D78" s="229"/>
      <c r="E78" s="188"/>
      <c r="F78" s="188"/>
      <c r="G78" s="188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ht="18" customHeight="1" x14ac:dyDescent="0.25">
      <c r="A79" s="186"/>
      <c r="B79" s="187"/>
      <c r="C79" s="188"/>
      <c r="D79" s="229"/>
      <c r="E79" s="188"/>
      <c r="F79" s="188"/>
      <c r="G79" s="188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ht="18" customHeight="1" x14ac:dyDescent="0.25">
      <c r="A80" s="186"/>
      <c r="B80" s="187"/>
      <c r="C80" s="188"/>
      <c r="D80" s="229"/>
      <c r="E80" s="188"/>
      <c r="F80" s="188"/>
      <c r="G80" s="188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ht="18" customHeight="1" x14ac:dyDescent="0.25">
      <c r="A81" s="186"/>
      <c r="B81" s="187"/>
      <c r="C81" s="188"/>
      <c r="D81" s="229"/>
      <c r="E81" s="188"/>
      <c r="F81" s="188"/>
      <c r="G81" s="188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ht="18" customHeight="1" x14ac:dyDescent="0.25">
      <c r="A82" s="186"/>
      <c r="B82" s="187"/>
      <c r="C82" s="188"/>
      <c r="D82" s="229"/>
      <c r="E82" s="188"/>
      <c r="F82" s="188"/>
      <c r="G82" s="188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ht="18" customHeight="1" x14ac:dyDescent="0.25">
      <c r="A83" s="186"/>
      <c r="B83" s="187"/>
      <c r="C83" s="188"/>
      <c r="D83" s="229"/>
      <c r="E83" s="188"/>
      <c r="F83" s="188"/>
      <c r="G83" s="188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ht="18" customHeight="1" x14ac:dyDescent="0.25">
      <c r="A84" s="186"/>
      <c r="B84" s="187"/>
      <c r="C84" s="188"/>
      <c r="D84" s="229"/>
      <c r="E84" s="188"/>
      <c r="F84" s="188"/>
      <c r="G84" s="188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ht="18" customHeight="1" x14ac:dyDescent="0.25">
      <c r="A85" s="186"/>
      <c r="B85" s="187"/>
      <c r="C85" s="188"/>
      <c r="D85" s="229"/>
      <c r="E85" s="188"/>
      <c r="F85" s="188"/>
      <c r="G85" s="188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ht="18" customHeight="1" x14ac:dyDescent="0.25">
      <c r="A86" s="186"/>
      <c r="B86" s="187"/>
      <c r="C86" s="188"/>
      <c r="D86" s="229"/>
      <c r="E86" s="190"/>
      <c r="F86" s="190"/>
      <c r="G86" s="188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ht="18" customHeight="1" x14ac:dyDescent="0.25">
      <c r="A87" s="186"/>
      <c r="B87" s="187"/>
      <c r="C87" s="188"/>
      <c r="D87" s="229"/>
      <c r="E87" s="190"/>
      <c r="F87" s="190"/>
      <c r="G87" s="188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ht="18" customHeight="1" x14ac:dyDescent="0.25">
      <c r="A88" s="186"/>
      <c r="B88" s="187"/>
      <c r="C88" s="188"/>
      <c r="D88" s="229"/>
      <c r="E88" s="190"/>
      <c r="F88" s="190"/>
      <c r="G88" s="189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ht="18" customHeight="1" x14ac:dyDescent="0.25">
      <c r="A89" s="186"/>
      <c r="B89" s="187"/>
      <c r="C89" s="188"/>
      <c r="D89" s="229"/>
      <c r="E89" s="190"/>
      <c r="F89" s="190"/>
      <c r="G89" s="189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ht="18" customHeight="1" x14ac:dyDescent="0.25">
      <c r="A90" s="186"/>
      <c r="B90" s="187"/>
      <c r="C90" s="188"/>
      <c r="D90" s="229"/>
      <c r="E90" s="190"/>
      <c r="F90" s="190"/>
      <c r="G90" s="189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ht="18" customHeight="1" x14ac:dyDescent="0.25">
      <c r="A91" s="186"/>
      <c r="B91" s="187"/>
      <c r="C91" s="188"/>
      <c r="D91" s="229"/>
      <c r="E91" s="190"/>
      <c r="F91" s="190"/>
      <c r="G91" s="189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8" customHeight="1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8" customHeight="1" x14ac:dyDescent="0.25">
      <c r="A97" s="186"/>
      <c r="B97" s="187"/>
      <c r="C97" s="188"/>
      <c r="D97" s="229"/>
      <c r="E97" s="190"/>
      <c r="F97" s="190"/>
      <c r="G97" s="189"/>
      <c r="H97" s="193"/>
      <c r="I97" s="190"/>
      <c r="J97" s="192"/>
      <c r="K97" s="490"/>
      <c r="L97" s="491"/>
      <c r="M97" s="491"/>
      <c r="N97" s="491"/>
      <c r="O97" s="491"/>
      <c r="P97" s="492"/>
    </row>
    <row r="98" spans="1:16" ht="18" customHeight="1" x14ac:dyDescent="0.25">
      <c r="A98" s="186"/>
      <c r="B98" s="187"/>
      <c r="C98" s="188"/>
      <c r="D98" s="229"/>
      <c r="E98" s="190"/>
      <c r="F98" s="190"/>
      <c r="G98" s="189"/>
      <c r="H98" s="193"/>
      <c r="I98" s="190"/>
      <c r="J98" s="241"/>
      <c r="K98" s="490"/>
      <c r="L98" s="491"/>
      <c r="M98" s="491"/>
      <c r="N98" s="491"/>
      <c r="O98" s="491"/>
      <c r="P98" s="492"/>
    </row>
    <row r="99" spans="1:16" ht="18" customHeight="1" x14ac:dyDescent="0.25">
      <c r="A99" s="186"/>
      <c r="B99" s="187"/>
      <c r="C99" s="188"/>
      <c r="D99" s="229"/>
      <c r="E99" s="190"/>
      <c r="F99" s="190"/>
      <c r="G99" s="189"/>
      <c r="H99" s="240"/>
      <c r="I99" s="190"/>
      <c r="J99" s="241"/>
      <c r="K99" s="490"/>
      <c r="L99" s="491"/>
      <c r="M99" s="491"/>
      <c r="N99" s="491"/>
      <c r="O99" s="491"/>
      <c r="P99" s="492"/>
    </row>
    <row r="100" spans="1:16" ht="18" customHeight="1" x14ac:dyDescent="0.25">
      <c r="A100" s="186"/>
      <c r="B100" s="187"/>
      <c r="C100" s="188"/>
      <c r="D100" s="229"/>
      <c r="E100" s="190"/>
      <c r="F100" s="190"/>
      <c r="G100" s="189"/>
      <c r="H100" s="240"/>
      <c r="I100" s="190"/>
      <c r="J100" s="241"/>
      <c r="K100" s="490"/>
      <c r="L100" s="491"/>
      <c r="M100" s="491"/>
      <c r="N100" s="491"/>
      <c r="O100" s="491"/>
      <c r="P100" s="492"/>
    </row>
    <row r="101" spans="1:16" ht="18" customHeight="1" x14ac:dyDescent="0.25">
      <c r="A101" s="186"/>
      <c r="B101" s="187"/>
      <c r="C101" s="188"/>
      <c r="D101" s="229"/>
      <c r="E101" s="190"/>
      <c r="F101" s="190"/>
      <c r="G101" s="189"/>
      <c r="H101" s="240"/>
      <c r="I101" s="190"/>
      <c r="J101" s="241"/>
      <c r="K101" s="490"/>
      <c r="L101" s="491"/>
      <c r="M101" s="491"/>
      <c r="N101" s="491"/>
      <c r="O101" s="491"/>
      <c r="P101" s="492"/>
    </row>
    <row r="102" spans="1:16" ht="18" customHeight="1" x14ac:dyDescent="0.25">
      <c r="A102" s="186"/>
      <c r="B102" s="187"/>
      <c r="C102" s="188"/>
      <c r="D102" s="229"/>
      <c r="E102" s="190"/>
      <c r="F102" s="190"/>
      <c r="G102" s="189"/>
      <c r="H102" s="240"/>
      <c r="I102" s="190"/>
      <c r="J102" s="241"/>
      <c r="K102" s="490"/>
      <c r="L102" s="491"/>
      <c r="M102" s="491"/>
      <c r="N102" s="491"/>
      <c r="O102" s="491"/>
      <c r="P102" s="492"/>
    </row>
    <row r="103" spans="1:16" ht="18" customHeight="1" x14ac:dyDescent="0.25">
      <c r="A103" s="186"/>
      <c r="B103" s="187"/>
      <c r="C103" s="188"/>
      <c r="D103" s="229"/>
      <c r="E103" s="190"/>
      <c r="F103" s="190"/>
      <c r="G103" s="189"/>
      <c r="H103" s="240"/>
      <c r="I103" s="190"/>
      <c r="J103" s="241"/>
      <c r="K103" s="490"/>
      <c r="L103" s="491"/>
      <c r="M103" s="491"/>
      <c r="N103" s="491"/>
      <c r="O103" s="491"/>
      <c r="P103" s="492"/>
    </row>
    <row r="104" spans="1:16" ht="18" customHeight="1" x14ac:dyDescent="0.25">
      <c r="A104" s="186"/>
      <c r="B104" s="187"/>
      <c r="C104" s="188"/>
      <c r="D104" s="229"/>
      <c r="E104" s="190"/>
      <c r="F104" s="190"/>
      <c r="G104" s="189"/>
      <c r="H104" s="240"/>
      <c r="I104" s="190"/>
      <c r="J104" s="241"/>
      <c r="K104" s="490"/>
      <c r="L104" s="491"/>
      <c r="M104" s="491"/>
      <c r="N104" s="491"/>
      <c r="O104" s="491"/>
      <c r="P104" s="492"/>
    </row>
    <row r="105" spans="1:16" ht="18" customHeight="1" x14ac:dyDescent="0.25">
      <c r="A105" s="186"/>
      <c r="B105" s="187"/>
      <c r="C105" s="188"/>
      <c r="D105" s="229"/>
      <c r="E105" s="190"/>
      <c r="F105" s="190"/>
      <c r="G105" s="189"/>
      <c r="H105" s="240"/>
      <c r="I105" s="190"/>
      <c r="J105" s="241"/>
      <c r="K105" s="490"/>
      <c r="L105" s="491"/>
      <c r="M105" s="491"/>
      <c r="N105" s="491"/>
      <c r="O105" s="491"/>
      <c r="P105" s="492"/>
    </row>
    <row r="106" spans="1:16" ht="18" customHeight="1" x14ac:dyDescent="0.25">
      <c r="A106" s="186"/>
      <c r="B106" s="187"/>
      <c r="C106" s="188"/>
      <c r="D106" s="229"/>
      <c r="E106" s="190"/>
      <c r="F106" s="190"/>
      <c r="G106" s="189"/>
      <c r="H106" s="240"/>
      <c r="I106" s="190"/>
      <c r="J106" s="241"/>
      <c r="K106" s="490"/>
      <c r="L106" s="491"/>
      <c r="M106" s="491"/>
      <c r="N106" s="491"/>
      <c r="O106" s="491"/>
      <c r="P106" s="492"/>
    </row>
    <row r="107" spans="1:16" ht="18" customHeight="1" x14ac:dyDescent="0.25">
      <c r="A107" s="186"/>
      <c r="B107" s="187"/>
      <c r="C107" s="188"/>
      <c r="D107" s="229"/>
      <c r="E107" s="190"/>
      <c r="F107" s="190"/>
      <c r="G107" s="189"/>
      <c r="H107" s="240"/>
      <c r="I107" s="190"/>
      <c r="J107" s="241"/>
      <c r="K107" s="490"/>
      <c r="L107" s="491"/>
      <c r="M107" s="491"/>
      <c r="N107" s="491"/>
      <c r="O107" s="491"/>
      <c r="P107" s="492"/>
    </row>
    <row r="108" spans="1:16" ht="18" customHeight="1" x14ac:dyDescent="0.25">
      <c r="A108" s="186"/>
      <c r="B108" s="187"/>
      <c r="C108" s="188"/>
      <c r="D108" s="229"/>
      <c r="E108" s="190"/>
      <c r="F108" s="190"/>
      <c r="G108" s="189"/>
      <c r="H108" s="240"/>
      <c r="I108" s="190"/>
      <c r="J108" s="241"/>
      <c r="K108" s="490"/>
      <c r="L108" s="491"/>
      <c r="M108" s="491"/>
      <c r="N108" s="491"/>
      <c r="O108" s="491"/>
      <c r="P108" s="492"/>
    </row>
    <row r="109" spans="1:16" ht="18" customHeight="1" x14ac:dyDescent="0.25">
      <c r="A109" s="186"/>
      <c r="B109" s="187"/>
      <c r="C109" s="188"/>
      <c r="D109" s="229"/>
      <c r="E109" s="190"/>
      <c r="F109" s="190"/>
      <c r="G109" s="189"/>
      <c r="H109" s="240"/>
      <c r="I109" s="190"/>
      <c r="J109" s="241"/>
      <c r="K109" s="490"/>
      <c r="L109" s="491"/>
      <c r="M109" s="491"/>
      <c r="N109" s="491"/>
      <c r="O109" s="491"/>
      <c r="P109" s="492"/>
    </row>
    <row r="110" spans="1:16" ht="18" customHeight="1" x14ac:dyDescent="0.25">
      <c r="A110" s="186"/>
      <c r="B110" s="187"/>
      <c r="C110" s="188"/>
      <c r="D110" s="229"/>
      <c r="E110" s="190"/>
      <c r="F110" s="190"/>
      <c r="G110" s="189"/>
      <c r="H110" s="240"/>
      <c r="I110" s="190"/>
      <c r="J110" s="241"/>
      <c r="K110" s="490"/>
      <c r="L110" s="491"/>
      <c r="M110" s="491"/>
      <c r="N110" s="491"/>
      <c r="O110" s="491"/>
      <c r="P110" s="492"/>
    </row>
    <row r="111" spans="1:16" ht="18" customHeight="1" x14ac:dyDescent="0.25">
      <c r="A111" s="186"/>
      <c r="B111" s="187"/>
      <c r="C111" s="188"/>
      <c r="D111" s="229"/>
      <c r="E111" s="190"/>
      <c r="F111" s="190"/>
      <c r="G111" s="189"/>
      <c r="H111" s="240"/>
      <c r="I111" s="190"/>
      <c r="J111" s="241"/>
      <c r="K111" s="490"/>
      <c r="L111" s="491"/>
      <c r="M111" s="491"/>
      <c r="N111" s="491"/>
      <c r="O111" s="491"/>
      <c r="P111" s="492"/>
    </row>
    <row r="112" spans="1:16" ht="18" customHeight="1" x14ac:dyDescent="0.25">
      <c r="A112" s="186"/>
      <c r="B112" s="187"/>
      <c r="C112" s="188"/>
      <c r="D112" s="229"/>
      <c r="E112" s="190"/>
      <c r="F112" s="190"/>
      <c r="G112" s="189"/>
      <c r="H112" s="240"/>
      <c r="I112" s="190"/>
      <c r="J112" s="241"/>
      <c r="K112" s="490"/>
      <c r="L112" s="491"/>
      <c r="M112" s="491"/>
      <c r="N112" s="491"/>
      <c r="O112" s="491"/>
      <c r="P112" s="492"/>
    </row>
    <row r="113" spans="1:16" ht="18" customHeight="1" x14ac:dyDescent="0.25">
      <c r="A113" s="186"/>
      <c r="B113" s="187"/>
      <c r="C113" s="188"/>
      <c r="D113" s="229"/>
      <c r="E113" s="190"/>
      <c r="F113" s="190"/>
      <c r="G113" s="189"/>
      <c r="H113" s="240"/>
      <c r="I113" s="190"/>
      <c r="J113" s="241"/>
      <c r="K113" s="490"/>
      <c r="L113" s="491"/>
      <c r="M113" s="491"/>
      <c r="N113" s="491"/>
      <c r="O113" s="491"/>
      <c r="P113" s="492"/>
    </row>
    <row r="114" spans="1:16" ht="18" customHeight="1" x14ac:dyDescent="0.25">
      <c r="A114" s="186"/>
      <c r="B114" s="187"/>
      <c r="C114" s="188"/>
      <c r="D114" s="229"/>
      <c r="E114" s="190"/>
      <c r="F114" s="190"/>
      <c r="G114" s="189"/>
      <c r="H114" s="240"/>
      <c r="I114" s="190"/>
      <c r="J114" s="241"/>
      <c r="K114" s="490"/>
      <c r="L114" s="491"/>
      <c r="M114" s="491"/>
      <c r="N114" s="491"/>
      <c r="O114" s="491"/>
      <c r="P114" s="492"/>
    </row>
    <row r="115" spans="1:16" ht="18" customHeight="1" x14ac:dyDescent="0.25">
      <c r="A115" s="186"/>
      <c r="B115" s="187"/>
      <c r="C115" s="188"/>
      <c r="D115" s="229"/>
      <c r="E115" s="190"/>
      <c r="F115" s="190"/>
      <c r="G115" s="189"/>
      <c r="H115" s="240"/>
      <c r="I115" s="190"/>
      <c r="J115" s="241"/>
      <c r="K115" s="490"/>
      <c r="L115" s="491"/>
      <c r="M115" s="491"/>
      <c r="N115" s="491"/>
      <c r="O115" s="491"/>
      <c r="P115" s="492"/>
    </row>
    <row r="116" spans="1:16" ht="18" customHeight="1" x14ac:dyDescent="0.25">
      <c r="A116" s="186"/>
      <c r="B116" s="187"/>
      <c r="C116" s="188"/>
      <c r="D116" s="229"/>
      <c r="E116" s="190"/>
      <c r="F116" s="190"/>
      <c r="G116" s="189"/>
      <c r="H116" s="240"/>
      <c r="I116" s="190"/>
      <c r="J116" s="241"/>
      <c r="K116" s="490"/>
      <c r="L116" s="491"/>
      <c r="M116" s="491"/>
      <c r="N116" s="491"/>
      <c r="O116" s="491"/>
      <c r="P116" s="492"/>
    </row>
    <row r="117" spans="1:16" ht="18" customHeight="1" x14ac:dyDescent="0.25">
      <c r="A117" s="186"/>
      <c r="B117" s="187"/>
      <c r="C117" s="188"/>
      <c r="D117" s="229"/>
      <c r="E117" s="190"/>
      <c r="F117" s="190"/>
      <c r="G117" s="189"/>
      <c r="H117" s="240"/>
      <c r="I117" s="190"/>
      <c r="J117" s="241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229"/>
      <c r="E118" s="190"/>
      <c r="F118" s="190"/>
      <c r="G118" s="189"/>
      <c r="H118" s="240"/>
      <c r="I118" s="190"/>
      <c r="J118" s="241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7"/>
      <c r="E119" s="190"/>
      <c r="F119" s="190"/>
      <c r="G119" s="190"/>
      <c r="H119" s="240"/>
      <c r="I119" s="190"/>
      <c r="J119" s="241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7"/>
      <c r="E120" s="190"/>
      <c r="F120" s="190"/>
      <c r="G120" s="190"/>
      <c r="H120" s="240"/>
      <c r="I120" s="190"/>
      <c r="J120" s="241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7"/>
      <c r="E121" s="190"/>
      <c r="F121" s="190"/>
      <c r="G121" s="190"/>
      <c r="H121" s="240"/>
      <c r="I121" s="190"/>
      <c r="J121" s="241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7"/>
      <c r="E122" s="190"/>
      <c r="F122" s="190"/>
      <c r="G122" s="190"/>
      <c r="H122" s="240"/>
      <c r="I122" s="190"/>
      <c r="J122" s="241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7"/>
      <c r="E123" s="190"/>
      <c r="F123" s="190"/>
      <c r="G123" s="190"/>
      <c r="H123" s="240"/>
      <c r="I123" s="190"/>
      <c r="J123" s="241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7"/>
      <c r="E124" s="190"/>
      <c r="F124" s="190"/>
      <c r="G124" s="190"/>
      <c r="H124" s="240"/>
      <c r="I124" s="190"/>
      <c r="J124" s="241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7"/>
      <c r="E125" s="190"/>
      <c r="F125" s="190"/>
      <c r="G125" s="190"/>
      <c r="H125" s="240"/>
      <c r="I125" s="190"/>
      <c r="J125" s="241"/>
      <c r="K125" s="490"/>
      <c r="L125" s="491"/>
      <c r="M125" s="491"/>
      <c r="N125" s="491"/>
      <c r="O125" s="491"/>
      <c r="P125" s="492"/>
    </row>
    <row r="126" spans="1:16" ht="18" customHeight="1" x14ac:dyDescent="0.25">
      <c r="A126" s="186"/>
      <c r="B126" s="187"/>
      <c r="C126" s="188"/>
      <c r="D126" s="187"/>
      <c r="E126" s="190"/>
      <c r="F126" s="190"/>
      <c r="G126" s="190"/>
      <c r="H126" s="240"/>
      <c r="I126" s="190"/>
      <c r="J126" s="241"/>
      <c r="K126" s="490"/>
      <c r="L126" s="491"/>
      <c r="M126" s="491"/>
      <c r="N126" s="491"/>
      <c r="O126" s="491"/>
      <c r="P126" s="492"/>
    </row>
    <row r="127" spans="1:16" ht="18" customHeight="1" x14ac:dyDescent="0.25">
      <c r="A127" s="186"/>
      <c r="B127" s="187"/>
      <c r="C127" s="188"/>
      <c r="D127" s="187"/>
      <c r="E127" s="190"/>
      <c r="F127" s="190"/>
      <c r="G127" s="190"/>
      <c r="H127" s="240"/>
      <c r="I127" s="190"/>
      <c r="J127" s="241"/>
      <c r="K127" s="490"/>
      <c r="L127" s="491"/>
      <c r="M127" s="491"/>
      <c r="N127" s="491"/>
      <c r="O127" s="491"/>
      <c r="P127" s="492"/>
    </row>
    <row r="128" spans="1:16" ht="18" customHeight="1" x14ac:dyDescent="0.25">
      <c r="A128" s="186"/>
      <c r="B128" s="187"/>
      <c r="C128" s="188"/>
      <c r="D128" s="187"/>
      <c r="E128" s="190"/>
      <c r="F128" s="190"/>
      <c r="G128" s="190"/>
      <c r="H128" s="240"/>
      <c r="I128" s="190"/>
      <c r="J128" s="241"/>
      <c r="K128" s="490"/>
      <c r="L128" s="491"/>
      <c r="M128" s="491"/>
      <c r="N128" s="491"/>
      <c r="O128" s="491"/>
      <c r="P128" s="492"/>
    </row>
    <row r="129" spans="1:16" ht="18" customHeight="1" x14ac:dyDescent="0.25">
      <c r="A129" s="186"/>
      <c r="B129" s="187"/>
      <c r="C129" s="188"/>
      <c r="D129" s="187"/>
      <c r="E129" s="190"/>
      <c r="F129" s="190"/>
      <c r="G129" s="190"/>
      <c r="H129" s="240"/>
      <c r="I129" s="190"/>
      <c r="J129" s="241"/>
      <c r="K129" s="490"/>
      <c r="L129" s="491"/>
      <c r="M129" s="491"/>
      <c r="N129" s="491"/>
      <c r="O129" s="491"/>
      <c r="P129" s="492"/>
    </row>
    <row r="130" spans="1:16" ht="18" customHeight="1" x14ac:dyDescent="0.25">
      <c r="A130" s="186"/>
      <c r="B130" s="187"/>
      <c r="C130" s="188"/>
      <c r="D130" s="187"/>
      <c r="E130" s="190"/>
      <c r="F130" s="190"/>
      <c r="G130" s="190"/>
      <c r="H130" s="240"/>
      <c r="I130" s="190"/>
      <c r="J130" s="241"/>
      <c r="K130" s="490"/>
      <c r="L130" s="491"/>
      <c r="M130" s="491"/>
      <c r="N130" s="491"/>
      <c r="O130" s="491"/>
      <c r="P130" s="492"/>
    </row>
    <row r="131" spans="1:16" ht="18" customHeight="1" x14ac:dyDescent="0.25">
      <c r="A131" s="186"/>
      <c r="B131" s="187"/>
      <c r="C131" s="188"/>
      <c r="D131" s="187"/>
      <c r="E131" s="190"/>
      <c r="F131" s="190"/>
      <c r="G131" s="190"/>
      <c r="H131" s="240"/>
      <c r="I131" s="190"/>
      <c r="J131" s="241"/>
      <c r="K131" s="490"/>
      <c r="L131" s="491"/>
      <c r="M131" s="491"/>
      <c r="N131" s="491"/>
      <c r="O131" s="491"/>
      <c r="P131" s="492"/>
    </row>
    <row r="132" spans="1:16" ht="18" customHeight="1" x14ac:dyDescent="0.25">
      <c r="A132" s="186"/>
      <c r="B132" s="187"/>
      <c r="C132" s="188"/>
      <c r="D132" s="187"/>
      <c r="E132" s="190"/>
      <c r="F132" s="190"/>
      <c r="G132" s="190"/>
      <c r="H132" s="240"/>
      <c r="I132" s="190"/>
      <c r="J132" s="241"/>
      <c r="K132" s="490"/>
      <c r="L132" s="491"/>
      <c r="M132" s="491"/>
      <c r="N132" s="491"/>
      <c r="O132" s="491"/>
      <c r="P132" s="492"/>
    </row>
    <row r="133" spans="1:16" ht="18" customHeight="1" x14ac:dyDescent="0.25">
      <c r="A133" s="186"/>
      <c r="B133" s="187"/>
      <c r="C133" s="188"/>
      <c r="D133" s="187"/>
      <c r="E133" s="190"/>
      <c r="F133" s="190"/>
      <c r="G133" s="190"/>
      <c r="H133" s="240"/>
      <c r="I133" s="190"/>
      <c r="J133" s="241"/>
      <c r="K133" s="490"/>
      <c r="L133" s="491"/>
      <c r="M133" s="491"/>
      <c r="N133" s="491"/>
      <c r="O133" s="491"/>
      <c r="P133" s="492"/>
    </row>
    <row r="134" spans="1:16" ht="18" customHeight="1" x14ac:dyDescent="0.25">
      <c r="A134" s="186"/>
      <c r="B134" s="187"/>
      <c r="C134" s="188"/>
      <c r="D134" s="187"/>
      <c r="E134" s="190"/>
      <c r="F134" s="190"/>
      <c r="G134" s="190"/>
      <c r="H134" s="240"/>
      <c r="I134" s="190"/>
      <c r="J134" s="190"/>
      <c r="K134" s="490"/>
      <c r="L134" s="491"/>
      <c r="M134" s="491"/>
      <c r="N134" s="491"/>
      <c r="O134" s="491"/>
      <c r="P134" s="492"/>
    </row>
    <row r="135" spans="1:16" ht="18" customHeight="1" x14ac:dyDescent="0.25">
      <c r="A135" s="186"/>
      <c r="B135" s="187"/>
      <c r="C135" s="188"/>
      <c r="D135" s="187"/>
      <c r="E135" s="190"/>
      <c r="F135" s="190"/>
      <c r="G135" s="190"/>
      <c r="H135" s="240"/>
      <c r="I135" s="190"/>
      <c r="J135" s="241"/>
      <c r="K135" s="490"/>
      <c r="L135" s="491"/>
      <c r="M135" s="491"/>
      <c r="N135" s="491"/>
      <c r="O135" s="491"/>
      <c r="P135" s="492"/>
    </row>
    <row r="136" spans="1:16" ht="18" customHeight="1" x14ac:dyDescent="0.25">
      <c r="A136" s="186"/>
      <c r="B136" s="187"/>
      <c r="C136" s="188"/>
      <c r="D136" s="187"/>
      <c r="E136" s="190"/>
      <c r="F136" s="190"/>
      <c r="G136" s="190"/>
      <c r="H136" s="240"/>
      <c r="I136" s="190"/>
      <c r="J136" s="241"/>
      <c r="K136" s="490"/>
      <c r="L136" s="491"/>
      <c r="M136" s="491"/>
      <c r="N136" s="491"/>
      <c r="O136" s="491"/>
      <c r="P136" s="492"/>
    </row>
    <row r="137" spans="1:16" ht="18" customHeight="1" x14ac:dyDescent="0.25">
      <c r="A137" s="186"/>
      <c r="B137" s="187"/>
      <c r="C137" s="188"/>
      <c r="D137" s="187"/>
      <c r="E137" s="190"/>
      <c r="F137" s="190"/>
      <c r="G137" s="190"/>
      <c r="H137" s="240"/>
      <c r="I137" s="190"/>
      <c r="J137" s="241"/>
      <c r="K137" s="490"/>
      <c r="L137" s="491"/>
      <c r="M137" s="491"/>
      <c r="N137" s="491"/>
      <c r="O137" s="491"/>
      <c r="P137" s="492"/>
    </row>
    <row r="138" spans="1:16" ht="18" customHeight="1" x14ac:dyDescent="0.25">
      <c r="A138" s="186"/>
      <c r="B138" s="250"/>
      <c r="C138" s="237"/>
      <c r="D138" s="238"/>
      <c r="E138" s="239"/>
      <c r="F138" s="239"/>
      <c r="G138" s="238"/>
      <c r="H138" s="240"/>
      <c r="I138" s="239"/>
      <c r="J138" s="241"/>
      <c r="K138" s="238"/>
      <c r="L138" s="261"/>
      <c r="M138" s="261"/>
      <c r="N138" s="261"/>
      <c r="O138" s="261"/>
      <c r="P138" s="241"/>
    </row>
    <row r="139" spans="1:16" ht="18" customHeight="1" x14ac:dyDescent="0.25">
      <c r="A139" s="186"/>
      <c r="B139" s="250"/>
      <c r="C139" s="237"/>
      <c r="D139" s="238"/>
      <c r="E139" s="239"/>
      <c r="F139" s="239"/>
      <c r="G139" s="238"/>
      <c r="H139" s="240"/>
      <c r="I139" s="239"/>
      <c r="J139" s="241"/>
      <c r="K139" s="238"/>
      <c r="L139" s="261"/>
      <c r="M139" s="261"/>
      <c r="N139" s="261"/>
      <c r="O139" s="261"/>
      <c r="P139" s="241"/>
    </row>
    <row r="140" spans="1:16" ht="18" customHeight="1" x14ac:dyDescent="0.25">
      <c r="A140" s="186"/>
      <c r="B140" s="250"/>
      <c r="C140" s="237"/>
      <c r="D140" s="238"/>
      <c r="E140" s="239"/>
      <c r="F140" s="239"/>
      <c r="G140" s="238"/>
      <c r="H140" s="240"/>
      <c r="I140" s="239"/>
      <c r="J140" s="241"/>
      <c r="K140" s="238"/>
      <c r="L140" s="261"/>
      <c r="M140" s="261"/>
      <c r="N140" s="261"/>
      <c r="O140" s="261"/>
      <c r="P140" s="241"/>
    </row>
    <row r="141" spans="1:16" ht="18" customHeight="1" x14ac:dyDescent="0.25">
      <c r="A141" s="186"/>
      <c r="B141" s="250"/>
      <c r="C141" s="237"/>
      <c r="D141" s="238"/>
      <c r="E141" s="239"/>
      <c r="F141" s="239"/>
      <c r="G141" s="238"/>
      <c r="H141" s="240"/>
      <c r="I141" s="239"/>
      <c r="J141" s="241"/>
      <c r="K141" s="238"/>
      <c r="L141" s="261"/>
      <c r="M141" s="261"/>
      <c r="N141" s="261"/>
      <c r="O141" s="261"/>
      <c r="P141" s="241"/>
    </row>
    <row r="142" spans="1:16" ht="18" customHeight="1" x14ac:dyDescent="0.25">
      <c r="A142" s="186"/>
      <c r="B142" s="250"/>
      <c r="C142" s="237"/>
      <c r="D142" s="238"/>
      <c r="E142" s="239"/>
      <c r="F142" s="239"/>
      <c r="G142" s="238"/>
      <c r="H142" s="240"/>
      <c r="I142" s="239"/>
      <c r="J142" s="241"/>
      <c r="K142" s="238"/>
      <c r="L142" s="261"/>
      <c r="M142" s="261"/>
      <c r="N142" s="261"/>
      <c r="O142" s="261"/>
      <c r="P142" s="241"/>
    </row>
    <row r="143" spans="1:16" ht="18" customHeight="1" x14ac:dyDescent="0.25">
      <c r="A143" s="186"/>
      <c r="B143" s="250"/>
      <c r="C143" s="237"/>
      <c r="D143" s="238"/>
      <c r="E143" s="239"/>
      <c r="F143" s="239"/>
      <c r="G143" s="238"/>
      <c r="H143" s="240"/>
      <c r="I143" s="239"/>
      <c r="J143" s="241"/>
      <c r="K143" s="238"/>
      <c r="L143" s="261"/>
      <c r="M143" s="261"/>
      <c r="N143" s="261"/>
      <c r="O143" s="261"/>
      <c r="P143" s="241"/>
    </row>
    <row r="144" spans="1:16" ht="18" customHeight="1" x14ac:dyDescent="0.25">
      <c r="A144" s="186"/>
      <c r="B144" s="250"/>
      <c r="C144" s="237"/>
      <c r="D144" s="238"/>
      <c r="E144" s="239"/>
      <c r="F144" s="239"/>
      <c r="G144" s="238"/>
      <c r="H144" s="240"/>
      <c r="I144" s="239"/>
      <c r="J144" s="241"/>
      <c r="K144" s="238"/>
      <c r="L144" s="261"/>
      <c r="M144" s="261"/>
      <c r="N144" s="261"/>
      <c r="O144" s="261"/>
      <c r="P144" s="241"/>
    </row>
    <row r="145" spans="1:16" ht="18" customHeight="1" x14ac:dyDescent="0.25">
      <c r="A145" s="186"/>
      <c r="B145" s="250"/>
      <c r="C145" s="237"/>
      <c r="D145" s="238"/>
      <c r="E145" s="239"/>
      <c r="F145" s="239"/>
      <c r="G145" s="238"/>
      <c r="H145" s="240"/>
      <c r="I145" s="239"/>
      <c r="J145" s="241"/>
      <c r="K145" s="238"/>
      <c r="L145" s="261"/>
      <c r="M145" s="261"/>
      <c r="N145" s="261"/>
      <c r="O145" s="261"/>
      <c r="P145" s="241"/>
    </row>
    <row r="146" spans="1:16" ht="18" customHeight="1" x14ac:dyDescent="0.25">
      <c r="A146" s="186"/>
      <c r="B146" s="250"/>
      <c r="C146" s="237"/>
      <c r="D146" s="238"/>
      <c r="E146" s="239"/>
      <c r="F146" s="239"/>
      <c r="G146" s="238"/>
      <c r="H146" s="240"/>
      <c r="I146" s="239"/>
      <c r="J146" s="241"/>
      <c r="K146" s="238"/>
      <c r="L146" s="261"/>
      <c r="M146" s="261"/>
      <c r="N146" s="261"/>
      <c r="O146" s="261"/>
      <c r="P146" s="241"/>
    </row>
    <row r="147" spans="1:16" ht="18" customHeight="1" x14ac:dyDescent="0.25">
      <c r="A147" s="186"/>
      <c r="B147" s="250"/>
      <c r="C147" s="237"/>
      <c r="D147" s="238"/>
      <c r="E147" s="239"/>
      <c r="F147" s="239"/>
      <c r="G147" s="238"/>
      <c r="H147" s="240"/>
      <c r="I147" s="239"/>
      <c r="J147" s="241"/>
      <c r="K147" s="238"/>
      <c r="L147" s="261"/>
      <c r="M147" s="261"/>
      <c r="N147" s="261"/>
      <c r="O147" s="261"/>
      <c r="P147" s="241"/>
    </row>
    <row r="148" spans="1:16" ht="18" customHeight="1" x14ac:dyDescent="0.25">
      <c r="A148" s="186"/>
      <c r="B148" s="250"/>
      <c r="C148" s="237"/>
      <c r="D148" s="238"/>
      <c r="E148" s="239"/>
      <c r="F148" s="239"/>
      <c r="G148" s="238"/>
      <c r="H148" s="240"/>
      <c r="I148" s="239"/>
      <c r="J148" s="241"/>
      <c r="K148" s="238"/>
      <c r="L148" s="261"/>
      <c r="M148" s="261"/>
      <c r="N148" s="261"/>
      <c r="O148" s="261"/>
      <c r="P148" s="241"/>
    </row>
    <row r="149" spans="1:16" ht="18" customHeight="1" x14ac:dyDescent="0.25">
      <c r="A149" s="186"/>
      <c r="B149" s="250"/>
      <c r="C149" s="237"/>
      <c r="D149" s="238"/>
      <c r="E149" s="239"/>
      <c r="F149" s="239"/>
      <c r="G149" s="238"/>
      <c r="H149" s="240"/>
      <c r="I149" s="239"/>
      <c r="J149" s="241"/>
      <c r="K149" s="238"/>
      <c r="L149" s="261"/>
      <c r="M149" s="261"/>
      <c r="N149" s="261"/>
      <c r="O149" s="261"/>
      <c r="P149" s="241"/>
    </row>
    <row r="150" spans="1:16" ht="18" customHeight="1" x14ac:dyDescent="0.25">
      <c r="A150" s="186"/>
      <c r="B150" s="250"/>
      <c r="C150" s="237"/>
      <c r="D150" s="238"/>
      <c r="E150" s="239"/>
      <c r="F150" s="239"/>
      <c r="G150" s="238"/>
      <c r="H150" s="240"/>
      <c r="I150" s="239"/>
      <c r="J150" s="241"/>
      <c r="K150" s="238"/>
      <c r="L150" s="261"/>
      <c r="M150" s="261"/>
      <c r="N150" s="261"/>
      <c r="O150" s="261"/>
      <c r="P150" s="241"/>
    </row>
    <row r="151" spans="1:16" ht="18" customHeight="1" x14ac:dyDescent="0.25">
      <c r="A151" s="186"/>
      <c r="B151" s="250"/>
      <c r="C151" s="237"/>
      <c r="D151" s="238"/>
      <c r="E151" s="239"/>
      <c r="F151" s="239"/>
      <c r="G151" s="238"/>
      <c r="H151" s="240"/>
      <c r="I151" s="239"/>
      <c r="J151" s="241"/>
      <c r="K151" s="238"/>
      <c r="L151" s="261"/>
      <c r="M151" s="261"/>
      <c r="N151" s="261"/>
      <c r="O151" s="261"/>
      <c r="P151" s="241"/>
    </row>
    <row r="152" spans="1:16" ht="18" customHeight="1" thickBot="1" x14ac:dyDescent="0.3">
      <c r="A152" s="236"/>
      <c r="B152" s="242"/>
      <c r="C152" s="243"/>
      <c r="D152" s="244"/>
      <c r="E152" s="245"/>
      <c r="F152" s="246"/>
      <c r="G152" s="249"/>
      <c r="H152" s="247"/>
      <c r="I152" s="239"/>
      <c r="J152" s="241"/>
      <c r="K152" s="528"/>
      <c r="L152" s="529"/>
      <c r="M152" s="529"/>
      <c r="N152" s="529"/>
      <c r="O152" s="529"/>
      <c r="P152" s="530"/>
    </row>
    <row r="153" spans="1:16" ht="16.5" thickBot="1" x14ac:dyDescent="0.3">
      <c r="A153" s="501" t="s">
        <v>30</v>
      </c>
      <c r="B153" s="502"/>
      <c r="C153" s="503"/>
      <c r="D153" s="63"/>
      <c r="E153" s="64"/>
      <c r="F153" s="248">
        <f>SUM(C136:C137)</f>
        <v>0</v>
      </c>
      <c r="G153" s="66"/>
      <c r="H153" s="67"/>
      <c r="I153" s="65">
        <f>SUM(I59:I152)</f>
        <v>0</v>
      </c>
      <c r="J153" s="66">
        <f>SUM(J59:J152)</f>
        <v>0</v>
      </c>
      <c r="K153" s="504"/>
      <c r="L153" s="505"/>
      <c r="M153" s="505"/>
      <c r="N153" s="505"/>
      <c r="O153" s="505"/>
      <c r="P153" s="506"/>
    </row>
    <row r="154" spans="1:16" x14ac:dyDescent="0.25">
      <c r="A154" s="68"/>
      <c r="B154" s="507"/>
      <c r="C154" s="507"/>
      <c r="D154" s="508"/>
      <c r="E154" s="508"/>
      <c r="F154" s="69"/>
      <c r="G154" s="69"/>
      <c r="H154" s="70"/>
      <c r="I154" s="71"/>
      <c r="J154" s="71"/>
      <c r="K154" s="72"/>
      <c r="L154" s="508"/>
      <c r="M154" s="508"/>
      <c r="N154" s="508"/>
      <c r="O154" s="508"/>
      <c r="P154" s="509"/>
    </row>
    <row r="155" spans="1:16" ht="15.75" x14ac:dyDescent="0.25">
      <c r="A155" s="73" t="s">
        <v>26</v>
      </c>
      <c r="B155" s="74"/>
      <c r="C155" s="74"/>
      <c r="D155" s="74"/>
      <c r="E155" s="74"/>
      <c r="F155" s="74"/>
      <c r="G155" s="74"/>
      <c r="H155" s="75"/>
      <c r="I155" s="74"/>
      <c r="J155" s="74"/>
      <c r="K155" s="74"/>
      <c r="L155" s="74"/>
      <c r="M155" s="74"/>
      <c r="N155" s="74"/>
      <c r="O155" s="74"/>
      <c r="P155" s="76"/>
    </row>
    <row r="156" spans="1:16" x14ac:dyDescent="0.25">
      <c r="A156" s="77"/>
      <c r="B156" s="493"/>
      <c r="C156" s="493"/>
      <c r="D156" s="493"/>
      <c r="E156" s="493"/>
      <c r="F156" s="78"/>
      <c r="G156" s="78"/>
      <c r="H156" s="79"/>
      <c r="I156" s="493"/>
      <c r="J156" s="493"/>
      <c r="K156" s="80"/>
      <c r="L156" s="493"/>
      <c r="M156" s="493"/>
      <c r="N156" s="493"/>
      <c r="O156" s="493"/>
      <c r="P156" s="494"/>
    </row>
    <row r="157" spans="1:16" x14ac:dyDescent="0.25">
      <c r="A157" s="81"/>
      <c r="B157" s="82"/>
      <c r="C157" s="82"/>
      <c r="D157" s="82"/>
      <c r="E157" s="82"/>
      <c r="F157" s="82"/>
      <c r="G157" s="82"/>
      <c r="H157" s="83"/>
      <c r="I157" s="82"/>
      <c r="J157" s="82"/>
      <c r="K157" s="82"/>
      <c r="L157" s="82"/>
      <c r="M157" s="82"/>
      <c r="N157" s="82"/>
      <c r="O157" s="82"/>
      <c r="P157" s="84"/>
    </row>
  </sheetData>
  <mergeCells count="169">
    <mergeCell ref="B156:C156"/>
    <mergeCell ref="D156:E156"/>
    <mergeCell ref="I156:J156"/>
    <mergeCell ref="L156:P156"/>
    <mergeCell ref="K137:P137"/>
    <mergeCell ref="K152:P152"/>
    <mergeCell ref="A153:C153"/>
    <mergeCell ref="K153:P153"/>
    <mergeCell ref="B154:C154"/>
    <mergeCell ref="D154:E154"/>
    <mergeCell ref="L154:P154"/>
    <mergeCell ref="K131:P131"/>
    <mergeCell ref="K132:P132"/>
    <mergeCell ref="K133:P133"/>
    <mergeCell ref="K134:P134"/>
    <mergeCell ref="K135:P135"/>
    <mergeCell ref="K136:P136"/>
    <mergeCell ref="K125:P125"/>
    <mergeCell ref="K126:P126"/>
    <mergeCell ref="K127:P127"/>
    <mergeCell ref="K128:P128"/>
    <mergeCell ref="K129:P129"/>
    <mergeCell ref="K130:P130"/>
    <mergeCell ref="K119:P119"/>
    <mergeCell ref="K120:P120"/>
    <mergeCell ref="K121:P121"/>
    <mergeCell ref="K122:P122"/>
    <mergeCell ref="K123:P123"/>
    <mergeCell ref="K124:P124"/>
    <mergeCell ref="K113:P113"/>
    <mergeCell ref="K114:P114"/>
    <mergeCell ref="K115:P115"/>
    <mergeCell ref="K116:P116"/>
    <mergeCell ref="K117:P117"/>
    <mergeCell ref="K118:P118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B6C5-D209-406A-8BA9-204DF3B86A4F}">
  <dimension ref="A1:Q131"/>
  <sheetViews>
    <sheetView showGridLines="0" topLeftCell="A116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45190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162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45190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153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45211</v>
      </c>
      <c r="B20" s="229">
        <v>110</v>
      </c>
      <c r="C20" s="229">
        <v>0</v>
      </c>
      <c r="D20" s="229">
        <f t="shared" ref="D20:D21" si="0">+B20+C20</f>
        <v>110</v>
      </c>
      <c r="E20" s="229">
        <v>5</v>
      </c>
      <c r="F20" s="229">
        <v>90</v>
      </c>
      <c r="G20" s="257">
        <v>4.3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45217</v>
      </c>
      <c r="B21" s="187">
        <v>80</v>
      </c>
      <c r="C21" s="188">
        <v>200</v>
      </c>
      <c r="D21" s="229">
        <f t="shared" si="0"/>
        <v>280</v>
      </c>
      <c r="E21" s="190">
        <v>5</v>
      </c>
      <c r="F21" s="188">
        <v>30</v>
      </c>
      <c r="G21" s="255">
        <v>5</v>
      </c>
      <c r="H21" s="234"/>
      <c r="I21" s="190">
        <v>1</v>
      </c>
      <c r="J21" s="252">
        <v>1</v>
      </c>
      <c r="K21" s="490" t="s">
        <v>128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SUM(C19:C21)</f>
        <v>400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F367-6122-41E8-BF1A-805604281023}">
  <dimension ref="A1:Q131"/>
  <sheetViews>
    <sheetView showGridLines="0" topLeftCell="A115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45190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163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45190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164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45211</v>
      </c>
      <c r="B20" s="229">
        <v>90</v>
      </c>
      <c r="C20" s="229">
        <v>0</v>
      </c>
      <c r="D20" s="229">
        <f t="shared" ref="D20:D21" si="0">+B20+C20</f>
        <v>90</v>
      </c>
      <c r="E20" s="229">
        <v>5</v>
      </c>
      <c r="F20" s="229">
        <v>110</v>
      </c>
      <c r="G20" s="257">
        <v>5.23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45217</v>
      </c>
      <c r="B21" s="187">
        <v>50</v>
      </c>
      <c r="C21" s="188">
        <v>400</v>
      </c>
      <c r="D21" s="229">
        <f t="shared" si="0"/>
        <v>450</v>
      </c>
      <c r="E21" s="190">
        <v>5</v>
      </c>
      <c r="F21" s="188">
        <v>40</v>
      </c>
      <c r="G21" s="255">
        <v>6.67</v>
      </c>
      <c r="H21" s="234"/>
      <c r="I21" s="190">
        <v>1</v>
      </c>
      <c r="J21" s="252">
        <v>1</v>
      </c>
      <c r="K21" s="490" t="s">
        <v>128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SUM(C19:C21)</f>
        <v>600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B83D-AC09-48FA-9B71-B5B3FBE4C1E1}">
  <dimension ref="A1:Q131"/>
  <sheetViews>
    <sheetView showGridLines="0" topLeftCell="A9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158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45197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119</v>
      </c>
      <c r="E14" s="442"/>
      <c r="F14" s="442"/>
      <c r="G14" s="442"/>
      <c r="H14" s="443" t="s">
        <v>24</v>
      </c>
      <c r="I14" s="444"/>
      <c r="J14" s="445"/>
      <c r="K14" s="441" t="s">
        <v>166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45197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167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45204</v>
      </c>
      <c r="B20" s="229">
        <v>180</v>
      </c>
      <c r="C20" s="229">
        <v>0</v>
      </c>
      <c r="D20" s="229">
        <f t="shared" ref="D20:D21" si="0">+B20+C20</f>
        <v>180</v>
      </c>
      <c r="E20" s="229">
        <v>5</v>
      </c>
      <c r="F20" s="229">
        <v>20</v>
      </c>
      <c r="G20" s="257">
        <v>2.9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45217</v>
      </c>
      <c r="B21" s="187">
        <v>180</v>
      </c>
      <c r="C21" s="188">
        <v>300</v>
      </c>
      <c r="D21" s="229">
        <f t="shared" si="0"/>
        <v>480</v>
      </c>
      <c r="E21" s="190">
        <v>5</v>
      </c>
      <c r="F21" s="188">
        <v>0</v>
      </c>
      <c r="G21" s="255">
        <v>0</v>
      </c>
      <c r="H21" s="234"/>
      <c r="I21" s="190">
        <v>1</v>
      </c>
      <c r="J21" s="252">
        <v>1</v>
      </c>
      <c r="K21" s="490" t="s">
        <v>165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SUM(C19:C21)</f>
        <v>500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94F1-72C2-4A36-B494-273C08D7366D}">
  <dimension ref="A1:Q131"/>
  <sheetViews>
    <sheetView showGridLines="0" topLeftCell="A124" zoomScaleNormal="100" workbookViewId="0">
      <selection activeCell="K19" sqref="K19:P19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6" width="11.7109375" style="22" customWidth="1"/>
    <col min="7" max="7" width="18.570312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1.140625" style="22" customWidth="1"/>
    <col min="12" max="12" width="7" style="22" customWidth="1"/>
    <col min="13" max="15" width="6.7109375" style="22" customWidth="1"/>
    <col min="16" max="16" width="10.85546875" style="22" customWidth="1"/>
    <col min="17" max="252" width="10.8554687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0.8554687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0.8554687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0.8554687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0.8554687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0.8554687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0.8554687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0.8554687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0.8554687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0.8554687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0.8554687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0.8554687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0.8554687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0.8554687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0.8554687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0.8554687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0.8554687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0.8554687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0.8554687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0.8554687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0.8554687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0.8554687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0.8554687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0.8554687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0.8554687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0.8554687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0.8554687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0.8554687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0.8554687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0.8554687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0.8554687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0.8554687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0.8554687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0.8554687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0.8554687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0.8554687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0.8554687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0.8554687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0.8554687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0.8554687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0.8554687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0.8554687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0.8554687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0.8554687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0.8554687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0.8554687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0.8554687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0.8554687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0.8554687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0.8554687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0.8554687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0.8554687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0.8554687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0.8554687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0.8554687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0.8554687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0.8554687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0.8554687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0.8554687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0.8554687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0.8554687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0.8554687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0.8554687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0.8554687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/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121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120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155</v>
      </c>
      <c r="E12" s="442"/>
      <c r="F12" s="442"/>
      <c r="G12" s="442"/>
      <c r="H12" s="443" t="s">
        <v>21</v>
      </c>
      <c r="I12" s="444"/>
      <c r="J12" s="445"/>
      <c r="K12" s="441" t="s">
        <v>160</v>
      </c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45190</v>
      </c>
      <c r="E13" s="486"/>
      <c r="F13" s="486"/>
      <c r="G13" s="486"/>
      <c r="H13" s="443" t="s">
        <v>23</v>
      </c>
      <c r="I13" s="444"/>
      <c r="J13" s="445"/>
      <c r="K13" s="441">
        <v>5</v>
      </c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119</v>
      </c>
      <c r="E14" s="442"/>
      <c r="F14" s="442"/>
      <c r="G14" s="442"/>
      <c r="H14" s="443" t="s">
        <v>24</v>
      </c>
      <c r="I14" s="444"/>
      <c r="J14" s="445"/>
      <c r="K14" s="441" t="s">
        <v>143</v>
      </c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>
        <v>0</v>
      </c>
      <c r="M15" s="446"/>
      <c r="N15" s="441" t="s">
        <v>141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7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133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7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56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7" s="19" customFormat="1" ht="43.5" customHeight="1" x14ac:dyDescent="0.25">
      <c r="A19" s="251">
        <v>45190</v>
      </c>
      <c r="B19" s="252">
        <v>0</v>
      </c>
      <c r="C19" s="252">
        <v>200</v>
      </c>
      <c r="D19" s="252">
        <f>+C19+B19</f>
        <v>200</v>
      </c>
      <c r="E19" s="252">
        <v>5</v>
      </c>
      <c r="F19" s="252">
        <v>0</v>
      </c>
      <c r="G19" s="252">
        <v>0</v>
      </c>
      <c r="H19" s="252"/>
      <c r="I19" s="252">
        <v>1</v>
      </c>
      <c r="J19" s="252">
        <v>1</v>
      </c>
      <c r="K19" s="525" t="s">
        <v>167</v>
      </c>
      <c r="L19" s="526"/>
      <c r="M19" s="526"/>
      <c r="N19" s="526"/>
      <c r="O19" s="526"/>
      <c r="P19" s="527"/>
    </row>
    <row r="20" spans="1:17" s="19" customFormat="1" ht="18" customHeight="1" x14ac:dyDescent="0.25">
      <c r="A20" s="251">
        <v>45204</v>
      </c>
      <c r="B20" s="229">
        <v>130</v>
      </c>
      <c r="C20" s="229">
        <v>0</v>
      </c>
      <c r="D20" s="229">
        <f t="shared" ref="D20:D21" si="0">+B20+C20</f>
        <v>130</v>
      </c>
      <c r="E20" s="229">
        <v>5</v>
      </c>
      <c r="F20" s="229">
        <v>70</v>
      </c>
      <c r="G20" s="257">
        <v>5</v>
      </c>
      <c r="H20" s="229"/>
      <c r="I20" s="229">
        <v>1</v>
      </c>
      <c r="J20" s="252"/>
      <c r="K20" s="490" t="s">
        <v>132</v>
      </c>
      <c r="L20" s="491"/>
      <c r="M20" s="491"/>
      <c r="N20" s="491"/>
      <c r="O20" s="491"/>
      <c r="P20" s="492"/>
    </row>
    <row r="21" spans="1:17" s="19" customFormat="1" ht="18" customHeight="1" x14ac:dyDescent="0.25">
      <c r="A21" s="251">
        <v>45217</v>
      </c>
      <c r="B21" s="187">
        <v>70</v>
      </c>
      <c r="C21" s="188">
        <v>400</v>
      </c>
      <c r="D21" s="229">
        <f t="shared" si="0"/>
        <v>470</v>
      </c>
      <c r="E21" s="190">
        <v>5</v>
      </c>
      <c r="F21" s="188">
        <v>60</v>
      </c>
      <c r="G21" s="255">
        <v>4.62</v>
      </c>
      <c r="H21" s="234"/>
      <c r="I21" s="190">
        <v>1</v>
      </c>
      <c r="J21" s="252">
        <v>1</v>
      </c>
      <c r="K21" s="490" t="s">
        <v>128</v>
      </c>
      <c r="L21" s="491"/>
      <c r="M21" s="491"/>
      <c r="N21" s="491"/>
      <c r="O21" s="491"/>
      <c r="P21" s="492"/>
    </row>
    <row r="22" spans="1:17" s="19" customFormat="1" ht="18" customHeight="1" x14ac:dyDescent="0.25">
      <c r="A22" s="186"/>
      <c r="B22" s="187"/>
      <c r="C22" s="188"/>
      <c r="D22" s="229"/>
      <c r="E22" s="190"/>
      <c r="F22" s="188"/>
      <c r="G22" s="255"/>
      <c r="H22" s="230"/>
      <c r="I22" s="190"/>
      <c r="J22" s="192"/>
      <c r="K22" s="490"/>
      <c r="L22" s="491"/>
      <c r="M22" s="491"/>
      <c r="N22" s="491"/>
      <c r="O22" s="491"/>
      <c r="P22" s="492"/>
    </row>
    <row r="23" spans="1:17" s="19" customFormat="1" ht="27.75" customHeight="1" x14ac:dyDescent="0.25">
      <c r="A23" s="186"/>
      <c r="B23" s="187"/>
      <c r="C23" s="188"/>
      <c r="D23" s="229"/>
      <c r="E23" s="188"/>
      <c r="F23" s="188"/>
      <c r="G23" s="256"/>
      <c r="H23" s="235"/>
      <c r="I23" s="190"/>
      <c r="J23" s="192"/>
      <c r="K23" s="525"/>
      <c r="L23" s="526"/>
      <c r="M23" s="526"/>
      <c r="N23" s="526"/>
      <c r="O23" s="526"/>
      <c r="P23" s="527"/>
    </row>
    <row r="24" spans="1:17" s="19" customFormat="1" ht="18" customHeight="1" x14ac:dyDescent="0.25">
      <c r="A24" s="186"/>
      <c r="B24" s="187"/>
      <c r="C24" s="188"/>
      <c r="D24" s="229"/>
      <c r="E24" s="190"/>
      <c r="F24" s="190"/>
      <c r="G24" s="255"/>
      <c r="H24" s="230"/>
      <c r="I24" s="190"/>
      <c r="J24" s="192"/>
      <c r="K24" s="490"/>
      <c r="L24" s="491"/>
      <c r="M24" s="491"/>
      <c r="N24" s="491"/>
      <c r="O24" s="491"/>
      <c r="P24" s="492"/>
      <c r="Q24" s="231"/>
    </row>
    <row r="25" spans="1:17" s="19" customFormat="1" ht="18" customHeight="1" x14ac:dyDescent="0.25">
      <c r="A25" s="186"/>
      <c r="B25" s="187"/>
      <c r="C25" s="188"/>
      <c r="D25" s="229"/>
      <c r="E25" s="190"/>
      <c r="F25" s="190"/>
      <c r="G25" s="255"/>
      <c r="H25" s="193"/>
      <c r="I25" s="190"/>
      <c r="J25" s="192"/>
      <c r="K25" s="490"/>
      <c r="L25" s="491"/>
      <c r="M25" s="491"/>
      <c r="N25" s="491"/>
      <c r="O25" s="491"/>
      <c r="P25" s="492"/>
      <c r="Q25" s="231"/>
    </row>
    <row r="26" spans="1:17" s="19" customFormat="1" ht="21.75" customHeight="1" x14ac:dyDescent="0.25">
      <c r="A26" s="186"/>
      <c r="B26" s="187"/>
      <c r="C26" s="188"/>
      <c r="D26" s="229"/>
      <c r="E26" s="190"/>
      <c r="F26" s="190"/>
      <c r="G26" s="255"/>
      <c r="H26" s="193"/>
      <c r="I26" s="190"/>
      <c r="J26" s="192"/>
      <c r="K26" s="490"/>
      <c r="L26" s="491"/>
      <c r="M26" s="491"/>
      <c r="N26" s="491"/>
      <c r="O26" s="491"/>
      <c r="P26" s="492"/>
      <c r="Q26" s="231"/>
    </row>
    <row r="27" spans="1:17" s="19" customFormat="1" ht="23.25" customHeight="1" x14ac:dyDescent="0.25">
      <c r="A27" s="186"/>
      <c r="B27" s="187"/>
      <c r="C27" s="188"/>
      <c r="D27" s="229"/>
      <c r="E27" s="190"/>
      <c r="F27" s="190"/>
      <c r="G27" s="255"/>
      <c r="H27" s="193"/>
      <c r="I27" s="190"/>
      <c r="J27" s="192"/>
      <c r="K27" s="490"/>
      <c r="L27" s="491"/>
      <c r="M27" s="491"/>
      <c r="N27" s="491"/>
      <c r="O27" s="491"/>
      <c r="P27" s="492"/>
    </row>
    <row r="28" spans="1:17" s="19" customFormat="1" ht="21.75" customHeight="1" x14ac:dyDescent="0.25">
      <c r="A28" s="186"/>
      <c r="B28" s="187"/>
      <c r="C28" s="188"/>
      <c r="D28" s="229"/>
      <c r="E28" s="190"/>
      <c r="F28" s="190"/>
      <c r="G28" s="255"/>
      <c r="H28" s="193"/>
      <c r="I28" s="190"/>
      <c r="J28" s="192"/>
      <c r="K28" s="490"/>
      <c r="L28" s="491"/>
      <c r="M28" s="491"/>
      <c r="N28" s="491"/>
      <c r="O28" s="491"/>
      <c r="P28" s="492"/>
    </row>
    <row r="29" spans="1:17" s="19" customFormat="1" ht="18" customHeight="1" x14ac:dyDescent="0.25">
      <c r="A29" s="186"/>
      <c r="B29" s="187"/>
      <c r="C29" s="188"/>
      <c r="D29" s="253"/>
      <c r="E29" s="190"/>
      <c r="F29" s="190"/>
      <c r="G29" s="255"/>
      <c r="H29" s="193"/>
      <c r="I29" s="190"/>
      <c r="J29" s="192"/>
      <c r="K29" s="490"/>
      <c r="L29" s="491"/>
      <c r="M29" s="491"/>
      <c r="N29" s="491"/>
      <c r="O29" s="491"/>
      <c r="P29" s="492"/>
    </row>
    <row r="30" spans="1:17" s="19" customFormat="1" ht="18" customHeight="1" x14ac:dyDescent="0.25">
      <c r="A30" s="186"/>
      <c r="B30" s="187"/>
      <c r="C30" s="188"/>
      <c r="D30" s="229"/>
      <c r="E30" s="190"/>
      <c r="F30" s="190"/>
      <c r="G30" s="255"/>
      <c r="H30" s="193"/>
      <c r="I30" s="190"/>
      <c r="J30" s="192"/>
      <c r="K30" s="490"/>
      <c r="L30" s="491"/>
      <c r="M30" s="491"/>
      <c r="N30" s="491"/>
      <c r="O30" s="491"/>
      <c r="P30" s="492"/>
    </row>
    <row r="31" spans="1:17" s="19" customFormat="1" ht="18" customHeight="1" x14ac:dyDescent="0.25">
      <c r="A31" s="186"/>
      <c r="B31" s="187"/>
      <c r="C31" s="188"/>
      <c r="D31" s="253"/>
      <c r="E31" s="190"/>
      <c r="F31" s="190"/>
      <c r="G31" s="255"/>
      <c r="H31" s="193"/>
      <c r="I31" s="190"/>
      <c r="J31" s="192"/>
      <c r="K31" s="490"/>
      <c r="L31" s="491"/>
      <c r="M31" s="491"/>
      <c r="N31" s="491"/>
      <c r="O31" s="491"/>
      <c r="P31" s="492"/>
    </row>
    <row r="32" spans="1:17" s="19" customFormat="1" ht="18" customHeight="1" x14ac:dyDescent="0.25">
      <c r="A32" s="186"/>
      <c r="B32" s="187"/>
      <c r="C32" s="188"/>
      <c r="D32" s="229"/>
      <c r="E32" s="188"/>
      <c r="F32" s="190"/>
      <c r="G32" s="235"/>
      <c r="H32" s="193"/>
      <c r="I32" s="190"/>
      <c r="J32" s="192"/>
      <c r="K32" s="490"/>
      <c r="L32" s="491"/>
      <c r="M32" s="491"/>
      <c r="N32" s="491"/>
      <c r="O32" s="491"/>
      <c r="P32" s="492"/>
    </row>
    <row r="33" spans="1:16" s="19" customFormat="1" ht="18" customHeight="1" x14ac:dyDescent="0.25">
      <c r="A33" s="186"/>
      <c r="B33" s="259"/>
      <c r="C33" s="259"/>
      <c r="D33" s="229"/>
      <c r="E33" s="188"/>
      <c r="F33" s="190"/>
      <c r="G33" s="260"/>
      <c r="H33" s="193"/>
      <c r="I33" s="190"/>
      <c r="J33" s="192"/>
      <c r="K33" s="490"/>
      <c r="L33" s="491"/>
      <c r="M33" s="491"/>
      <c r="N33" s="491"/>
      <c r="O33" s="491"/>
      <c r="P33" s="492"/>
    </row>
    <row r="34" spans="1:16" s="19" customFormat="1" ht="18" customHeight="1" x14ac:dyDescent="0.25">
      <c r="A34" s="186"/>
      <c r="B34" s="194"/>
      <c r="C34" s="194"/>
      <c r="D34" s="229"/>
      <c r="E34" s="188"/>
      <c r="F34" s="190"/>
      <c r="G34" s="260"/>
      <c r="H34" s="193"/>
      <c r="I34" s="190"/>
      <c r="J34" s="192"/>
      <c r="K34" s="490"/>
      <c r="L34" s="491"/>
      <c r="M34" s="491"/>
      <c r="N34" s="491"/>
      <c r="O34" s="491"/>
      <c r="P34" s="492"/>
    </row>
    <row r="35" spans="1:16" s="19" customFormat="1" ht="18" customHeight="1" x14ac:dyDescent="0.25">
      <c r="A35" s="186"/>
      <c r="B35" s="187"/>
      <c r="C35" s="188"/>
      <c r="D35" s="229"/>
      <c r="E35" s="188"/>
      <c r="F35" s="190"/>
      <c r="G35" s="255"/>
      <c r="H35" s="193"/>
      <c r="I35" s="190"/>
      <c r="J35" s="192"/>
      <c r="K35" s="490"/>
      <c r="L35" s="491"/>
      <c r="M35" s="491"/>
      <c r="N35" s="491"/>
      <c r="O35" s="491"/>
      <c r="P35" s="492"/>
    </row>
    <row r="36" spans="1:16" s="19" customFormat="1" ht="18" customHeight="1" x14ac:dyDescent="0.25">
      <c r="A36" s="186"/>
      <c r="B36" s="187"/>
      <c r="C36" s="188"/>
      <c r="D36" s="229"/>
      <c r="E36" s="188"/>
      <c r="F36" s="190"/>
      <c r="G36" s="255"/>
      <c r="H36" s="193"/>
      <c r="I36" s="190"/>
      <c r="J36" s="192"/>
      <c r="K36" s="490"/>
      <c r="L36" s="491"/>
      <c r="M36" s="491"/>
      <c r="N36" s="491"/>
      <c r="O36" s="491"/>
      <c r="P36" s="492"/>
    </row>
    <row r="37" spans="1:16" s="19" customFormat="1" ht="18" customHeight="1" x14ac:dyDescent="0.25">
      <c r="A37" s="186"/>
      <c r="B37" s="187"/>
      <c r="C37" s="188"/>
      <c r="D37" s="229"/>
      <c r="E37" s="188"/>
      <c r="F37" s="190"/>
      <c r="G37" s="189"/>
      <c r="H37" s="193"/>
      <c r="I37" s="190"/>
      <c r="J37" s="192"/>
      <c r="K37" s="490"/>
      <c r="L37" s="491"/>
      <c r="M37" s="491"/>
      <c r="N37" s="491"/>
      <c r="O37" s="491"/>
      <c r="P37" s="492"/>
    </row>
    <row r="38" spans="1:16" s="19" customFormat="1" ht="18" customHeight="1" x14ac:dyDescent="0.25">
      <c r="A38" s="186"/>
      <c r="B38" s="187"/>
      <c r="C38" s="188"/>
      <c r="D38" s="229"/>
      <c r="E38" s="188"/>
      <c r="F38" s="190"/>
      <c r="G38" s="189"/>
      <c r="H38" s="193"/>
      <c r="I38" s="190"/>
      <c r="J38" s="192"/>
      <c r="K38" s="490"/>
      <c r="L38" s="491"/>
      <c r="M38" s="491"/>
      <c r="N38" s="491"/>
      <c r="O38" s="491"/>
      <c r="P38" s="492"/>
    </row>
    <row r="39" spans="1:16" s="19" customFormat="1" ht="18" customHeight="1" x14ac:dyDescent="0.25">
      <c r="A39" s="186"/>
      <c r="B39" s="187"/>
      <c r="C39" s="188"/>
      <c r="D39" s="229"/>
      <c r="E39" s="188"/>
      <c r="F39" s="190"/>
      <c r="G39" s="255"/>
      <c r="H39" s="193"/>
      <c r="I39" s="190"/>
      <c r="J39" s="192"/>
      <c r="K39" s="490"/>
      <c r="L39" s="491"/>
      <c r="M39" s="491"/>
      <c r="N39" s="491"/>
      <c r="O39" s="491"/>
      <c r="P39" s="492"/>
    </row>
    <row r="40" spans="1:16" s="19" customFormat="1" ht="18" customHeight="1" x14ac:dyDescent="0.25">
      <c r="A40" s="186"/>
      <c r="B40" s="187"/>
      <c r="C40" s="188"/>
      <c r="D40" s="229"/>
      <c r="E40" s="188"/>
      <c r="F40" s="190"/>
      <c r="G40" s="255"/>
      <c r="H40" s="193"/>
      <c r="I40" s="190"/>
      <c r="J40" s="192"/>
      <c r="K40" s="490"/>
      <c r="L40" s="491"/>
      <c r="M40" s="491"/>
      <c r="N40" s="491"/>
      <c r="O40" s="491"/>
      <c r="P40" s="492"/>
    </row>
    <row r="41" spans="1:16" s="19" customFormat="1" ht="18" customHeight="1" x14ac:dyDescent="0.25">
      <c r="A41" s="186"/>
      <c r="B41" s="187"/>
      <c r="C41" s="188"/>
      <c r="D41" s="229"/>
      <c r="E41" s="188"/>
      <c r="F41" s="190"/>
      <c r="G41" s="255"/>
      <c r="H41" s="193"/>
      <c r="I41" s="190"/>
      <c r="J41" s="192"/>
      <c r="K41" s="490"/>
      <c r="L41" s="491"/>
      <c r="M41" s="491"/>
      <c r="N41" s="491"/>
      <c r="O41" s="491"/>
      <c r="P41" s="492"/>
    </row>
    <row r="42" spans="1:16" s="19" customFormat="1" ht="18" customHeight="1" x14ac:dyDescent="0.25">
      <c r="A42" s="186"/>
      <c r="B42" s="187"/>
      <c r="C42" s="188"/>
      <c r="D42" s="229"/>
      <c r="E42" s="188"/>
      <c r="F42" s="190"/>
      <c r="G42" s="255"/>
      <c r="H42" s="193"/>
      <c r="I42" s="190"/>
      <c r="J42" s="192"/>
      <c r="K42" s="490"/>
      <c r="L42" s="491"/>
      <c r="M42" s="491"/>
      <c r="N42" s="491"/>
      <c r="O42" s="491"/>
      <c r="P42" s="492"/>
    </row>
    <row r="43" spans="1:16" s="19" customFormat="1" ht="18" customHeight="1" x14ac:dyDescent="0.25">
      <c r="A43" s="186"/>
      <c r="B43" s="187"/>
      <c r="C43" s="188"/>
      <c r="D43" s="229"/>
      <c r="E43" s="188"/>
      <c r="F43" s="190"/>
      <c r="G43" s="255"/>
      <c r="H43" s="193"/>
      <c r="I43" s="190"/>
      <c r="J43" s="192"/>
      <c r="K43" s="490"/>
      <c r="L43" s="491"/>
      <c r="M43" s="491"/>
      <c r="N43" s="491"/>
      <c r="O43" s="491"/>
      <c r="P43" s="492"/>
    </row>
    <row r="44" spans="1:16" s="19" customFormat="1" ht="18" customHeight="1" x14ac:dyDescent="0.25">
      <c r="A44" s="186"/>
      <c r="B44" s="187"/>
      <c r="C44" s="188"/>
      <c r="D44" s="229"/>
      <c r="E44" s="194"/>
      <c r="F44" s="190"/>
      <c r="G44" s="255"/>
      <c r="H44" s="193"/>
      <c r="I44" s="190"/>
      <c r="J44" s="192"/>
      <c r="K44" s="490"/>
      <c r="L44" s="491"/>
      <c r="M44" s="491"/>
      <c r="N44" s="491"/>
      <c r="O44" s="491"/>
      <c r="P44" s="492"/>
    </row>
    <row r="45" spans="1:16" s="19" customFormat="1" ht="18" customHeight="1" x14ac:dyDescent="0.25">
      <c r="A45" s="186"/>
      <c r="B45" s="187"/>
      <c r="C45" s="188"/>
      <c r="D45" s="229"/>
      <c r="E45" s="194"/>
      <c r="F45" s="190"/>
      <c r="G45" s="255"/>
      <c r="H45" s="193"/>
      <c r="I45" s="190"/>
      <c r="J45" s="192"/>
      <c r="K45" s="490"/>
      <c r="L45" s="491"/>
      <c r="M45" s="491"/>
      <c r="N45" s="491"/>
      <c r="O45" s="491"/>
      <c r="P45" s="492"/>
    </row>
    <row r="46" spans="1:16" s="19" customFormat="1" ht="18" customHeight="1" x14ac:dyDescent="0.25">
      <c r="A46" s="186"/>
      <c r="B46" s="187"/>
      <c r="C46" s="188"/>
      <c r="D46" s="229"/>
      <c r="E46" s="194"/>
      <c r="F46" s="190"/>
      <c r="G46" s="255"/>
      <c r="H46" s="193"/>
      <c r="I46" s="190"/>
      <c r="J46" s="192"/>
      <c r="K46" s="490"/>
      <c r="L46" s="491"/>
      <c r="M46" s="491"/>
      <c r="N46" s="491"/>
      <c r="O46" s="491"/>
      <c r="P46" s="492"/>
    </row>
    <row r="47" spans="1:16" s="19" customFormat="1" ht="18" customHeight="1" x14ac:dyDescent="0.25">
      <c r="A47" s="186"/>
      <c r="B47" s="187"/>
      <c r="C47" s="188"/>
      <c r="D47" s="229"/>
      <c r="E47" s="194"/>
      <c r="F47" s="190"/>
      <c r="G47" s="255"/>
      <c r="H47" s="193"/>
      <c r="I47" s="190"/>
      <c r="J47" s="192"/>
      <c r="K47" s="490"/>
      <c r="L47" s="491"/>
      <c r="M47" s="491"/>
      <c r="N47" s="491"/>
      <c r="O47" s="491"/>
      <c r="P47" s="492"/>
    </row>
    <row r="48" spans="1:16" s="19" customFormat="1" ht="18" customHeight="1" x14ac:dyDescent="0.25">
      <c r="A48" s="186"/>
      <c r="B48" s="187"/>
      <c r="C48" s="188"/>
      <c r="D48" s="229"/>
      <c r="E48" s="194"/>
      <c r="F48" s="190"/>
      <c r="G48" s="255"/>
      <c r="H48" s="193"/>
      <c r="I48" s="190"/>
      <c r="J48" s="192"/>
      <c r="K48" s="490"/>
      <c r="L48" s="491"/>
      <c r="M48" s="491"/>
      <c r="N48" s="491"/>
      <c r="O48" s="491"/>
      <c r="P48" s="492"/>
    </row>
    <row r="49" spans="1:16" s="19" customFormat="1" ht="18" customHeight="1" x14ac:dyDescent="0.25">
      <c r="A49" s="186"/>
      <c r="B49" s="187"/>
      <c r="C49" s="188"/>
      <c r="D49" s="229"/>
      <c r="E49" s="194"/>
      <c r="F49" s="190"/>
      <c r="G49" s="255"/>
      <c r="H49" s="193"/>
      <c r="I49" s="190"/>
      <c r="J49" s="192"/>
      <c r="K49" s="490"/>
      <c r="L49" s="491"/>
      <c r="M49" s="491"/>
      <c r="N49" s="491"/>
      <c r="O49" s="491"/>
      <c r="P49" s="492"/>
    </row>
    <row r="50" spans="1:16" s="19" customFormat="1" ht="18" customHeight="1" x14ac:dyDescent="0.25">
      <c r="A50" s="186"/>
      <c r="B50" s="187"/>
      <c r="C50" s="188"/>
      <c r="D50" s="229"/>
      <c r="E50" s="194"/>
      <c r="F50" s="190"/>
      <c r="G50" s="255"/>
      <c r="H50" s="193"/>
      <c r="I50" s="190"/>
      <c r="J50" s="192"/>
      <c r="K50" s="490"/>
      <c r="L50" s="491"/>
      <c r="M50" s="491"/>
      <c r="N50" s="491"/>
      <c r="O50" s="491"/>
      <c r="P50" s="492"/>
    </row>
    <row r="51" spans="1:16" s="19" customFormat="1" ht="18" customHeight="1" x14ac:dyDescent="0.25">
      <c r="A51" s="186"/>
      <c r="B51" s="187"/>
      <c r="C51" s="188"/>
      <c r="D51" s="229"/>
      <c r="E51" s="194"/>
      <c r="F51" s="190"/>
      <c r="G51" s="255"/>
      <c r="H51" s="193"/>
      <c r="I51" s="190"/>
      <c r="J51" s="192"/>
      <c r="K51" s="490"/>
      <c r="L51" s="491"/>
      <c r="M51" s="491"/>
      <c r="N51" s="491"/>
      <c r="O51" s="491"/>
      <c r="P51" s="492"/>
    </row>
    <row r="52" spans="1:16" s="19" customFormat="1" ht="18" customHeight="1" x14ac:dyDescent="0.25">
      <c r="A52" s="186"/>
      <c r="B52" s="187"/>
      <c r="C52" s="188"/>
      <c r="D52" s="229"/>
      <c r="E52" s="194"/>
      <c r="F52" s="190"/>
      <c r="G52" s="255"/>
      <c r="H52" s="193"/>
      <c r="I52" s="190"/>
      <c r="J52" s="192"/>
      <c r="K52" s="490"/>
      <c r="L52" s="491"/>
      <c r="M52" s="491"/>
      <c r="N52" s="491"/>
      <c r="O52" s="491"/>
      <c r="P52" s="492"/>
    </row>
    <row r="53" spans="1:16" s="19" customFormat="1" ht="18" customHeight="1" x14ac:dyDescent="0.25">
      <c r="A53" s="186"/>
      <c r="B53" s="187"/>
      <c r="C53" s="188"/>
      <c r="D53" s="229"/>
      <c r="E53" s="194"/>
      <c r="F53" s="190"/>
      <c r="G53" s="255"/>
      <c r="H53" s="193"/>
      <c r="I53" s="190"/>
      <c r="J53" s="192"/>
      <c r="K53" s="490"/>
      <c r="L53" s="491"/>
      <c r="M53" s="491"/>
      <c r="N53" s="491"/>
      <c r="O53" s="491"/>
      <c r="P53" s="492"/>
    </row>
    <row r="54" spans="1:16" s="19" customFormat="1" ht="18" customHeight="1" x14ac:dyDescent="0.25">
      <c r="A54" s="186"/>
      <c r="B54" s="187"/>
      <c r="C54" s="188"/>
      <c r="D54" s="229"/>
      <c r="E54" s="194"/>
      <c r="F54" s="190"/>
      <c r="G54" s="255"/>
      <c r="H54" s="193"/>
      <c r="I54" s="190"/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/>
      <c r="B55" s="187"/>
      <c r="C55" s="188"/>
      <c r="D55" s="229"/>
      <c r="E55" s="194"/>
      <c r="F55" s="190"/>
      <c r="G55" s="255"/>
      <c r="H55" s="193"/>
      <c r="I55" s="190"/>
      <c r="J55" s="192"/>
      <c r="K55" s="490"/>
      <c r="L55" s="491"/>
      <c r="M55" s="491"/>
      <c r="N55" s="491"/>
      <c r="O55" s="491"/>
      <c r="P55" s="492"/>
    </row>
    <row r="56" spans="1:16" s="19" customFormat="1" ht="18" customHeight="1" x14ac:dyDescent="0.25">
      <c r="A56" s="186"/>
      <c r="B56" s="187"/>
      <c r="C56" s="188"/>
      <c r="D56" s="229"/>
      <c r="E56" s="194"/>
      <c r="F56" s="190"/>
      <c r="G56" s="255"/>
      <c r="H56" s="193"/>
      <c r="I56" s="190"/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/>
      <c r="B57" s="187"/>
      <c r="C57" s="188"/>
      <c r="D57" s="229"/>
      <c r="E57" s="194"/>
      <c r="F57" s="190"/>
      <c r="G57" s="255"/>
      <c r="H57" s="193"/>
      <c r="I57" s="190"/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/>
      <c r="B58" s="187"/>
      <c r="C58" s="188"/>
      <c r="D58" s="229"/>
      <c r="E58" s="194"/>
      <c r="F58" s="190"/>
      <c r="G58" s="255"/>
      <c r="H58" s="193"/>
      <c r="I58" s="190"/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/>
      <c r="B59" s="187"/>
      <c r="C59" s="188"/>
      <c r="D59" s="229"/>
      <c r="E59" s="194"/>
      <c r="F59" s="190"/>
      <c r="G59" s="255"/>
      <c r="H59" s="193"/>
      <c r="I59" s="190"/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/>
      <c r="B60" s="187"/>
      <c r="C60" s="188"/>
      <c r="D60" s="229"/>
      <c r="E60" s="194"/>
      <c r="F60" s="190"/>
      <c r="G60" s="255"/>
      <c r="H60" s="193"/>
      <c r="I60" s="190"/>
      <c r="J60" s="192"/>
      <c r="K60" s="490"/>
      <c r="L60" s="491"/>
      <c r="M60" s="491"/>
      <c r="N60" s="491"/>
      <c r="O60" s="491"/>
      <c r="P60" s="492"/>
    </row>
    <row r="61" spans="1:16" s="19" customFormat="1" ht="20.25" customHeight="1" x14ac:dyDescent="0.25">
      <c r="A61" s="186"/>
      <c r="B61" s="187"/>
      <c r="C61" s="188"/>
      <c r="D61" s="253"/>
      <c r="E61" s="194"/>
      <c r="F61" s="190"/>
      <c r="G61" s="255"/>
      <c r="H61" s="193"/>
      <c r="I61" s="190"/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86"/>
      <c r="B62" s="187"/>
      <c r="C62" s="188"/>
      <c r="D62" s="229"/>
      <c r="E62" s="194"/>
      <c r="F62" s="190"/>
      <c r="G62" s="189"/>
      <c r="H62" s="193"/>
      <c r="I62" s="190"/>
      <c r="J62" s="192"/>
      <c r="K62" s="490"/>
      <c r="L62" s="491"/>
      <c r="M62" s="491"/>
      <c r="N62" s="491"/>
      <c r="O62" s="491"/>
      <c r="P62" s="492"/>
    </row>
    <row r="63" spans="1:16" s="19" customFormat="1" ht="18" customHeight="1" x14ac:dyDescent="0.25">
      <c r="A63" s="186"/>
      <c r="B63" s="187"/>
      <c r="C63" s="188"/>
      <c r="D63" s="229"/>
      <c r="E63" s="194"/>
      <c r="F63" s="190"/>
      <c r="G63" s="189"/>
      <c r="H63" s="193"/>
      <c r="I63" s="190"/>
      <c r="J63" s="192"/>
      <c r="K63" s="490"/>
      <c r="L63" s="491"/>
      <c r="M63" s="491"/>
      <c r="N63" s="491"/>
      <c r="O63" s="491"/>
      <c r="P63" s="492"/>
    </row>
    <row r="64" spans="1:16" s="19" customFormat="1" ht="18" customHeight="1" x14ac:dyDescent="0.25">
      <c r="A64" s="186"/>
      <c r="B64" s="187"/>
      <c r="C64" s="188"/>
      <c r="D64" s="229"/>
      <c r="E64" s="194"/>
      <c r="F64" s="190"/>
      <c r="G64" s="189"/>
      <c r="H64" s="193"/>
      <c r="I64" s="190"/>
      <c r="J64" s="192"/>
      <c r="K64" s="490"/>
      <c r="L64" s="491"/>
      <c r="M64" s="491"/>
      <c r="N64" s="491"/>
      <c r="O64" s="491"/>
      <c r="P64" s="492"/>
    </row>
    <row r="65" spans="1:16" s="19" customFormat="1" ht="18" customHeight="1" x14ac:dyDescent="0.25">
      <c r="A65" s="186"/>
      <c r="B65" s="187"/>
      <c r="C65" s="188"/>
      <c r="D65" s="229"/>
      <c r="E65" s="194"/>
      <c r="F65" s="190"/>
      <c r="G65" s="189"/>
      <c r="H65" s="193"/>
      <c r="I65" s="190"/>
      <c r="J65" s="192"/>
      <c r="K65" s="490"/>
      <c r="L65" s="491"/>
      <c r="M65" s="491"/>
      <c r="N65" s="491"/>
      <c r="O65" s="491"/>
      <c r="P65" s="492"/>
    </row>
    <row r="66" spans="1:16" s="19" customFormat="1" ht="18" customHeight="1" x14ac:dyDescent="0.25">
      <c r="A66" s="186"/>
      <c r="B66" s="187"/>
      <c r="C66" s="188"/>
      <c r="D66" s="229"/>
      <c r="E66" s="194"/>
      <c r="F66" s="190"/>
      <c r="G66" s="255"/>
      <c r="H66" s="193"/>
      <c r="I66" s="190"/>
      <c r="J66" s="192"/>
      <c r="K66" s="490"/>
      <c r="L66" s="491"/>
      <c r="M66" s="491"/>
      <c r="N66" s="491"/>
      <c r="O66" s="491"/>
      <c r="P66" s="492"/>
    </row>
    <row r="67" spans="1:16" s="19" customFormat="1" ht="18" customHeight="1" x14ac:dyDescent="0.25">
      <c r="A67" s="186"/>
      <c r="B67" s="187"/>
      <c r="C67" s="188"/>
      <c r="D67" s="229"/>
      <c r="E67" s="194"/>
      <c r="F67" s="190"/>
      <c r="G67" s="189"/>
      <c r="H67" s="193"/>
      <c r="I67" s="190"/>
      <c r="J67" s="192"/>
      <c r="K67" s="490"/>
      <c r="L67" s="491"/>
      <c r="M67" s="491"/>
      <c r="N67" s="491"/>
      <c r="O67" s="491"/>
      <c r="P67" s="492"/>
    </row>
    <row r="68" spans="1:16" s="19" customFormat="1" ht="18" customHeight="1" x14ac:dyDescent="0.25">
      <c r="A68" s="186"/>
      <c r="B68" s="187"/>
      <c r="C68" s="188"/>
      <c r="D68" s="229"/>
      <c r="E68" s="194"/>
      <c r="F68" s="190"/>
      <c r="G68" s="255"/>
      <c r="H68" s="193"/>
      <c r="I68" s="190"/>
      <c r="J68" s="192"/>
      <c r="K68" s="490"/>
      <c r="L68" s="491"/>
      <c r="M68" s="491"/>
      <c r="N68" s="491"/>
      <c r="O68" s="491"/>
      <c r="P68" s="492"/>
    </row>
    <row r="69" spans="1:16" s="19" customFormat="1" ht="18" customHeight="1" x14ac:dyDescent="0.25">
      <c r="A69" s="186"/>
      <c r="B69" s="187"/>
      <c r="C69" s="188"/>
      <c r="D69" s="229"/>
      <c r="E69" s="194"/>
      <c r="F69" s="190"/>
      <c r="G69" s="255"/>
      <c r="H69" s="193"/>
      <c r="I69" s="190"/>
      <c r="J69" s="192"/>
      <c r="K69" s="490"/>
      <c r="L69" s="491"/>
      <c r="M69" s="491"/>
      <c r="N69" s="491"/>
      <c r="O69" s="491"/>
      <c r="P69" s="492"/>
    </row>
    <row r="70" spans="1:16" s="19" customFormat="1" ht="18" customHeight="1" x14ac:dyDescent="0.25">
      <c r="A70" s="186"/>
      <c r="B70" s="187"/>
      <c r="C70" s="188"/>
      <c r="D70" s="229"/>
      <c r="E70" s="194"/>
      <c r="F70" s="190"/>
      <c r="G70" s="255"/>
      <c r="H70" s="193"/>
      <c r="I70" s="190"/>
      <c r="J70" s="192"/>
      <c r="K70" s="490"/>
      <c r="L70" s="491"/>
      <c r="M70" s="491"/>
      <c r="N70" s="491"/>
      <c r="O70" s="491"/>
      <c r="P70" s="492"/>
    </row>
    <row r="71" spans="1:16" s="19" customFormat="1" ht="18" customHeight="1" x14ac:dyDescent="0.25">
      <c r="A71" s="186"/>
      <c r="B71" s="187"/>
      <c r="C71" s="188"/>
      <c r="D71" s="229"/>
      <c r="E71" s="194"/>
      <c r="F71" s="190"/>
      <c r="G71" s="255"/>
      <c r="H71" s="193"/>
      <c r="I71" s="190"/>
      <c r="J71" s="192"/>
      <c r="K71" s="490"/>
      <c r="L71" s="491"/>
      <c r="M71" s="491"/>
      <c r="N71" s="491"/>
      <c r="O71" s="491"/>
      <c r="P71" s="492"/>
    </row>
    <row r="72" spans="1:16" s="19" customFormat="1" ht="18" customHeight="1" x14ac:dyDescent="0.25">
      <c r="A72" s="186"/>
      <c r="B72" s="187"/>
      <c r="C72" s="188"/>
      <c r="D72" s="229"/>
      <c r="E72" s="194"/>
      <c r="F72" s="190"/>
      <c r="G72" s="255"/>
      <c r="H72" s="193"/>
      <c r="I72" s="190"/>
      <c r="J72" s="192"/>
      <c r="K72" s="490"/>
      <c r="L72" s="491"/>
      <c r="M72" s="491"/>
      <c r="N72" s="491"/>
      <c r="O72" s="491"/>
      <c r="P72" s="492"/>
    </row>
    <row r="73" spans="1:16" s="19" customFormat="1" ht="18" customHeight="1" x14ac:dyDescent="0.25">
      <c r="A73" s="186"/>
      <c r="B73" s="187"/>
      <c r="C73" s="188"/>
      <c r="D73" s="229"/>
      <c r="E73" s="194"/>
      <c r="F73" s="190"/>
      <c r="G73" s="189"/>
      <c r="H73" s="193"/>
      <c r="I73" s="190"/>
      <c r="J73" s="192"/>
      <c r="K73" s="490"/>
      <c r="L73" s="491"/>
      <c r="M73" s="491"/>
      <c r="N73" s="491"/>
      <c r="O73" s="491"/>
      <c r="P73" s="492"/>
    </row>
    <row r="74" spans="1:16" s="19" customFormat="1" ht="18" customHeight="1" x14ac:dyDescent="0.25">
      <c r="A74" s="186"/>
      <c r="B74" s="187"/>
      <c r="C74" s="188"/>
      <c r="D74" s="229"/>
      <c r="E74" s="194"/>
      <c r="F74" s="190"/>
      <c r="G74" s="189"/>
      <c r="H74" s="193"/>
      <c r="I74" s="190"/>
      <c r="J74" s="192"/>
      <c r="K74" s="490"/>
      <c r="L74" s="491"/>
      <c r="M74" s="491"/>
      <c r="N74" s="491"/>
      <c r="O74" s="491"/>
      <c r="P74" s="492"/>
    </row>
    <row r="75" spans="1:16" s="19" customFormat="1" ht="18" customHeight="1" x14ac:dyDescent="0.25">
      <c r="A75" s="186"/>
      <c r="B75" s="187"/>
      <c r="C75" s="188"/>
      <c r="D75" s="229"/>
      <c r="E75" s="194"/>
      <c r="F75" s="190"/>
      <c r="G75" s="189"/>
      <c r="H75" s="193"/>
      <c r="I75" s="190"/>
      <c r="J75" s="192"/>
      <c r="K75" s="490"/>
      <c r="L75" s="491"/>
      <c r="M75" s="491"/>
      <c r="N75" s="491"/>
      <c r="O75" s="491"/>
      <c r="P75" s="492"/>
    </row>
    <row r="76" spans="1:16" s="19" customFormat="1" ht="18" customHeight="1" x14ac:dyDescent="0.25">
      <c r="A76" s="186"/>
      <c r="B76" s="187"/>
      <c r="C76" s="188"/>
      <c r="D76" s="229"/>
      <c r="E76" s="194"/>
      <c r="F76" s="190"/>
      <c r="G76" s="255"/>
      <c r="H76" s="193"/>
      <c r="I76" s="190"/>
      <c r="J76" s="192"/>
      <c r="K76" s="490"/>
      <c r="L76" s="491"/>
      <c r="M76" s="491"/>
      <c r="N76" s="491"/>
      <c r="O76" s="491"/>
      <c r="P76" s="492"/>
    </row>
    <row r="77" spans="1:16" s="19" customFormat="1" ht="18" customHeight="1" x14ac:dyDescent="0.25">
      <c r="A77" s="186"/>
      <c r="B77" s="187"/>
      <c r="C77" s="188"/>
      <c r="D77" s="229"/>
      <c r="E77" s="194"/>
      <c r="F77" s="190"/>
      <c r="G77" s="255"/>
      <c r="H77" s="193"/>
      <c r="I77" s="190"/>
      <c r="J77" s="192"/>
      <c r="K77" s="490"/>
      <c r="L77" s="491"/>
      <c r="M77" s="491"/>
      <c r="N77" s="491"/>
      <c r="O77" s="491"/>
      <c r="P77" s="492"/>
    </row>
    <row r="78" spans="1:16" s="19" customFormat="1" ht="18" customHeight="1" x14ac:dyDescent="0.25">
      <c r="A78" s="186"/>
      <c r="B78" s="187"/>
      <c r="C78" s="188"/>
      <c r="D78" s="229"/>
      <c r="E78" s="194"/>
      <c r="F78" s="190"/>
      <c r="G78" s="189"/>
      <c r="H78" s="193"/>
      <c r="I78" s="190"/>
      <c r="J78" s="192"/>
      <c r="K78" s="490"/>
      <c r="L78" s="491"/>
      <c r="M78" s="491"/>
      <c r="N78" s="491"/>
      <c r="O78" s="491"/>
      <c r="P78" s="492"/>
    </row>
    <row r="79" spans="1:16" s="19" customFormat="1" ht="18" customHeight="1" x14ac:dyDescent="0.25">
      <c r="A79" s="186"/>
      <c r="B79" s="187"/>
      <c r="C79" s="188"/>
      <c r="D79" s="229"/>
      <c r="E79" s="194"/>
      <c r="F79" s="190"/>
      <c r="G79" s="255"/>
      <c r="H79" s="193"/>
      <c r="I79" s="190"/>
      <c r="J79" s="192"/>
      <c r="K79" s="490"/>
      <c r="L79" s="491"/>
      <c r="M79" s="491"/>
      <c r="N79" s="491"/>
      <c r="O79" s="491"/>
      <c r="P79" s="492"/>
    </row>
    <row r="80" spans="1:16" s="19" customFormat="1" ht="18" customHeight="1" x14ac:dyDescent="0.25">
      <c r="A80" s="186"/>
      <c r="B80" s="187"/>
      <c r="C80" s="188"/>
      <c r="D80" s="229"/>
      <c r="E80" s="190"/>
      <c r="F80" s="190"/>
      <c r="G80" s="189"/>
      <c r="H80" s="193"/>
      <c r="I80" s="190"/>
      <c r="J80" s="192"/>
      <c r="K80" s="490"/>
      <c r="L80" s="491"/>
      <c r="M80" s="491"/>
      <c r="N80" s="491"/>
      <c r="O80" s="491"/>
      <c r="P80" s="492"/>
    </row>
    <row r="81" spans="1:16" s="19" customFormat="1" ht="18" customHeight="1" x14ac:dyDescent="0.25">
      <c r="A81" s="186"/>
      <c r="B81" s="187"/>
      <c r="C81" s="188"/>
      <c r="D81" s="229"/>
      <c r="E81" s="190"/>
      <c r="F81" s="190"/>
      <c r="G81" s="189"/>
      <c r="H81" s="193"/>
      <c r="I81" s="190"/>
      <c r="J81" s="192"/>
      <c r="K81" s="490"/>
      <c r="L81" s="491"/>
      <c r="M81" s="491"/>
      <c r="N81" s="491"/>
      <c r="O81" s="491"/>
      <c r="P81" s="492"/>
    </row>
    <row r="82" spans="1:16" s="19" customFormat="1" ht="18" customHeight="1" x14ac:dyDescent="0.25">
      <c r="A82" s="186"/>
      <c r="B82" s="187"/>
      <c r="C82" s="188"/>
      <c r="D82" s="229"/>
      <c r="E82" s="190"/>
      <c r="F82" s="190"/>
      <c r="G82" s="255"/>
      <c r="H82" s="193"/>
      <c r="I82" s="190"/>
      <c r="J82" s="192"/>
      <c r="K82" s="490"/>
      <c r="L82" s="491"/>
      <c r="M82" s="491"/>
      <c r="N82" s="491"/>
      <c r="O82" s="491"/>
      <c r="P82" s="492"/>
    </row>
    <row r="83" spans="1:16" s="19" customFormat="1" ht="18" customHeight="1" x14ac:dyDescent="0.25">
      <c r="A83" s="186"/>
      <c r="B83" s="187"/>
      <c r="C83" s="188"/>
      <c r="D83" s="229"/>
      <c r="E83" s="190"/>
      <c r="F83" s="190"/>
      <c r="G83" s="189"/>
      <c r="H83" s="193"/>
      <c r="I83" s="190"/>
      <c r="J83" s="192"/>
      <c r="K83" s="490"/>
      <c r="L83" s="491"/>
      <c r="M83" s="491"/>
      <c r="N83" s="491"/>
      <c r="O83" s="491"/>
      <c r="P83" s="492"/>
    </row>
    <row r="84" spans="1:16" s="19" customFormat="1" ht="18" customHeight="1" x14ac:dyDescent="0.25">
      <c r="A84" s="186"/>
      <c r="B84" s="187"/>
      <c r="C84" s="188"/>
      <c r="D84" s="229"/>
      <c r="E84" s="190"/>
      <c r="F84" s="190"/>
      <c r="G84" s="189"/>
      <c r="H84" s="193"/>
      <c r="I84" s="190"/>
      <c r="J84" s="192"/>
      <c r="K84" s="490"/>
      <c r="L84" s="491"/>
      <c r="M84" s="491"/>
      <c r="N84" s="491"/>
      <c r="O84" s="491"/>
      <c r="P84" s="492"/>
    </row>
    <row r="85" spans="1:16" s="19" customFormat="1" ht="18" customHeight="1" x14ac:dyDescent="0.25">
      <c r="A85" s="186"/>
      <c r="B85" s="187"/>
      <c r="C85" s="188"/>
      <c r="D85" s="229"/>
      <c r="E85" s="190"/>
      <c r="F85" s="190"/>
      <c r="G85" s="255"/>
      <c r="H85" s="193"/>
      <c r="I85" s="190"/>
      <c r="J85" s="192"/>
      <c r="K85" s="490"/>
      <c r="L85" s="491"/>
      <c r="M85" s="491"/>
      <c r="N85" s="491"/>
      <c r="O85" s="491"/>
      <c r="P85" s="492"/>
    </row>
    <row r="86" spans="1:16" s="19" customFormat="1" ht="18" customHeight="1" x14ac:dyDescent="0.25">
      <c r="A86" s="186"/>
      <c r="B86" s="187"/>
      <c r="C86" s="188"/>
      <c r="D86" s="229"/>
      <c r="E86" s="190"/>
      <c r="F86" s="190"/>
      <c r="G86" s="189"/>
      <c r="H86" s="193"/>
      <c r="I86" s="190"/>
      <c r="J86" s="192"/>
      <c r="K86" s="490"/>
      <c r="L86" s="491"/>
      <c r="M86" s="491"/>
      <c r="N86" s="491"/>
      <c r="O86" s="491"/>
      <c r="P86" s="492"/>
    </row>
    <row r="87" spans="1:16" s="19" customFormat="1" ht="18" customHeight="1" x14ac:dyDescent="0.25">
      <c r="A87" s="186"/>
      <c r="B87" s="187"/>
      <c r="C87" s="188"/>
      <c r="D87" s="229"/>
      <c r="E87" s="190"/>
      <c r="F87" s="190"/>
      <c r="G87" s="189"/>
      <c r="H87" s="193"/>
      <c r="I87" s="190"/>
      <c r="J87" s="192"/>
      <c r="K87" s="490"/>
      <c r="L87" s="491"/>
      <c r="M87" s="491"/>
      <c r="N87" s="491"/>
      <c r="O87" s="491"/>
      <c r="P87" s="492"/>
    </row>
    <row r="88" spans="1:16" s="19" customFormat="1" ht="18" customHeight="1" x14ac:dyDescent="0.25">
      <c r="A88" s="186"/>
      <c r="B88" s="187"/>
      <c r="C88" s="188"/>
      <c r="D88" s="229"/>
      <c r="E88" s="190"/>
      <c r="F88" s="190"/>
      <c r="G88" s="255"/>
      <c r="H88" s="193"/>
      <c r="I88" s="190"/>
      <c r="J88" s="192"/>
      <c r="K88" s="490"/>
      <c r="L88" s="491"/>
      <c r="M88" s="491"/>
      <c r="N88" s="491"/>
      <c r="O88" s="491"/>
      <c r="P88" s="492"/>
    </row>
    <row r="89" spans="1:16" s="19" customFormat="1" ht="18" customHeight="1" x14ac:dyDescent="0.25">
      <c r="A89" s="186"/>
      <c r="B89" s="187"/>
      <c r="C89" s="188"/>
      <c r="D89" s="229"/>
      <c r="E89" s="190"/>
      <c r="F89" s="190"/>
      <c r="G89" s="255"/>
      <c r="H89" s="193"/>
      <c r="I89" s="190"/>
      <c r="J89" s="192"/>
      <c r="K89" s="490"/>
      <c r="L89" s="491"/>
      <c r="M89" s="491"/>
      <c r="N89" s="491"/>
      <c r="O89" s="491"/>
      <c r="P89" s="492"/>
    </row>
    <row r="90" spans="1:16" s="19" customFormat="1" ht="18" customHeight="1" x14ac:dyDescent="0.25">
      <c r="A90" s="186"/>
      <c r="B90" s="187"/>
      <c r="C90" s="188"/>
      <c r="D90" s="229"/>
      <c r="E90" s="190"/>
      <c r="F90" s="190"/>
      <c r="G90" s="255"/>
      <c r="H90" s="193"/>
      <c r="I90" s="190"/>
      <c r="J90" s="192"/>
      <c r="K90" s="490"/>
      <c r="L90" s="491"/>
      <c r="M90" s="491"/>
      <c r="N90" s="491"/>
      <c r="O90" s="491"/>
      <c r="P90" s="492"/>
    </row>
    <row r="91" spans="1:16" s="19" customFormat="1" ht="18" customHeight="1" x14ac:dyDescent="0.25">
      <c r="A91" s="186"/>
      <c r="B91" s="187"/>
      <c r="C91" s="188"/>
      <c r="D91" s="229"/>
      <c r="E91" s="190"/>
      <c r="F91" s="190"/>
      <c r="G91" s="255"/>
      <c r="H91" s="193"/>
      <c r="I91" s="190"/>
      <c r="J91" s="192"/>
      <c r="K91" s="490"/>
      <c r="L91" s="491"/>
      <c r="M91" s="491"/>
      <c r="N91" s="491"/>
      <c r="O91" s="491"/>
      <c r="P91" s="492"/>
    </row>
    <row r="92" spans="1:16" s="19" customFormat="1" ht="18" customHeight="1" x14ac:dyDescent="0.25">
      <c r="A92" s="186"/>
      <c r="B92" s="187"/>
      <c r="C92" s="188"/>
      <c r="D92" s="229"/>
      <c r="E92" s="190"/>
      <c r="F92" s="190"/>
      <c r="G92" s="189"/>
      <c r="H92" s="193"/>
      <c r="I92" s="190"/>
      <c r="J92" s="192"/>
      <c r="K92" s="490"/>
      <c r="L92" s="491"/>
      <c r="M92" s="491"/>
      <c r="N92" s="491"/>
      <c r="O92" s="491"/>
      <c r="P92" s="492"/>
    </row>
    <row r="93" spans="1:16" s="19" customFormat="1" ht="18" customHeight="1" x14ac:dyDescent="0.25">
      <c r="A93" s="186"/>
      <c r="B93" s="187"/>
      <c r="C93" s="188"/>
      <c r="D93" s="229"/>
      <c r="E93" s="190"/>
      <c r="F93" s="190"/>
      <c r="G93" s="189"/>
      <c r="H93" s="193"/>
      <c r="I93" s="190"/>
      <c r="J93" s="192"/>
      <c r="K93" s="490"/>
      <c r="L93" s="491"/>
      <c r="M93" s="491"/>
      <c r="N93" s="491"/>
      <c r="O93" s="491"/>
      <c r="P93" s="492"/>
    </row>
    <row r="94" spans="1:16" s="19" customFormat="1" ht="18" customHeight="1" x14ac:dyDescent="0.25">
      <c r="A94" s="186"/>
      <c r="B94" s="187"/>
      <c r="C94" s="188"/>
      <c r="D94" s="229"/>
      <c r="E94" s="190"/>
      <c r="F94" s="190"/>
      <c r="G94" s="189"/>
      <c r="H94" s="193"/>
      <c r="I94" s="190"/>
      <c r="J94" s="192"/>
      <c r="K94" s="490"/>
      <c r="L94" s="491"/>
      <c r="M94" s="491"/>
      <c r="N94" s="491"/>
      <c r="O94" s="491"/>
      <c r="P94" s="492"/>
    </row>
    <row r="95" spans="1:16" s="19" customFormat="1" ht="18" customHeight="1" x14ac:dyDescent="0.25">
      <c r="A95" s="186"/>
      <c r="B95" s="187"/>
      <c r="C95" s="188"/>
      <c r="D95" s="229"/>
      <c r="E95" s="190"/>
      <c r="F95" s="190"/>
      <c r="G95" s="189"/>
      <c r="H95" s="193"/>
      <c r="I95" s="190"/>
      <c r="J95" s="192"/>
      <c r="K95" s="490"/>
      <c r="L95" s="491"/>
      <c r="M95" s="491"/>
      <c r="N95" s="491"/>
      <c r="O95" s="491"/>
      <c r="P95" s="492"/>
    </row>
    <row r="96" spans="1:16" ht="15.75" x14ac:dyDescent="0.25">
      <c r="A96" s="186"/>
      <c r="B96" s="187"/>
      <c r="C96" s="188"/>
      <c r="D96" s="229"/>
      <c r="E96" s="190"/>
      <c r="F96" s="190"/>
      <c r="G96" s="189"/>
      <c r="H96" s="193"/>
      <c r="I96" s="190"/>
      <c r="J96" s="192"/>
      <c r="K96" s="490"/>
      <c r="L96" s="491"/>
      <c r="M96" s="491"/>
      <c r="N96" s="491"/>
      <c r="O96" s="491"/>
      <c r="P96" s="492"/>
    </row>
    <row r="97" spans="1:16" ht="15.75" x14ac:dyDescent="0.25">
      <c r="A97" s="186"/>
      <c r="B97" s="187"/>
      <c r="C97" s="188"/>
      <c r="D97" s="229"/>
      <c r="E97" s="190"/>
      <c r="F97" s="188"/>
      <c r="G97" s="189"/>
      <c r="H97" s="187"/>
      <c r="I97" s="190"/>
      <c r="J97" s="192"/>
      <c r="K97" s="490"/>
      <c r="L97" s="491"/>
      <c r="M97" s="491"/>
      <c r="N97" s="491"/>
      <c r="O97" s="491"/>
      <c r="P97" s="492"/>
    </row>
    <row r="98" spans="1:16" ht="15.75" x14ac:dyDescent="0.25">
      <c r="A98" s="186"/>
      <c r="B98" s="187"/>
      <c r="C98" s="188"/>
      <c r="D98" s="229"/>
      <c r="E98" s="190"/>
      <c r="F98" s="188"/>
      <c r="G98" s="189"/>
      <c r="H98" s="187"/>
      <c r="I98" s="190"/>
      <c r="J98" s="192"/>
      <c r="K98" s="490"/>
      <c r="L98" s="491"/>
      <c r="M98" s="491"/>
      <c r="N98" s="491"/>
      <c r="O98" s="491"/>
      <c r="P98" s="492"/>
    </row>
    <row r="99" spans="1:16" ht="17.25" customHeight="1" x14ac:dyDescent="0.25">
      <c r="A99" s="186"/>
      <c r="B99" s="187"/>
      <c r="C99" s="188"/>
      <c r="D99" s="189"/>
      <c r="E99" s="190"/>
      <c r="F99" s="190"/>
      <c r="G99" s="255"/>
      <c r="H99" s="193"/>
      <c r="I99" s="190"/>
      <c r="J99" s="192"/>
      <c r="K99" s="490"/>
      <c r="L99" s="491"/>
      <c r="M99" s="491"/>
      <c r="N99" s="491"/>
      <c r="O99" s="491"/>
      <c r="P99" s="492"/>
    </row>
    <row r="100" spans="1:16" ht="17.25" customHeight="1" x14ac:dyDescent="0.25">
      <c r="A100" s="186"/>
      <c r="B100" s="187"/>
      <c r="C100" s="188"/>
      <c r="D100" s="189"/>
      <c r="E100" s="190"/>
      <c r="F100" s="190"/>
      <c r="G100" s="189"/>
      <c r="H100" s="193"/>
      <c r="I100" s="190"/>
      <c r="J100" s="192"/>
      <c r="K100" s="525"/>
      <c r="L100" s="526"/>
      <c r="M100" s="526"/>
      <c r="N100" s="526"/>
      <c r="O100" s="526"/>
      <c r="P100" s="527"/>
    </row>
    <row r="101" spans="1:16" ht="17.25" customHeight="1" x14ac:dyDescent="0.25">
      <c r="A101" s="186"/>
      <c r="B101" s="187"/>
      <c r="C101" s="188"/>
      <c r="D101" s="189"/>
      <c r="E101" s="190"/>
      <c r="F101" s="190"/>
      <c r="G101" s="189"/>
      <c r="H101" s="193"/>
      <c r="I101" s="190"/>
      <c r="J101" s="192"/>
      <c r="K101" s="490"/>
      <c r="L101" s="491"/>
      <c r="M101" s="491"/>
      <c r="N101" s="491"/>
      <c r="O101" s="491"/>
      <c r="P101" s="492"/>
    </row>
    <row r="102" spans="1:16" ht="17.25" customHeight="1" x14ac:dyDescent="0.25">
      <c r="A102" s="186"/>
      <c r="B102" s="187"/>
      <c r="C102" s="188"/>
      <c r="D102" s="189"/>
      <c r="E102" s="190"/>
      <c r="F102" s="190"/>
      <c r="G102" s="189"/>
      <c r="H102" s="193"/>
      <c r="I102" s="190"/>
      <c r="J102" s="192"/>
      <c r="K102" s="525"/>
      <c r="L102" s="526"/>
      <c r="M102" s="526"/>
      <c r="N102" s="526"/>
      <c r="O102" s="526"/>
      <c r="P102" s="527"/>
    </row>
    <row r="103" spans="1:16" ht="17.25" customHeight="1" x14ac:dyDescent="0.25">
      <c r="A103" s="186"/>
      <c r="B103" s="187"/>
      <c r="C103" s="188"/>
      <c r="D103" s="189"/>
      <c r="E103" s="190"/>
      <c r="F103" s="190"/>
      <c r="G103" s="189"/>
      <c r="H103" s="193"/>
      <c r="I103" s="190"/>
      <c r="J103" s="192"/>
      <c r="K103" s="490"/>
      <c r="L103" s="491"/>
      <c r="M103" s="491"/>
      <c r="N103" s="491"/>
      <c r="O103" s="491"/>
      <c r="P103" s="492"/>
    </row>
    <row r="104" spans="1:16" ht="17.25" customHeight="1" x14ac:dyDescent="0.25">
      <c r="A104" s="186"/>
      <c r="B104" s="187"/>
      <c r="C104" s="188"/>
      <c r="D104" s="189"/>
      <c r="E104" s="190"/>
      <c r="F104" s="190"/>
      <c r="G104" s="189"/>
      <c r="H104" s="193"/>
      <c r="I104" s="190"/>
      <c r="J104" s="192"/>
      <c r="K104" s="490"/>
      <c r="L104" s="491"/>
      <c r="M104" s="491"/>
      <c r="N104" s="491"/>
      <c r="O104" s="491"/>
      <c r="P104" s="492"/>
    </row>
    <row r="105" spans="1:16" ht="17.25" customHeight="1" x14ac:dyDescent="0.25">
      <c r="A105" s="186"/>
      <c r="B105" s="187"/>
      <c r="C105" s="188"/>
      <c r="D105" s="189"/>
      <c r="E105" s="190"/>
      <c r="F105" s="190"/>
      <c r="G105" s="189"/>
      <c r="H105" s="193"/>
      <c r="I105" s="190"/>
      <c r="J105" s="192"/>
      <c r="K105" s="490"/>
      <c r="L105" s="491"/>
      <c r="M105" s="491"/>
      <c r="N105" s="491"/>
      <c r="O105" s="491"/>
      <c r="P105" s="492"/>
    </row>
    <row r="106" spans="1:16" ht="17.25" customHeight="1" x14ac:dyDescent="0.25">
      <c r="A106" s="186"/>
      <c r="B106" s="187"/>
      <c r="C106" s="188"/>
      <c r="D106" s="189"/>
      <c r="E106" s="190"/>
      <c r="F106" s="190"/>
      <c r="G106" s="255"/>
      <c r="H106" s="193"/>
      <c r="I106" s="190"/>
      <c r="J106" s="192"/>
      <c r="K106" s="490"/>
      <c r="L106" s="491"/>
      <c r="M106" s="491"/>
      <c r="N106" s="491"/>
      <c r="O106" s="491"/>
      <c r="P106" s="492"/>
    </row>
    <row r="107" spans="1:16" ht="17.25" customHeight="1" x14ac:dyDescent="0.25">
      <c r="A107" s="186"/>
      <c r="B107" s="187"/>
      <c r="C107" s="188"/>
      <c r="D107" s="189"/>
      <c r="E107" s="190"/>
      <c r="F107" s="190"/>
      <c r="G107" s="189"/>
      <c r="H107" s="193"/>
      <c r="I107" s="190"/>
      <c r="J107" s="192"/>
      <c r="K107" s="490"/>
      <c r="L107" s="491"/>
      <c r="M107" s="491"/>
      <c r="N107" s="491"/>
      <c r="O107" s="491"/>
      <c r="P107" s="492"/>
    </row>
    <row r="108" spans="1:16" ht="17.25" customHeight="1" x14ac:dyDescent="0.25">
      <c r="A108" s="186"/>
      <c r="B108" s="187"/>
      <c r="C108" s="188"/>
      <c r="D108" s="189"/>
      <c r="E108" s="190"/>
      <c r="F108" s="190"/>
      <c r="G108" s="189"/>
      <c r="H108" s="193"/>
      <c r="I108" s="190"/>
      <c r="J108" s="192"/>
      <c r="K108" s="490"/>
      <c r="L108" s="491"/>
      <c r="M108" s="491"/>
      <c r="N108" s="491"/>
      <c r="O108" s="491"/>
      <c r="P108" s="492"/>
    </row>
    <row r="109" spans="1:16" ht="17.25" customHeight="1" x14ac:dyDescent="0.25">
      <c r="A109" s="186"/>
      <c r="B109" s="187"/>
      <c r="C109" s="188"/>
      <c r="D109" s="189"/>
      <c r="E109" s="190"/>
      <c r="F109" s="190"/>
      <c r="G109" s="189"/>
      <c r="H109" s="193"/>
      <c r="I109" s="190"/>
      <c r="J109" s="192"/>
      <c r="K109" s="525"/>
      <c r="L109" s="526"/>
      <c r="M109" s="526"/>
      <c r="N109" s="526"/>
      <c r="O109" s="526"/>
      <c r="P109" s="527"/>
    </row>
    <row r="110" spans="1:16" ht="17.25" customHeight="1" x14ac:dyDescent="0.25">
      <c r="A110" s="186"/>
      <c r="B110" s="187"/>
      <c r="C110" s="188"/>
      <c r="D110" s="189"/>
      <c r="E110" s="190"/>
      <c r="F110" s="190"/>
      <c r="G110" s="255"/>
      <c r="H110" s="193"/>
      <c r="I110" s="190"/>
      <c r="J110" s="192"/>
      <c r="K110" s="525"/>
      <c r="L110" s="526"/>
      <c r="M110" s="526"/>
      <c r="N110" s="526"/>
      <c r="O110" s="526"/>
      <c r="P110" s="527"/>
    </row>
    <row r="111" spans="1:16" ht="17.25" customHeight="1" x14ac:dyDescent="0.25">
      <c r="A111" s="186"/>
      <c r="B111" s="187"/>
      <c r="C111" s="188"/>
      <c r="D111" s="189"/>
      <c r="E111" s="190"/>
      <c r="F111" s="190"/>
      <c r="G111" s="255"/>
      <c r="H111" s="193"/>
      <c r="I111" s="190"/>
      <c r="J111" s="192"/>
      <c r="K111" s="525"/>
      <c r="L111" s="526"/>
      <c r="M111" s="526"/>
      <c r="N111" s="526"/>
      <c r="O111" s="526"/>
      <c r="P111" s="527"/>
    </row>
    <row r="112" spans="1:16" ht="17.25" customHeight="1" x14ac:dyDescent="0.25">
      <c r="A112" s="186"/>
      <c r="B112" s="187"/>
      <c r="C112" s="188"/>
      <c r="D112" s="189"/>
      <c r="E112" s="190"/>
      <c r="F112" s="190"/>
      <c r="G112" s="189"/>
      <c r="H112" s="193"/>
      <c r="I112" s="190"/>
      <c r="J112" s="192"/>
      <c r="K112" s="490"/>
      <c r="L112" s="491"/>
      <c r="M112" s="491"/>
      <c r="N112" s="491"/>
      <c r="O112" s="491"/>
      <c r="P112" s="492"/>
    </row>
    <row r="113" spans="1:16" ht="17.25" customHeight="1" x14ac:dyDescent="0.25">
      <c r="A113" s="186"/>
      <c r="B113" s="187"/>
      <c r="C113" s="188"/>
      <c r="D113" s="189"/>
      <c r="E113" s="190"/>
      <c r="F113" s="190"/>
      <c r="G113" s="255"/>
      <c r="H113" s="193"/>
      <c r="I113" s="190"/>
      <c r="J113" s="192"/>
      <c r="K113" s="490"/>
      <c r="L113" s="491"/>
      <c r="M113" s="491"/>
      <c r="N113" s="491"/>
      <c r="O113" s="491"/>
      <c r="P113" s="492"/>
    </row>
    <row r="114" spans="1:16" ht="17.25" customHeight="1" x14ac:dyDescent="0.25">
      <c r="A114" s="186"/>
      <c r="B114" s="187"/>
      <c r="C114" s="188"/>
      <c r="D114" s="189"/>
      <c r="E114" s="190"/>
      <c r="F114" s="190"/>
      <c r="G114" s="189"/>
      <c r="H114" s="193"/>
      <c r="I114" s="190"/>
      <c r="J114" s="192"/>
      <c r="K114" s="263"/>
      <c r="L114" s="264"/>
      <c r="M114" s="264"/>
      <c r="N114" s="264"/>
      <c r="O114" s="264"/>
      <c r="P114" s="265"/>
    </row>
    <row r="115" spans="1:16" ht="17.25" customHeight="1" x14ac:dyDescent="0.25">
      <c r="A115" s="186"/>
      <c r="B115" s="187"/>
      <c r="C115" s="188"/>
      <c r="D115" s="189"/>
      <c r="E115" s="190"/>
      <c r="F115" s="190"/>
      <c r="G115" s="189"/>
      <c r="H115" s="193"/>
      <c r="I115" s="190"/>
      <c r="J115" s="192"/>
      <c r="K115" s="263"/>
      <c r="L115" s="264"/>
      <c r="M115" s="264"/>
      <c r="N115" s="264"/>
      <c r="O115" s="264"/>
      <c r="P115" s="265"/>
    </row>
    <row r="116" spans="1:16" ht="17.25" customHeight="1" x14ac:dyDescent="0.25">
      <c r="A116" s="186"/>
      <c r="B116" s="187"/>
      <c r="C116" s="188"/>
      <c r="D116" s="189"/>
      <c r="E116" s="190"/>
      <c r="F116" s="190"/>
      <c r="G116" s="189"/>
      <c r="H116" s="193"/>
      <c r="I116" s="190"/>
      <c r="J116" s="192"/>
      <c r="K116" s="263"/>
      <c r="L116" s="264"/>
      <c r="M116" s="264"/>
      <c r="N116" s="264"/>
      <c r="O116" s="264"/>
      <c r="P116" s="265"/>
    </row>
    <row r="117" spans="1:16" ht="18" customHeight="1" x14ac:dyDescent="0.25">
      <c r="A117" s="186"/>
      <c r="B117" s="187"/>
      <c r="C117" s="188"/>
      <c r="D117" s="189"/>
      <c r="E117" s="190"/>
      <c r="F117" s="190"/>
      <c r="G117" s="189"/>
      <c r="H117" s="193"/>
      <c r="I117" s="190"/>
      <c r="J117" s="192"/>
      <c r="K117" s="490"/>
      <c r="L117" s="491"/>
      <c r="M117" s="491"/>
      <c r="N117" s="491"/>
      <c r="O117" s="491"/>
      <c r="P117" s="492"/>
    </row>
    <row r="118" spans="1:16" ht="18" customHeight="1" x14ac:dyDescent="0.25">
      <c r="A118" s="186"/>
      <c r="B118" s="187"/>
      <c r="C118" s="188"/>
      <c r="D118" s="189"/>
      <c r="E118" s="190"/>
      <c r="F118" s="190"/>
      <c r="G118" s="189"/>
      <c r="H118" s="193"/>
      <c r="I118" s="190"/>
      <c r="J118" s="192"/>
      <c r="K118" s="490"/>
      <c r="L118" s="491"/>
      <c r="M118" s="491"/>
      <c r="N118" s="491"/>
      <c r="O118" s="491"/>
      <c r="P118" s="492"/>
    </row>
    <row r="119" spans="1:16" ht="18" customHeight="1" x14ac:dyDescent="0.25">
      <c r="A119" s="186"/>
      <c r="B119" s="187"/>
      <c r="C119" s="188"/>
      <c r="D119" s="189"/>
      <c r="E119" s="190"/>
      <c r="F119" s="190"/>
      <c r="G119" s="189"/>
      <c r="H119" s="193"/>
      <c r="I119" s="190"/>
      <c r="J119" s="192"/>
      <c r="K119" s="490"/>
      <c r="L119" s="491"/>
      <c r="M119" s="491"/>
      <c r="N119" s="491"/>
      <c r="O119" s="491"/>
      <c r="P119" s="492"/>
    </row>
    <row r="120" spans="1:16" ht="18" customHeight="1" x14ac:dyDescent="0.25">
      <c r="A120" s="186"/>
      <c r="B120" s="187"/>
      <c r="C120" s="188"/>
      <c r="D120" s="189"/>
      <c r="E120" s="190"/>
      <c r="F120" s="190"/>
      <c r="G120" s="189"/>
      <c r="H120" s="193"/>
      <c r="I120" s="190"/>
      <c r="J120" s="192"/>
      <c r="K120" s="490"/>
      <c r="L120" s="491"/>
      <c r="M120" s="491"/>
      <c r="N120" s="491"/>
      <c r="O120" s="491"/>
      <c r="P120" s="492"/>
    </row>
    <row r="121" spans="1:16" ht="18" customHeight="1" x14ac:dyDescent="0.25">
      <c r="A121" s="186"/>
      <c r="B121" s="187"/>
      <c r="C121" s="188"/>
      <c r="D121" s="189"/>
      <c r="E121" s="190"/>
      <c r="F121" s="190"/>
      <c r="G121" s="189"/>
      <c r="H121" s="193"/>
      <c r="I121" s="190"/>
      <c r="J121" s="192"/>
      <c r="K121" s="490"/>
      <c r="L121" s="491"/>
      <c r="M121" s="491"/>
      <c r="N121" s="491"/>
      <c r="O121" s="491"/>
      <c r="P121" s="492"/>
    </row>
    <row r="122" spans="1:16" ht="18" customHeight="1" x14ac:dyDescent="0.25">
      <c r="A122" s="186"/>
      <c r="B122" s="187"/>
      <c r="C122" s="188"/>
      <c r="D122" s="189"/>
      <c r="E122" s="190"/>
      <c r="F122" s="190"/>
      <c r="G122" s="189"/>
      <c r="H122" s="193"/>
      <c r="I122" s="190"/>
      <c r="J122" s="192"/>
      <c r="K122" s="490"/>
      <c r="L122" s="491"/>
      <c r="M122" s="491"/>
      <c r="N122" s="491"/>
      <c r="O122" s="491"/>
      <c r="P122" s="492"/>
    </row>
    <row r="123" spans="1:16" ht="18" customHeight="1" x14ac:dyDescent="0.25">
      <c r="A123" s="186"/>
      <c r="B123" s="187"/>
      <c r="C123" s="188"/>
      <c r="D123" s="189"/>
      <c r="E123" s="190"/>
      <c r="F123" s="190"/>
      <c r="G123" s="189"/>
      <c r="H123" s="193"/>
      <c r="I123" s="190"/>
      <c r="J123" s="192"/>
      <c r="K123" s="490"/>
      <c r="L123" s="491"/>
      <c r="M123" s="491"/>
      <c r="N123" s="491"/>
      <c r="O123" s="491"/>
      <c r="P123" s="492"/>
    </row>
    <row r="124" spans="1:16" ht="18" customHeight="1" x14ac:dyDescent="0.25">
      <c r="A124" s="186"/>
      <c r="B124" s="187"/>
      <c r="C124" s="188"/>
      <c r="D124" s="189"/>
      <c r="E124" s="190"/>
      <c r="F124" s="190"/>
      <c r="G124" s="189"/>
      <c r="H124" s="193"/>
      <c r="I124" s="190"/>
      <c r="J124" s="192"/>
      <c r="K124" s="490"/>
      <c r="L124" s="491"/>
      <c r="M124" s="491"/>
      <c r="N124" s="491"/>
      <c r="O124" s="491"/>
      <c r="P124" s="492"/>
    </row>
    <row r="125" spans="1:16" ht="18" customHeight="1" x14ac:dyDescent="0.25">
      <c r="A125" s="186"/>
      <c r="B125" s="187"/>
      <c r="C125" s="188"/>
      <c r="D125" s="189"/>
      <c r="E125" s="190"/>
      <c r="F125" s="190"/>
      <c r="G125" s="189"/>
      <c r="H125" s="193"/>
      <c r="I125" s="190"/>
      <c r="J125" s="192"/>
      <c r="K125" s="490"/>
      <c r="L125" s="491"/>
      <c r="M125" s="491"/>
      <c r="N125" s="491"/>
      <c r="O125" s="491"/>
      <c r="P125" s="492"/>
    </row>
    <row r="126" spans="1:16" ht="18" customHeight="1" thickBot="1" x14ac:dyDescent="0.3">
      <c r="A126" s="236"/>
      <c r="B126" s="242"/>
      <c r="C126" s="243"/>
      <c r="D126" s="244"/>
      <c r="E126" s="245"/>
      <c r="F126" s="246"/>
      <c r="G126" s="249"/>
      <c r="H126" s="247"/>
      <c r="I126" s="239"/>
      <c r="J126" s="241"/>
      <c r="K126" s="528"/>
      <c r="L126" s="529"/>
      <c r="M126" s="529"/>
      <c r="N126" s="529"/>
      <c r="O126" s="529"/>
      <c r="P126" s="530"/>
    </row>
    <row r="127" spans="1:16" ht="16.5" thickBot="1" x14ac:dyDescent="0.3">
      <c r="A127" s="501" t="s">
        <v>30</v>
      </c>
      <c r="B127" s="502"/>
      <c r="C127" s="503"/>
      <c r="D127" s="63"/>
      <c r="E127" s="64"/>
      <c r="F127" s="248">
        <f>SUM(C19:C21)</f>
        <v>600</v>
      </c>
      <c r="G127" s="66"/>
      <c r="H127" s="67"/>
      <c r="I127" s="65">
        <f>SUM(I121:I126)</f>
        <v>0</v>
      </c>
      <c r="J127" s="66">
        <f>SUM(J121:J126)</f>
        <v>0</v>
      </c>
      <c r="K127" s="504"/>
      <c r="L127" s="505"/>
      <c r="M127" s="505"/>
      <c r="N127" s="505"/>
      <c r="O127" s="505"/>
      <c r="P127" s="506"/>
    </row>
    <row r="128" spans="1:16" x14ac:dyDescent="0.25">
      <c r="A128" s="68"/>
      <c r="B128" s="507"/>
      <c r="C128" s="507"/>
      <c r="D128" s="508"/>
      <c r="E128" s="508"/>
      <c r="F128" s="69"/>
      <c r="G128" s="69"/>
      <c r="H128" s="70"/>
      <c r="I128" s="71"/>
      <c r="J128" s="71"/>
      <c r="K128" s="72"/>
      <c r="L128" s="508"/>
      <c r="M128" s="508"/>
      <c r="N128" s="508"/>
      <c r="O128" s="508"/>
      <c r="P128" s="509"/>
    </row>
    <row r="129" spans="1:16" ht="15.75" x14ac:dyDescent="0.25">
      <c r="A129" s="73" t="s">
        <v>26</v>
      </c>
      <c r="B129" s="74"/>
      <c r="C129" s="74"/>
      <c r="D129" s="74"/>
      <c r="E129" s="74"/>
      <c r="F129" s="74"/>
      <c r="G129" s="74"/>
      <c r="H129" s="75"/>
      <c r="I129" s="74"/>
      <c r="J129" s="74"/>
      <c r="K129" s="74"/>
      <c r="L129" s="74"/>
      <c r="M129" s="74"/>
      <c r="N129" s="74"/>
      <c r="O129" s="74"/>
      <c r="P129" s="76"/>
    </row>
    <row r="130" spans="1:16" x14ac:dyDescent="0.25">
      <c r="A130" s="77"/>
      <c r="B130" s="493"/>
      <c r="C130" s="493"/>
      <c r="D130" s="493"/>
      <c r="E130" s="493"/>
      <c r="F130" s="78"/>
      <c r="G130" s="78"/>
      <c r="H130" s="79"/>
      <c r="I130" s="493"/>
      <c r="J130" s="493"/>
      <c r="K130" s="80"/>
      <c r="L130" s="493"/>
      <c r="M130" s="493"/>
      <c r="N130" s="493"/>
      <c r="O130" s="493"/>
      <c r="P130" s="494"/>
    </row>
    <row r="131" spans="1:16" x14ac:dyDescent="0.25">
      <c r="A131" s="81"/>
      <c r="B131" s="82"/>
      <c r="C131" s="82"/>
      <c r="D131" s="82"/>
      <c r="E131" s="82"/>
      <c r="F131" s="82"/>
      <c r="G131" s="82"/>
      <c r="H131" s="83"/>
      <c r="I131" s="82"/>
      <c r="J131" s="82"/>
      <c r="K131" s="82"/>
      <c r="L131" s="82"/>
      <c r="M131" s="82"/>
      <c r="N131" s="82"/>
      <c r="O131" s="82"/>
      <c r="P131" s="84"/>
    </row>
  </sheetData>
  <mergeCells count="154">
    <mergeCell ref="B128:C128"/>
    <mergeCell ref="D128:E128"/>
    <mergeCell ref="L128:P128"/>
    <mergeCell ref="B130:C130"/>
    <mergeCell ref="D130:E130"/>
    <mergeCell ref="I130:J130"/>
    <mergeCell ref="L130:P130"/>
    <mergeCell ref="K122:P122"/>
    <mergeCell ref="K123:P123"/>
    <mergeCell ref="K124:P124"/>
    <mergeCell ref="K125:P125"/>
    <mergeCell ref="K126:P126"/>
    <mergeCell ref="A127:C127"/>
    <mergeCell ref="K127:P127"/>
    <mergeCell ref="K113:P113"/>
    <mergeCell ref="K117:P117"/>
    <mergeCell ref="K118:P118"/>
    <mergeCell ref="K119:P119"/>
    <mergeCell ref="K120:P120"/>
    <mergeCell ref="K121:P121"/>
    <mergeCell ref="K107:P107"/>
    <mergeCell ref="K108:P108"/>
    <mergeCell ref="K109:P109"/>
    <mergeCell ref="K110:P110"/>
    <mergeCell ref="K111:P111"/>
    <mergeCell ref="K112:P112"/>
    <mergeCell ref="K101:P101"/>
    <mergeCell ref="K102:P102"/>
    <mergeCell ref="K103:P103"/>
    <mergeCell ref="K104:P104"/>
    <mergeCell ref="K105:P105"/>
    <mergeCell ref="K106:P106"/>
    <mergeCell ref="K95:P95"/>
    <mergeCell ref="K96:P96"/>
    <mergeCell ref="K97:P97"/>
    <mergeCell ref="K98:P98"/>
    <mergeCell ref="K99:P99"/>
    <mergeCell ref="K100:P100"/>
    <mergeCell ref="K89:P89"/>
    <mergeCell ref="K90:P90"/>
    <mergeCell ref="K91:P91"/>
    <mergeCell ref="K92:P92"/>
    <mergeCell ref="K93:P93"/>
    <mergeCell ref="K94:P94"/>
    <mergeCell ref="K83:P83"/>
    <mergeCell ref="K84:P84"/>
    <mergeCell ref="K85:P85"/>
    <mergeCell ref="K86:P86"/>
    <mergeCell ref="K87:P87"/>
    <mergeCell ref="K88:P88"/>
    <mergeCell ref="K77:P77"/>
    <mergeCell ref="K78:P78"/>
    <mergeCell ref="K79:P79"/>
    <mergeCell ref="K80:P80"/>
    <mergeCell ref="K81:P81"/>
    <mergeCell ref="K82:P82"/>
    <mergeCell ref="K71:P71"/>
    <mergeCell ref="K72:P72"/>
    <mergeCell ref="K73:P73"/>
    <mergeCell ref="K74:P74"/>
    <mergeCell ref="K75:P75"/>
    <mergeCell ref="K76:P76"/>
    <mergeCell ref="K65:P65"/>
    <mergeCell ref="K66:P66"/>
    <mergeCell ref="K67:P67"/>
    <mergeCell ref="K68:P68"/>
    <mergeCell ref="K69:P69"/>
    <mergeCell ref="K70:P70"/>
    <mergeCell ref="K59:P59"/>
    <mergeCell ref="K60:P60"/>
    <mergeCell ref="K61:P61"/>
    <mergeCell ref="K62:P62"/>
    <mergeCell ref="K63:P63"/>
    <mergeCell ref="K64:P64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41:P41"/>
    <mergeCell ref="K42:P42"/>
    <mergeCell ref="K43:P43"/>
    <mergeCell ref="K44:P44"/>
    <mergeCell ref="K45:P45"/>
    <mergeCell ref="K46:P46"/>
    <mergeCell ref="K35:P35"/>
    <mergeCell ref="K36:P36"/>
    <mergeCell ref="K37:P37"/>
    <mergeCell ref="K38:P38"/>
    <mergeCell ref="K39:P39"/>
    <mergeCell ref="K40:P40"/>
    <mergeCell ref="K29:P29"/>
    <mergeCell ref="K30:P30"/>
    <mergeCell ref="K31:P31"/>
    <mergeCell ref="K32:P32"/>
    <mergeCell ref="K33:P33"/>
    <mergeCell ref="K34:P34"/>
    <mergeCell ref="K23:P23"/>
    <mergeCell ref="K24:P24"/>
    <mergeCell ref="K25:P25"/>
    <mergeCell ref="K26:P26"/>
    <mergeCell ref="K27:P27"/>
    <mergeCell ref="K28:P28"/>
    <mergeCell ref="A17:A18"/>
    <mergeCell ref="K17:P18"/>
    <mergeCell ref="K19:P19"/>
    <mergeCell ref="K20:P20"/>
    <mergeCell ref="K21:P21"/>
    <mergeCell ref="K22:P22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A12:C12"/>
    <mergeCell ref="D12:G12"/>
    <mergeCell ref="H12:J12"/>
    <mergeCell ref="K12:P12"/>
    <mergeCell ref="A13:C13"/>
    <mergeCell ref="D13:G13"/>
    <mergeCell ref="H13:J13"/>
    <mergeCell ref="K13:P13"/>
    <mergeCell ref="A8:D9"/>
    <mergeCell ref="E8:P9"/>
    <mergeCell ref="A11:C11"/>
    <mergeCell ref="D11:G11"/>
    <mergeCell ref="H11:J11"/>
    <mergeCell ref="K11:P11"/>
    <mergeCell ref="E6:G6"/>
    <mergeCell ref="H6:K6"/>
    <mergeCell ref="A7:D7"/>
    <mergeCell ref="E7:G7"/>
    <mergeCell ref="H7:K7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88CB-55AF-461E-B28A-C22C5662E2B4}">
  <dimension ref="B1:J20"/>
  <sheetViews>
    <sheetView showGridLines="0" workbookViewId="0">
      <selection activeCell="C16" sqref="C16"/>
    </sheetView>
  </sheetViews>
  <sheetFormatPr baseColWidth="10" defaultRowHeight="15" x14ac:dyDescent="0.25"/>
  <cols>
    <col min="1" max="1" width="2" customWidth="1"/>
    <col min="2" max="2" width="18.42578125" customWidth="1"/>
    <col min="3" max="3" width="16.5703125" customWidth="1"/>
    <col min="4" max="4" width="20.140625" customWidth="1"/>
    <col min="5" max="5" width="14.5703125" customWidth="1"/>
    <col min="6" max="6" width="16.5703125" customWidth="1"/>
    <col min="7" max="7" width="12.28515625" customWidth="1"/>
    <col min="8" max="8" width="11" customWidth="1"/>
    <col min="9" max="9" width="12" customWidth="1"/>
  </cols>
  <sheetData>
    <row r="1" spans="2:10" x14ac:dyDescent="0.25">
      <c r="B1" s="413" t="s">
        <v>276</v>
      </c>
      <c r="C1" s="413"/>
      <c r="D1" s="413"/>
      <c r="E1" s="413"/>
      <c r="F1" s="413"/>
    </row>
    <row r="2" spans="2:10" x14ac:dyDescent="0.25">
      <c r="B2" s="370" t="s">
        <v>277</v>
      </c>
      <c r="C2" s="370" t="s">
        <v>168</v>
      </c>
      <c r="D2" s="377">
        <v>45200</v>
      </c>
      <c r="E2" s="377">
        <v>45231</v>
      </c>
      <c r="F2" s="377">
        <v>45261</v>
      </c>
    </row>
    <row r="3" spans="2:10" x14ac:dyDescent="0.25">
      <c r="B3" s="365" t="s">
        <v>138</v>
      </c>
      <c r="C3" s="376">
        <v>3.96</v>
      </c>
      <c r="D3" s="376">
        <f t="shared" ref="D3:F10" si="0">+$C3*H$19</f>
        <v>4.1254779937039894</v>
      </c>
      <c r="E3" s="376">
        <f t="shared" si="0"/>
        <v>4.1689167711727526</v>
      </c>
      <c r="F3" s="384">
        <f t="shared" si="0"/>
        <v>4.2528099943662525</v>
      </c>
      <c r="G3" s="387">
        <f>+F3/C3-1</f>
        <v>7.3941917769255738E-2</v>
      </c>
    </row>
    <row r="4" spans="2:10" x14ac:dyDescent="0.25">
      <c r="B4" s="365" t="s">
        <v>136</v>
      </c>
      <c r="C4" s="376">
        <v>4.05</v>
      </c>
      <c r="D4" s="376">
        <f t="shared" si="0"/>
        <v>4.2192388571972614</v>
      </c>
      <c r="E4" s="376">
        <f t="shared" si="0"/>
        <v>4.2636648796084966</v>
      </c>
      <c r="F4" s="384">
        <f t="shared" si="0"/>
        <v>4.3494647669654851</v>
      </c>
      <c r="H4" s="379"/>
      <c r="I4" s="379"/>
      <c r="J4" s="379"/>
    </row>
    <row r="5" spans="2:10" ht="18.75" x14ac:dyDescent="0.3">
      <c r="B5" s="365" t="s">
        <v>281</v>
      </c>
      <c r="C5" s="376">
        <v>6.33</v>
      </c>
      <c r="D5" s="376">
        <f t="shared" si="0"/>
        <v>6.594514065693498</v>
      </c>
      <c r="E5" s="376">
        <f t="shared" si="0"/>
        <v>6.6639502933140209</v>
      </c>
      <c r="F5" s="384">
        <f t="shared" si="0"/>
        <v>6.7980523394793888</v>
      </c>
      <c r="H5" s="380"/>
      <c r="I5" s="381"/>
      <c r="J5" s="382"/>
    </row>
    <row r="6" spans="2:10" ht="18.75" x14ac:dyDescent="0.3">
      <c r="B6" s="365" t="s">
        <v>137</v>
      </c>
      <c r="C6" s="376">
        <v>4.22</v>
      </c>
      <c r="D6" s="376">
        <f t="shared" si="0"/>
        <v>4.3963427104623314</v>
      </c>
      <c r="E6" s="376">
        <f t="shared" si="0"/>
        <v>4.4426335288760139</v>
      </c>
      <c r="F6" s="384">
        <f t="shared" si="0"/>
        <v>4.5320348929862586</v>
      </c>
      <c r="H6" s="380"/>
      <c r="I6" s="381"/>
      <c r="J6" s="382"/>
    </row>
    <row r="7" spans="2:10" ht="18.75" x14ac:dyDescent="0.3">
      <c r="B7" s="365" t="s">
        <v>139</v>
      </c>
      <c r="C7" s="376">
        <v>3.5</v>
      </c>
      <c r="D7" s="376">
        <f t="shared" si="0"/>
        <v>3.6462558025161518</v>
      </c>
      <c r="E7" s="376">
        <f t="shared" si="0"/>
        <v>3.6846486613900589</v>
      </c>
      <c r="F7" s="384">
        <f t="shared" si="0"/>
        <v>3.7587967121923951</v>
      </c>
      <c r="H7" s="380"/>
      <c r="I7" s="381"/>
      <c r="J7" s="382"/>
    </row>
    <row r="8" spans="2:10" ht="18.75" x14ac:dyDescent="0.3">
      <c r="B8" s="365" t="s">
        <v>278</v>
      </c>
      <c r="C8" s="376">
        <v>6.1</v>
      </c>
      <c r="D8" s="376">
        <f t="shared" si="0"/>
        <v>6.3549029700995785</v>
      </c>
      <c r="E8" s="376">
        <f t="shared" si="0"/>
        <v>6.4218162384226742</v>
      </c>
      <c r="F8" s="384">
        <f t="shared" si="0"/>
        <v>6.5510456983924596</v>
      </c>
      <c r="H8" s="380"/>
      <c r="I8" s="381"/>
      <c r="J8" s="382"/>
    </row>
    <row r="9" spans="2:10" x14ac:dyDescent="0.25">
      <c r="B9" s="365" t="s">
        <v>279</v>
      </c>
      <c r="C9" s="376">
        <v>6.08</v>
      </c>
      <c r="D9" s="376">
        <f t="shared" si="0"/>
        <v>6.3340672226566292</v>
      </c>
      <c r="E9" s="376">
        <f t="shared" si="0"/>
        <v>6.4007611032147311</v>
      </c>
      <c r="F9" s="384">
        <f t="shared" si="0"/>
        <v>6.5295668600370753</v>
      </c>
      <c r="H9" s="375"/>
      <c r="I9" s="375"/>
      <c r="J9" s="375"/>
    </row>
    <row r="10" spans="2:10" x14ac:dyDescent="0.25">
      <c r="B10" s="365" t="s">
        <v>280</v>
      </c>
      <c r="C10" s="376">
        <v>5.88</v>
      </c>
      <c r="D10" s="376">
        <f t="shared" si="0"/>
        <v>6.125709748227135</v>
      </c>
      <c r="E10" s="376">
        <f t="shared" si="0"/>
        <v>6.1902097511352991</v>
      </c>
      <c r="F10" s="384">
        <f t="shared" si="0"/>
        <v>6.314778476483224</v>
      </c>
      <c r="H10" s="375"/>
      <c r="I10" s="375"/>
      <c r="J10" s="375"/>
    </row>
    <row r="11" spans="2:10" x14ac:dyDescent="0.25">
      <c r="B11" s="367"/>
      <c r="C11" s="368"/>
      <c r="D11" s="368"/>
      <c r="E11" s="368"/>
      <c r="F11" s="367"/>
      <c r="H11" s="378"/>
      <c r="I11" s="378"/>
      <c r="J11" s="378"/>
    </row>
    <row r="12" spans="2:10" x14ac:dyDescent="0.25">
      <c r="H12" s="413" t="s">
        <v>258</v>
      </c>
      <c r="I12" s="413"/>
      <c r="J12" s="413"/>
    </row>
    <row r="13" spans="2:10" x14ac:dyDescent="0.25">
      <c r="B13" s="411" t="s">
        <v>169</v>
      </c>
      <c r="C13" s="411" t="s">
        <v>170</v>
      </c>
      <c r="D13" s="411" t="s">
        <v>171</v>
      </c>
      <c r="E13" s="411" t="s">
        <v>172</v>
      </c>
      <c r="F13" s="411" t="s">
        <v>173</v>
      </c>
      <c r="G13" s="411" t="s">
        <v>183</v>
      </c>
      <c r="H13" s="405">
        <v>45200</v>
      </c>
      <c r="I13" s="405">
        <v>45231</v>
      </c>
      <c r="J13" s="405">
        <v>45261</v>
      </c>
    </row>
    <row r="14" spans="2:10" x14ac:dyDescent="0.25">
      <c r="B14" s="412"/>
      <c r="C14" s="412"/>
      <c r="D14" s="412"/>
      <c r="E14" s="412"/>
      <c r="F14" s="412"/>
      <c r="G14" s="412"/>
      <c r="H14" s="406"/>
      <c r="I14" s="406"/>
      <c r="J14" s="406"/>
    </row>
    <row r="15" spans="2:10" ht="41.25" customHeight="1" x14ac:dyDescent="0.25">
      <c r="B15" s="271" t="s">
        <v>273</v>
      </c>
      <c r="C15" s="272" t="s">
        <v>271</v>
      </c>
      <c r="D15" s="271" t="s">
        <v>175</v>
      </c>
      <c r="E15" s="273">
        <v>45170</v>
      </c>
      <c r="F15" s="274">
        <v>0.8</v>
      </c>
      <c r="G15" s="385">
        <f>+'WPU06'!B23</f>
        <v>346.363</v>
      </c>
      <c r="H15" s="385">
        <f>+'WPU06'!B24</f>
        <v>348.77</v>
      </c>
      <c r="I15" s="385">
        <f>+'WPU06'!B24</f>
        <v>348.77</v>
      </c>
      <c r="J15" s="385">
        <f>+'WPU06'!B24</f>
        <v>348.77</v>
      </c>
    </row>
    <row r="16" spans="2:10" ht="39.75" customHeight="1" x14ac:dyDescent="0.25">
      <c r="B16" s="271" t="s">
        <v>272</v>
      </c>
      <c r="C16" s="272" t="s">
        <v>247</v>
      </c>
      <c r="D16" s="271" t="s">
        <v>177</v>
      </c>
      <c r="E16" s="273">
        <f>+E15-60</f>
        <v>45110</v>
      </c>
      <c r="F16" s="274">
        <v>0.1</v>
      </c>
      <c r="G16" s="366">
        <v>347.6</v>
      </c>
      <c r="H16" s="366">
        <f>+GO!B4</f>
        <v>408.6</v>
      </c>
      <c r="I16" s="366">
        <f>++GO!B5</f>
        <v>408.6</v>
      </c>
      <c r="J16" s="366">
        <f>++GO!B6</f>
        <v>421</v>
      </c>
    </row>
    <row r="17" spans="2:10" ht="25.5" x14ac:dyDescent="0.25">
      <c r="B17" s="271" t="s">
        <v>274</v>
      </c>
      <c r="C17" s="272" t="s">
        <v>248</v>
      </c>
      <c r="D17" s="271" t="s">
        <v>179</v>
      </c>
      <c r="E17" s="273">
        <f>+E16</f>
        <v>45110</v>
      </c>
      <c r="F17" s="274">
        <v>0.1</v>
      </c>
      <c r="G17" s="366">
        <v>2767.1</v>
      </c>
      <c r="H17" s="366">
        <f>+IPIM!B3</f>
        <v>3284.9</v>
      </c>
      <c r="I17" s="366">
        <f>+IPIM!B4</f>
        <v>3587.5</v>
      </c>
      <c r="J17" s="366">
        <f>+IPIM!B5</f>
        <v>3858.7</v>
      </c>
    </row>
    <row r="18" spans="2:10" ht="25.5" x14ac:dyDescent="0.25">
      <c r="B18" s="275" t="s">
        <v>275</v>
      </c>
      <c r="C18" s="276" t="s">
        <v>257</v>
      </c>
      <c r="D18" s="275" t="s">
        <v>181</v>
      </c>
      <c r="E18" s="277" t="s">
        <v>182</v>
      </c>
      <c r="F18" s="278">
        <f>1-SUM(F15:F17)</f>
        <v>0</v>
      </c>
      <c r="G18" s="386">
        <v>350</v>
      </c>
      <c r="H18" s="386">
        <f>+USD!B3</f>
        <v>349.95</v>
      </c>
      <c r="I18" s="386">
        <f>+USD!B4</f>
        <v>350</v>
      </c>
      <c r="J18" s="386">
        <f>+USD!B5</f>
        <v>360.5</v>
      </c>
    </row>
    <row r="19" spans="2:10" x14ac:dyDescent="0.25">
      <c r="F19" s="365" t="s">
        <v>249</v>
      </c>
      <c r="G19" s="365">
        <f>++$F$15*G15/$G$15+$F$16*G16/$G$16+$F$17*G17/$G$17+$F$18*G18/$G$18</f>
        <v>0.99999999999999989</v>
      </c>
      <c r="H19" s="360">
        <f>++$F$15*H15/$G$15+($F$16*H16/$G$16+$F$17*H17/$G$17)*(H18/$G$18)</f>
        <v>1.041787372147472</v>
      </c>
      <c r="I19" s="360">
        <f>++$F$15*I15/$G$15+($F$16*I16/$G$16+$F$17*I17/$G$17)*(I18/$G$18)</f>
        <v>1.0527567603971597</v>
      </c>
      <c r="J19" s="360">
        <f>++$F$15*J15/$G$15+($F$16*J16/$G$16+$F$17*J17/$G$17)*(J18/$G$18)</f>
        <v>1.0739419177692557</v>
      </c>
    </row>
    <row r="20" spans="2:10" x14ac:dyDescent="0.25">
      <c r="H20" s="383">
        <f>+H19-1</f>
        <v>4.1787372147471968E-2</v>
      </c>
      <c r="I20" s="383">
        <f t="shared" ref="I20:J20" si="1">+I19-1</f>
        <v>5.2756760397159708E-2</v>
      </c>
      <c r="J20" s="383">
        <f t="shared" si="1"/>
        <v>7.3941917769255738E-2</v>
      </c>
    </row>
  </sheetData>
  <mergeCells count="11">
    <mergeCell ref="H12:J12"/>
    <mergeCell ref="B1:F1"/>
    <mergeCell ref="H13:H14"/>
    <mergeCell ref="I13:I14"/>
    <mergeCell ref="J13:J14"/>
    <mergeCell ref="B13:B14"/>
    <mergeCell ref="C13:C14"/>
    <mergeCell ref="D13:D14"/>
    <mergeCell ref="E13:E14"/>
    <mergeCell ref="F13:F14"/>
    <mergeCell ref="G13:G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E732-75CC-46BE-989D-4B603B306DD8}">
  <dimension ref="A1:B24"/>
  <sheetViews>
    <sheetView topLeftCell="A7" workbookViewId="0">
      <selection activeCell="B33" sqref="B33"/>
    </sheetView>
  </sheetViews>
  <sheetFormatPr baseColWidth="10" defaultRowHeight="15" x14ac:dyDescent="0.25"/>
  <sheetData>
    <row r="1" spans="1:2" x14ac:dyDescent="0.25">
      <c r="A1" s="372" t="s">
        <v>261</v>
      </c>
      <c r="B1" s="372"/>
    </row>
    <row r="2" spans="1:2" x14ac:dyDescent="0.25">
      <c r="A2" s="372" t="s">
        <v>262</v>
      </c>
      <c r="B2" s="372"/>
    </row>
    <row r="3" spans="1:2" x14ac:dyDescent="0.25">
      <c r="A3" s="372" t="s">
        <v>263</v>
      </c>
      <c r="B3" s="372"/>
    </row>
    <row r="4" spans="1:2" x14ac:dyDescent="0.25">
      <c r="A4" s="372" t="s">
        <v>264</v>
      </c>
      <c r="B4" s="372"/>
    </row>
    <row r="5" spans="1:2" x14ac:dyDescent="0.25">
      <c r="A5" s="372" t="s">
        <v>265</v>
      </c>
      <c r="B5" s="372"/>
    </row>
    <row r="6" spans="1:2" x14ac:dyDescent="0.25">
      <c r="A6" s="372" t="s">
        <v>266</v>
      </c>
      <c r="B6" s="372"/>
    </row>
    <row r="8" spans="1:2" x14ac:dyDescent="0.25">
      <c r="A8" s="372" t="s">
        <v>267</v>
      </c>
      <c r="B8" s="372" t="s">
        <v>268</v>
      </c>
    </row>
    <row r="10" spans="1:2" x14ac:dyDescent="0.25">
      <c r="A10" s="372" t="s">
        <v>269</v>
      </c>
      <c r="B10" s="372"/>
    </row>
    <row r="11" spans="1:2" x14ac:dyDescent="0.25">
      <c r="A11" s="372" t="s">
        <v>270</v>
      </c>
      <c r="B11" s="372" t="s">
        <v>267</v>
      </c>
    </row>
    <row r="12" spans="1:2" x14ac:dyDescent="0.25">
      <c r="A12" s="373">
        <v>44835</v>
      </c>
      <c r="B12" s="374">
        <v>364.005</v>
      </c>
    </row>
    <row r="13" spans="1:2" x14ac:dyDescent="0.25">
      <c r="A13" s="373">
        <v>44866</v>
      </c>
      <c r="B13" s="374">
        <v>361.03</v>
      </c>
    </row>
    <row r="14" spans="1:2" x14ac:dyDescent="0.25">
      <c r="A14" s="373">
        <v>44896</v>
      </c>
      <c r="B14" s="374">
        <v>357.404</v>
      </c>
    </row>
    <row r="15" spans="1:2" x14ac:dyDescent="0.25">
      <c r="A15" s="373">
        <v>44927</v>
      </c>
      <c r="B15" s="374">
        <v>359.63099999999997</v>
      </c>
    </row>
    <row r="16" spans="1:2" x14ac:dyDescent="0.25">
      <c r="A16" s="373">
        <v>44958</v>
      </c>
      <c r="B16" s="374">
        <v>361.01</v>
      </c>
    </row>
    <row r="17" spans="1:2" x14ac:dyDescent="0.25">
      <c r="A17" s="373">
        <v>44986</v>
      </c>
      <c r="B17" s="374">
        <v>358.31400000000002</v>
      </c>
    </row>
    <row r="18" spans="1:2" x14ac:dyDescent="0.25">
      <c r="A18" s="373">
        <v>45017</v>
      </c>
      <c r="B18" s="374">
        <v>358.66399999999999</v>
      </c>
    </row>
    <row r="19" spans="1:2" x14ac:dyDescent="0.25">
      <c r="A19" s="373">
        <v>45047</v>
      </c>
      <c r="B19" s="374">
        <v>355.58600000000001</v>
      </c>
    </row>
    <row r="20" spans="1:2" x14ac:dyDescent="0.25">
      <c r="A20" s="373">
        <v>45078</v>
      </c>
      <c r="B20" s="374">
        <v>351.94099999999997</v>
      </c>
    </row>
    <row r="21" spans="1:2" x14ac:dyDescent="0.25">
      <c r="A21" s="373">
        <v>45108</v>
      </c>
      <c r="B21" s="374">
        <v>347.32400000000001</v>
      </c>
    </row>
    <row r="22" spans="1:2" x14ac:dyDescent="0.25">
      <c r="A22" s="373">
        <v>45139</v>
      </c>
      <c r="B22" s="374">
        <v>346.22</v>
      </c>
    </row>
    <row r="23" spans="1:2" x14ac:dyDescent="0.25">
      <c r="A23" s="373">
        <v>45170</v>
      </c>
      <c r="B23" s="374">
        <v>346.363</v>
      </c>
    </row>
    <row r="24" spans="1:2" x14ac:dyDescent="0.25">
      <c r="A24" s="373">
        <v>45200</v>
      </c>
      <c r="B24" s="374">
        <v>348.77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E31E-E3AE-4A58-9FE2-D8695E9CB61E}">
  <dimension ref="A2:B6"/>
  <sheetViews>
    <sheetView showGridLines="0" workbookViewId="0">
      <selection activeCell="C23" sqref="C23"/>
    </sheetView>
  </sheetViews>
  <sheetFormatPr baseColWidth="10" defaultRowHeight="15" x14ac:dyDescent="0.25"/>
  <sheetData>
    <row r="2" spans="1:2" x14ac:dyDescent="0.25">
      <c r="A2" s="365" t="s">
        <v>259</v>
      </c>
      <c r="B2" s="365" t="s">
        <v>260</v>
      </c>
    </row>
    <row r="3" spans="1:2" x14ac:dyDescent="0.25">
      <c r="A3" s="371">
        <v>45170</v>
      </c>
      <c r="B3" s="365">
        <v>349.95</v>
      </c>
    </row>
    <row r="4" spans="1:2" x14ac:dyDescent="0.25">
      <c r="A4" s="371">
        <v>45200</v>
      </c>
      <c r="B4" s="365">
        <v>350</v>
      </c>
    </row>
    <row r="5" spans="1:2" x14ac:dyDescent="0.25">
      <c r="A5" s="371">
        <v>45231</v>
      </c>
      <c r="B5" s="365">
        <v>360.5</v>
      </c>
    </row>
    <row r="6" spans="1:2" x14ac:dyDescent="0.25">
      <c r="A6" s="371">
        <v>45261</v>
      </c>
      <c r="B6" s="394">
        <v>808.45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6"/>
  <sheetViews>
    <sheetView showGridLines="0" topLeftCell="A97" zoomScale="80" zoomScaleNormal="80" workbookViewId="0">
      <selection activeCell="R25" sqref="R25"/>
    </sheetView>
  </sheetViews>
  <sheetFormatPr baseColWidth="10" defaultColWidth="10.85546875" defaultRowHeight="15" x14ac:dyDescent="0.25"/>
  <cols>
    <col min="1" max="1" width="11.7109375" style="22" customWidth="1"/>
    <col min="2" max="3" width="14.5703125" style="22" customWidth="1"/>
    <col min="4" max="4" width="14.7109375" style="22" customWidth="1"/>
    <col min="5" max="5" width="12.42578125" style="22" customWidth="1"/>
    <col min="6" max="7" width="11.7109375" style="22" customWidth="1"/>
    <col min="8" max="8" width="12.5703125" style="21" customWidth="1"/>
    <col min="9" max="9" width="14.7109375" style="22" customWidth="1"/>
    <col min="10" max="10" width="14.5703125" style="22" customWidth="1"/>
    <col min="11" max="11" width="10.5703125" style="22" customWidth="1"/>
    <col min="12" max="15" width="6.7109375" style="22" customWidth="1"/>
    <col min="16" max="16" width="10.85546875" style="22" customWidth="1"/>
    <col min="17" max="252" width="11.42578125" style="22"/>
    <col min="253" max="267" width="8.7109375" style="22" customWidth="1"/>
    <col min="268" max="271" width="6.7109375" style="22" customWidth="1"/>
    <col min="272" max="272" width="10.85546875" style="22" customWidth="1"/>
    <col min="273" max="508" width="11.42578125" style="22"/>
    <col min="509" max="523" width="8.7109375" style="22" customWidth="1"/>
    <col min="524" max="527" width="6.7109375" style="22" customWidth="1"/>
    <col min="528" max="528" width="10.85546875" style="22" customWidth="1"/>
    <col min="529" max="764" width="11.42578125" style="22"/>
    <col min="765" max="779" width="8.7109375" style="22" customWidth="1"/>
    <col min="780" max="783" width="6.7109375" style="22" customWidth="1"/>
    <col min="784" max="784" width="10.85546875" style="22" customWidth="1"/>
    <col min="785" max="1020" width="11.42578125" style="22"/>
    <col min="1021" max="1035" width="8.7109375" style="22" customWidth="1"/>
    <col min="1036" max="1039" width="6.7109375" style="22" customWidth="1"/>
    <col min="1040" max="1040" width="10.85546875" style="22" customWidth="1"/>
    <col min="1041" max="1276" width="11.42578125" style="22"/>
    <col min="1277" max="1291" width="8.7109375" style="22" customWidth="1"/>
    <col min="1292" max="1295" width="6.7109375" style="22" customWidth="1"/>
    <col min="1296" max="1296" width="10.85546875" style="22" customWidth="1"/>
    <col min="1297" max="1532" width="11.42578125" style="22"/>
    <col min="1533" max="1547" width="8.7109375" style="22" customWidth="1"/>
    <col min="1548" max="1551" width="6.7109375" style="22" customWidth="1"/>
    <col min="1552" max="1552" width="10.85546875" style="22" customWidth="1"/>
    <col min="1553" max="1788" width="11.42578125" style="22"/>
    <col min="1789" max="1803" width="8.7109375" style="22" customWidth="1"/>
    <col min="1804" max="1807" width="6.7109375" style="22" customWidth="1"/>
    <col min="1808" max="1808" width="10.85546875" style="22" customWidth="1"/>
    <col min="1809" max="2044" width="11.42578125" style="22"/>
    <col min="2045" max="2059" width="8.7109375" style="22" customWidth="1"/>
    <col min="2060" max="2063" width="6.7109375" style="22" customWidth="1"/>
    <col min="2064" max="2064" width="10.85546875" style="22" customWidth="1"/>
    <col min="2065" max="2300" width="11.42578125" style="22"/>
    <col min="2301" max="2315" width="8.7109375" style="22" customWidth="1"/>
    <col min="2316" max="2319" width="6.7109375" style="22" customWidth="1"/>
    <col min="2320" max="2320" width="10.85546875" style="22" customWidth="1"/>
    <col min="2321" max="2556" width="11.42578125" style="22"/>
    <col min="2557" max="2571" width="8.7109375" style="22" customWidth="1"/>
    <col min="2572" max="2575" width="6.7109375" style="22" customWidth="1"/>
    <col min="2576" max="2576" width="10.85546875" style="22" customWidth="1"/>
    <col min="2577" max="2812" width="11.42578125" style="22"/>
    <col min="2813" max="2827" width="8.7109375" style="22" customWidth="1"/>
    <col min="2828" max="2831" width="6.7109375" style="22" customWidth="1"/>
    <col min="2832" max="2832" width="10.85546875" style="22" customWidth="1"/>
    <col min="2833" max="3068" width="11.42578125" style="22"/>
    <col min="3069" max="3083" width="8.7109375" style="22" customWidth="1"/>
    <col min="3084" max="3087" width="6.7109375" style="22" customWidth="1"/>
    <col min="3088" max="3088" width="10.85546875" style="22" customWidth="1"/>
    <col min="3089" max="3324" width="11.42578125" style="22"/>
    <col min="3325" max="3339" width="8.7109375" style="22" customWidth="1"/>
    <col min="3340" max="3343" width="6.7109375" style="22" customWidth="1"/>
    <col min="3344" max="3344" width="10.85546875" style="22" customWidth="1"/>
    <col min="3345" max="3580" width="11.42578125" style="22"/>
    <col min="3581" max="3595" width="8.7109375" style="22" customWidth="1"/>
    <col min="3596" max="3599" width="6.7109375" style="22" customWidth="1"/>
    <col min="3600" max="3600" width="10.85546875" style="22" customWidth="1"/>
    <col min="3601" max="3836" width="11.42578125" style="22"/>
    <col min="3837" max="3851" width="8.7109375" style="22" customWidth="1"/>
    <col min="3852" max="3855" width="6.7109375" style="22" customWidth="1"/>
    <col min="3856" max="3856" width="10.85546875" style="22" customWidth="1"/>
    <col min="3857" max="4092" width="11.42578125" style="22"/>
    <col min="4093" max="4107" width="8.7109375" style="22" customWidth="1"/>
    <col min="4108" max="4111" width="6.7109375" style="22" customWidth="1"/>
    <col min="4112" max="4112" width="10.85546875" style="22" customWidth="1"/>
    <col min="4113" max="4348" width="11.42578125" style="22"/>
    <col min="4349" max="4363" width="8.7109375" style="22" customWidth="1"/>
    <col min="4364" max="4367" width="6.7109375" style="22" customWidth="1"/>
    <col min="4368" max="4368" width="10.85546875" style="22" customWidth="1"/>
    <col min="4369" max="4604" width="11.42578125" style="22"/>
    <col min="4605" max="4619" width="8.7109375" style="22" customWidth="1"/>
    <col min="4620" max="4623" width="6.7109375" style="22" customWidth="1"/>
    <col min="4624" max="4624" width="10.85546875" style="22" customWidth="1"/>
    <col min="4625" max="4860" width="11.42578125" style="22"/>
    <col min="4861" max="4875" width="8.7109375" style="22" customWidth="1"/>
    <col min="4876" max="4879" width="6.7109375" style="22" customWidth="1"/>
    <col min="4880" max="4880" width="10.85546875" style="22" customWidth="1"/>
    <col min="4881" max="5116" width="11.42578125" style="22"/>
    <col min="5117" max="5131" width="8.7109375" style="22" customWidth="1"/>
    <col min="5132" max="5135" width="6.7109375" style="22" customWidth="1"/>
    <col min="5136" max="5136" width="10.85546875" style="22" customWidth="1"/>
    <col min="5137" max="5372" width="11.42578125" style="22"/>
    <col min="5373" max="5387" width="8.7109375" style="22" customWidth="1"/>
    <col min="5388" max="5391" width="6.7109375" style="22" customWidth="1"/>
    <col min="5392" max="5392" width="10.85546875" style="22" customWidth="1"/>
    <col min="5393" max="5628" width="11.42578125" style="22"/>
    <col min="5629" max="5643" width="8.7109375" style="22" customWidth="1"/>
    <col min="5644" max="5647" width="6.7109375" style="22" customWidth="1"/>
    <col min="5648" max="5648" width="10.85546875" style="22" customWidth="1"/>
    <col min="5649" max="5884" width="11.42578125" style="22"/>
    <col min="5885" max="5899" width="8.7109375" style="22" customWidth="1"/>
    <col min="5900" max="5903" width="6.7109375" style="22" customWidth="1"/>
    <col min="5904" max="5904" width="10.85546875" style="22" customWidth="1"/>
    <col min="5905" max="6140" width="11.42578125" style="22"/>
    <col min="6141" max="6155" width="8.7109375" style="22" customWidth="1"/>
    <col min="6156" max="6159" width="6.7109375" style="22" customWidth="1"/>
    <col min="6160" max="6160" width="10.85546875" style="22" customWidth="1"/>
    <col min="6161" max="6396" width="11.42578125" style="22"/>
    <col min="6397" max="6411" width="8.7109375" style="22" customWidth="1"/>
    <col min="6412" max="6415" width="6.7109375" style="22" customWidth="1"/>
    <col min="6416" max="6416" width="10.85546875" style="22" customWidth="1"/>
    <col min="6417" max="6652" width="11.42578125" style="22"/>
    <col min="6653" max="6667" width="8.7109375" style="22" customWidth="1"/>
    <col min="6668" max="6671" width="6.7109375" style="22" customWidth="1"/>
    <col min="6672" max="6672" width="10.85546875" style="22" customWidth="1"/>
    <col min="6673" max="6908" width="11.42578125" style="22"/>
    <col min="6909" max="6923" width="8.7109375" style="22" customWidth="1"/>
    <col min="6924" max="6927" width="6.7109375" style="22" customWidth="1"/>
    <col min="6928" max="6928" width="10.85546875" style="22" customWidth="1"/>
    <col min="6929" max="7164" width="11.42578125" style="22"/>
    <col min="7165" max="7179" width="8.7109375" style="22" customWidth="1"/>
    <col min="7180" max="7183" width="6.7109375" style="22" customWidth="1"/>
    <col min="7184" max="7184" width="10.85546875" style="22" customWidth="1"/>
    <col min="7185" max="7420" width="11.42578125" style="22"/>
    <col min="7421" max="7435" width="8.7109375" style="22" customWidth="1"/>
    <col min="7436" max="7439" width="6.7109375" style="22" customWidth="1"/>
    <col min="7440" max="7440" width="10.85546875" style="22" customWidth="1"/>
    <col min="7441" max="7676" width="11.42578125" style="22"/>
    <col min="7677" max="7691" width="8.7109375" style="22" customWidth="1"/>
    <col min="7692" max="7695" width="6.7109375" style="22" customWidth="1"/>
    <col min="7696" max="7696" width="10.85546875" style="22" customWidth="1"/>
    <col min="7697" max="7932" width="11.42578125" style="22"/>
    <col min="7933" max="7947" width="8.7109375" style="22" customWidth="1"/>
    <col min="7948" max="7951" width="6.7109375" style="22" customWidth="1"/>
    <col min="7952" max="7952" width="10.85546875" style="22" customWidth="1"/>
    <col min="7953" max="8188" width="11.42578125" style="22"/>
    <col min="8189" max="8203" width="8.7109375" style="22" customWidth="1"/>
    <col min="8204" max="8207" width="6.7109375" style="22" customWidth="1"/>
    <col min="8208" max="8208" width="10.85546875" style="22" customWidth="1"/>
    <col min="8209" max="8444" width="11.42578125" style="22"/>
    <col min="8445" max="8459" width="8.7109375" style="22" customWidth="1"/>
    <col min="8460" max="8463" width="6.7109375" style="22" customWidth="1"/>
    <col min="8464" max="8464" width="10.85546875" style="22" customWidth="1"/>
    <col min="8465" max="8700" width="11.42578125" style="22"/>
    <col min="8701" max="8715" width="8.7109375" style="22" customWidth="1"/>
    <col min="8716" max="8719" width="6.7109375" style="22" customWidth="1"/>
    <col min="8720" max="8720" width="10.85546875" style="22" customWidth="1"/>
    <col min="8721" max="8956" width="11.42578125" style="22"/>
    <col min="8957" max="8971" width="8.7109375" style="22" customWidth="1"/>
    <col min="8972" max="8975" width="6.7109375" style="22" customWidth="1"/>
    <col min="8976" max="8976" width="10.85546875" style="22" customWidth="1"/>
    <col min="8977" max="9212" width="11.42578125" style="22"/>
    <col min="9213" max="9227" width="8.7109375" style="22" customWidth="1"/>
    <col min="9228" max="9231" width="6.7109375" style="22" customWidth="1"/>
    <col min="9232" max="9232" width="10.85546875" style="22" customWidth="1"/>
    <col min="9233" max="9468" width="11.42578125" style="22"/>
    <col min="9469" max="9483" width="8.7109375" style="22" customWidth="1"/>
    <col min="9484" max="9487" width="6.7109375" style="22" customWidth="1"/>
    <col min="9488" max="9488" width="10.85546875" style="22" customWidth="1"/>
    <col min="9489" max="9724" width="11.42578125" style="22"/>
    <col min="9725" max="9739" width="8.7109375" style="22" customWidth="1"/>
    <col min="9740" max="9743" width="6.7109375" style="22" customWidth="1"/>
    <col min="9744" max="9744" width="10.85546875" style="22" customWidth="1"/>
    <col min="9745" max="9980" width="11.42578125" style="22"/>
    <col min="9981" max="9995" width="8.7109375" style="22" customWidth="1"/>
    <col min="9996" max="9999" width="6.7109375" style="22" customWidth="1"/>
    <col min="10000" max="10000" width="10.85546875" style="22" customWidth="1"/>
    <col min="10001" max="10236" width="11.42578125" style="22"/>
    <col min="10237" max="10251" width="8.7109375" style="22" customWidth="1"/>
    <col min="10252" max="10255" width="6.7109375" style="22" customWidth="1"/>
    <col min="10256" max="10256" width="10.85546875" style="22" customWidth="1"/>
    <col min="10257" max="10492" width="11.42578125" style="22"/>
    <col min="10493" max="10507" width="8.7109375" style="22" customWidth="1"/>
    <col min="10508" max="10511" width="6.7109375" style="22" customWidth="1"/>
    <col min="10512" max="10512" width="10.85546875" style="22" customWidth="1"/>
    <col min="10513" max="10748" width="11.42578125" style="22"/>
    <col min="10749" max="10763" width="8.7109375" style="22" customWidth="1"/>
    <col min="10764" max="10767" width="6.7109375" style="22" customWidth="1"/>
    <col min="10768" max="10768" width="10.85546875" style="22" customWidth="1"/>
    <col min="10769" max="11004" width="11.42578125" style="22"/>
    <col min="11005" max="11019" width="8.7109375" style="22" customWidth="1"/>
    <col min="11020" max="11023" width="6.7109375" style="22" customWidth="1"/>
    <col min="11024" max="11024" width="10.85546875" style="22" customWidth="1"/>
    <col min="11025" max="11260" width="11.42578125" style="22"/>
    <col min="11261" max="11275" width="8.7109375" style="22" customWidth="1"/>
    <col min="11276" max="11279" width="6.7109375" style="22" customWidth="1"/>
    <col min="11280" max="11280" width="10.85546875" style="22" customWidth="1"/>
    <col min="11281" max="11516" width="11.42578125" style="22"/>
    <col min="11517" max="11531" width="8.7109375" style="22" customWidth="1"/>
    <col min="11532" max="11535" width="6.7109375" style="22" customWidth="1"/>
    <col min="11536" max="11536" width="10.85546875" style="22" customWidth="1"/>
    <col min="11537" max="11772" width="11.42578125" style="22"/>
    <col min="11773" max="11787" width="8.7109375" style="22" customWidth="1"/>
    <col min="11788" max="11791" width="6.7109375" style="22" customWidth="1"/>
    <col min="11792" max="11792" width="10.85546875" style="22" customWidth="1"/>
    <col min="11793" max="12028" width="11.42578125" style="22"/>
    <col min="12029" max="12043" width="8.7109375" style="22" customWidth="1"/>
    <col min="12044" max="12047" width="6.7109375" style="22" customWidth="1"/>
    <col min="12048" max="12048" width="10.85546875" style="22" customWidth="1"/>
    <col min="12049" max="12284" width="11.42578125" style="22"/>
    <col min="12285" max="12299" width="8.7109375" style="22" customWidth="1"/>
    <col min="12300" max="12303" width="6.7109375" style="22" customWidth="1"/>
    <col min="12304" max="12304" width="10.85546875" style="22" customWidth="1"/>
    <col min="12305" max="12540" width="11.42578125" style="22"/>
    <col min="12541" max="12555" width="8.7109375" style="22" customWidth="1"/>
    <col min="12556" max="12559" width="6.7109375" style="22" customWidth="1"/>
    <col min="12560" max="12560" width="10.85546875" style="22" customWidth="1"/>
    <col min="12561" max="12796" width="11.42578125" style="22"/>
    <col min="12797" max="12811" width="8.7109375" style="22" customWidth="1"/>
    <col min="12812" max="12815" width="6.7109375" style="22" customWidth="1"/>
    <col min="12816" max="12816" width="10.85546875" style="22" customWidth="1"/>
    <col min="12817" max="13052" width="11.42578125" style="22"/>
    <col min="13053" max="13067" width="8.7109375" style="22" customWidth="1"/>
    <col min="13068" max="13071" width="6.7109375" style="22" customWidth="1"/>
    <col min="13072" max="13072" width="10.85546875" style="22" customWidth="1"/>
    <col min="13073" max="13308" width="11.42578125" style="22"/>
    <col min="13309" max="13323" width="8.7109375" style="22" customWidth="1"/>
    <col min="13324" max="13327" width="6.7109375" style="22" customWidth="1"/>
    <col min="13328" max="13328" width="10.85546875" style="22" customWidth="1"/>
    <col min="13329" max="13564" width="11.42578125" style="22"/>
    <col min="13565" max="13579" width="8.7109375" style="22" customWidth="1"/>
    <col min="13580" max="13583" width="6.7109375" style="22" customWidth="1"/>
    <col min="13584" max="13584" width="10.85546875" style="22" customWidth="1"/>
    <col min="13585" max="13820" width="11.42578125" style="22"/>
    <col min="13821" max="13835" width="8.7109375" style="22" customWidth="1"/>
    <col min="13836" max="13839" width="6.7109375" style="22" customWidth="1"/>
    <col min="13840" max="13840" width="10.85546875" style="22" customWidth="1"/>
    <col min="13841" max="14076" width="11.42578125" style="22"/>
    <col min="14077" max="14091" width="8.7109375" style="22" customWidth="1"/>
    <col min="14092" max="14095" width="6.7109375" style="22" customWidth="1"/>
    <col min="14096" max="14096" width="10.85546875" style="22" customWidth="1"/>
    <col min="14097" max="14332" width="11.42578125" style="22"/>
    <col min="14333" max="14347" width="8.7109375" style="22" customWidth="1"/>
    <col min="14348" max="14351" width="6.7109375" style="22" customWidth="1"/>
    <col min="14352" max="14352" width="10.85546875" style="22" customWidth="1"/>
    <col min="14353" max="14588" width="11.42578125" style="22"/>
    <col min="14589" max="14603" width="8.7109375" style="22" customWidth="1"/>
    <col min="14604" max="14607" width="6.7109375" style="22" customWidth="1"/>
    <col min="14608" max="14608" width="10.85546875" style="22" customWidth="1"/>
    <col min="14609" max="14844" width="11.42578125" style="22"/>
    <col min="14845" max="14859" width="8.7109375" style="22" customWidth="1"/>
    <col min="14860" max="14863" width="6.7109375" style="22" customWidth="1"/>
    <col min="14864" max="14864" width="10.85546875" style="22" customWidth="1"/>
    <col min="14865" max="15100" width="11.42578125" style="22"/>
    <col min="15101" max="15115" width="8.7109375" style="22" customWidth="1"/>
    <col min="15116" max="15119" width="6.7109375" style="22" customWidth="1"/>
    <col min="15120" max="15120" width="10.85546875" style="22" customWidth="1"/>
    <col min="15121" max="15356" width="11.42578125" style="22"/>
    <col min="15357" max="15371" width="8.7109375" style="22" customWidth="1"/>
    <col min="15372" max="15375" width="6.7109375" style="22" customWidth="1"/>
    <col min="15376" max="15376" width="10.85546875" style="22" customWidth="1"/>
    <col min="15377" max="15612" width="11.42578125" style="22"/>
    <col min="15613" max="15627" width="8.7109375" style="22" customWidth="1"/>
    <col min="15628" max="15631" width="6.7109375" style="22" customWidth="1"/>
    <col min="15632" max="15632" width="10.85546875" style="22" customWidth="1"/>
    <col min="15633" max="15868" width="11.42578125" style="22"/>
    <col min="15869" max="15883" width="8.7109375" style="22" customWidth="1"/>
    <col min="15884" max="15887" width="6.7109375" style="22" customWidth="1"/>
    <col min="15888" max="15888" width="10.85546875" style="22" customWidth="1"/>
    <col min="15889" max="16124" width="11.42578125" style="22"/>
    <col min="16125" max="16139" width="8.7109375" style="22" customWidth="1"/>
    <col min="16140" max="16143" width="6.7109375" style="22" customWidth="1"/>
    <col min="16144" max="16144" width="10.85546875" style="22" customWidth="1"/>
    <col min="16145" max="16384" width="11.42578125" style="22"/>
  </cols>
  <sheetData>
    <row r="1" spans="1:16" ht="12.75" customHeight="1" x14ac:dyDescent="0.25">
      <c r="A1" s="450"/>
      <c r="B1" s="451"/>
      <c r="C1" s="451"/>
      <c r="D1" s="452"/>
      <c r="E1" s="450" t="s">
        <v>48</v>
      </c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2"/>
    </row>
    <row r="2" spans="1:16" ht="12.75" customHeight="1" x14ac:dyDescent="0.25">
      <c r="A2" s="453"/>
      <c r="B2" s="454"/>
      <c r="C2" s="454"/>
      <c r="D2" s="455"/>
      <c r="E2" s="453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5"/>
    </row>
    <row r="3" spans="1:16" ht="12.75" customHeight="1" x14ac:dyDescent="0.25">
      <c r="A3" s="429"/>
      <c r="B3" s="430"/>
      <c r="C3" s="430"/>
      <c r="D3" s="431"/>
      <c r="E3" s="456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8"/>
    </row>
    <row r="4" spans="1:16" ht="15.75" x14ac:dyDescent="0.25">
      <c r="A4" s="23" t="s">
        <v>6</v>
      </c>
      <c r="B4" s="24"/>
      <c r="C4" s="24"/>
      <c r="D4" s="25"/>
      <c r="E4" s="459" t="s">
        <v>7</v>
      </c>
      <c r="F4" s="460"/>
      <c r="G4" s="26" t="s">
        <v>8</v>
      </c>
      <c r="H4" s="459" t="s">
        <v>9</v>
      </c>
      <c r="I4" s="460"/>
      <c r="J4" s="460"/>
      <c r="K4" s="461"/>
      <c r="L4" s="459" t="s">
        <v>10</v>
      </c>
      <c r="M4" s="460"/>
      <c r="N4" s="460"/>
      <c r="O4" s="460"/>
      <c r="P4" s="461"/>
    </row>
    <row r="5" spans="1:16" ht="15.75" x14ac:dyDescent="0.25">
      <c r="A5" s="462" t="s">
        <v>11</v>
      </c>
      <c r="B5" s="463"/>
      <c r="C5" s="463"/>
      <c r="D5" s="464"/>
      <c r="E5" s="447" t="s">
        <v>11</v>
      </c>
      <c r="F5" s="448"/>
      <c r="G5" s="27">
        <v>1</v>
      </c>
      <c r="H5" s="465">
        <v>41275</v>
      </c>
      <c r="I5" s="466"/>
      <c r="J5" s="466"/>
      <c r="K5" s="467"/>
      <c r="L5" s="447" t="s">
        <v>11</v>
      </c>
      <c r="M5" s="448"/>
      <c r="N5" s="448"/>
      <c r="O5" s="448"/>
      <c r="P5" s="449"/>
    </row>
    <row r="6" spans="1:16" ht="15.75" x14ac:dyDescent="0.25">
      <c r="A6" s="28" t="s">
        <v>12</v>
      </c>
      <c r="B6" s="29"/>
      <c r="C6" s="29"/>
      <c r="D6" s="29"/>
      <c r="E6" s="459" t="s">
        <v>13</v>
      </c>
      <c r="F6" s="460"/>
      <c r="G6" s="460"/>
      <c r="H6" s="459" t="s">
        <v>14</v>
      </c>
      <c r="I6" s="460"/>
      <c r="J6" s="460"/>
      <c r="K6" s="461"/>
      <c r="L6" s="30" t="s">
        <v>14</v>
      </c>
      <c r="M6" s="31"/>
      <c r="N6" s="31"/>
      <c r="O6" s="31"/>
      <c r="P6" s="32"/>
    </row>
    <row r="7" spans="1:16" x14ac:dyDescent="0.25">
      <c r="A7" s="447"/>
      <c r="B7" s="448"/>
      <c r="C7" s="448"/>
      <c r="D7" s="449"/>
      <c r="E7" s="447"/>
      <c r="F7" s="448"/>
      <c r="G7" s="448"/>
      <c r="H7" s="447"/>
      <c r="I7" s="448"/>
      <c r="J7" s="448"/>
      <c r="K7" s="449"/>
      <c r="L7" s="447" t="s">
        <v>11</v>
      </c>
      <c r="M7" s="448"/>
      <c r="N7" s="448"/>
      <c r="O7" s="448"/>
      <c r="P7" s="449"/>
    </row>
    <row r="8" spans="1:16" ht="12.75" customHeight="1" x14ac:dyDescent="0.25">
      <c r="A8" s="426" t="s">
        <v>15</v>
      </c>
      <c r="B8" s="427"/>
      <c r="C8" s="427"/>
      <c r="D8" s="428"/>
      <c r="E8" s="432" t="s">
        <v>16</v>
      </c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4"/>
    </row>
    <row r="9" spans="1:16" ht="12.75" customHeight="1" x14ac:dyDescent="0.25">
      <c r="A9" s="429"/>
      <c r="B9" s="430"/>
      <c r="C9" s="430"/>
      <c r="D9" s="431"/>
      <c r="E9" s="435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7"/>
    </row>
    <row r="10" spans="1:16" ht="18" customHeight="1" x14ac:dyDescent="0.25">
      <c r="A10" s="33"/>
      <c r="B10" s="34"/>
      <c r="C10" s="34"/>
      <c r="D10" s="34"/>
      <c r="E10" s="34"/>
      <c r="F10" s="34"/>
      <c r="G10" s="34"/>
      <c r="H10" s="35"/>
      <c r="I10" s="34"/>
      <c r="J10" s="34"/>
      <c r="K10" s="34"/>
      <c r="L10" s="34"/>
      <c r="M10" s="36"/>
      <c r="N10" s="36"/>
      <c r="O10" s="36"/>
      <c r="P10" s="37"/>
    </row>
    <row r="11" spans="1:16" ht="20.100000000000001" customHeight="1" x14ac:dyDescent="0.25">
      <c r="A11" s="438" t="s">
        <v>17</v>
      </c>
      <c r="B11" s="439"/>
      <c r="C11" s="440"/>
      <c r="D11" s="441" t="s">
        <v>27</v>
      </c>
      <c r="E11" s="442"/>
      <c r="F11" s="442"/>
      <c r="G11" s="442"/>
      <c r="H11" s="443" t="s">
        <v>18</v>
      </c>
      <c r="I11" s="444"/>
      <c r="J11" s="445"/>
      <c r="K11" s="441" t="s">
        <v>28</v>
      </c>
      <c r="L11" s="442"/>
      <c r="M11" s="442"/>
      <c r="N11" s="442"/>
      <c r="O11" s="442"/>
      <c r="P11" s="446"/>
    </row>
    <row r="12" spans="1:16" s="15" customFormat="1" ht="20.100000000000001" customHeight="1" x14ac:dyDescent="0.25">
      <c r="A12" s="438" t="s">
        <v>19</v>
      </c>
      <c r="B12" s="439"/>
      <c r="C12" s="440"/>
      <c r="D12" s="441" t="s">
        <v>20</v>
      </c>
      <c r="E12" s="442"/>
      <c r="F12" s="442"/>
      <c r="G12" s="442"/>
      <c r="H12" s="443" t="s">
        <v>21</v>
      </c>
      <c r="I12" s="444"/>
      <c r="J12" s="445"/>
      <c r="K12" s="441"/>
      <c r="L12" s="442"/>
      <c r="M12" s="442"/>
      <c r="N12" s="442"/>
      <c r="O12" s="442"/>
      <c r="P12" s="446"/>
    </row>
    <row r="13" spans="1:16" s="16" customFormat="1" ht="20.100000000000001" customHeight="1" x14ac:dyDescent="0.25">
      <c r="A13" s="443" t="s">
        <v>22</v>
      </c>
      <c r="B13" s="444"/>
      <c r="C13" s="445"/>
      <c r="D13" s="485">
        <v>42828</v>
      </c>
      <c r="E13" s="486"/>
      <c r="F13" s="486"/>
      <c r="G13" s="486"/>
      <c r="H13" s="443" t="s">
        <v>23</v>
      </c>
      <c r="I13" s="444"/>
      <c r="J13" s="445"/>
      <c r="K13" s="441"/>
      <c r="L13" s="442"/>
      <c r="M13" s="442"/>
      <c r="N13" s="442"/>
      <c r="O13" s="442"/>
      <c r="P13" s="446"/>
    </row>
    <row r="14" spans="1:16" s="16" customFormat="1" ht="20.100000000000001" customHeight="1" x14ac:dyDescent="0.25">
      <c r="A14" s="443" t="s">
        <v>29</v>
      </c>
      <c r="B14" s="444"/>
      <c r="C14" s="445"/>
      <c r="D14" s="441" t="s">
        <v>33</v>
      </c>
      <c r="E14" s="442"/>
      <c r="F14" s="442"/>
      <c r="G14" s="442"/>
      <c r="H14" s="443" t="s">
        <v>24</v>
      </c>
      <c r="I14" s="444"/>
      <c r="J14" s="445"/>
      <c r="K14" s="441"/>
      <c r="L14" s="442"/>
      <c r="M14" s="442"/>
      <c r="N14" s="442"/>
      <c r="O14" s="442"/>
      <c r="P14" s="446"/>
    </row>
    <row r="15" spans="1:16" s="16" customFormat="1" ht="20.100000000000001" customHeight="1" x14ac:dyDescent="0.25">
      <c r="A15" s="443"/>
      <c r="B15" s="444"/>
      <c r="C15" s="445"/>
      <c r="D15" s="485"/>
      <c r="E15" s="486"/>
      <c r="F15" s="486"/>
      <c r="G15" s="486"/>
      <c r="H15" s="443" t="s">
        <v>45</v>
      </c>
      <c r="I15" s="444"/>
      <c r="J15" s="445"/>
      <c r="K15" s="38" t="s">
        <v>46</v>
      </c>
      <c r="L15" s="441"/>
      <c r="M15" s="446"/>
      <c r="N15" s="441" t="s">
        <v>47</v>
      </c>
      <c r="O15" s="446"/>
      <c r="P15" s="38">
        <v>1</v>
      </c>
    </row>
    <row r="16" spans="1:16" s="16" customFormat="1" ht="18" customHeight="1" x14ac:dyDescent="0.25">
      <c r="A16" s="39"/>
      <c r="B16" s="40"/>
      <c r="C16" s="41"/>
      <c r="D16" s="41"/>
      <c r="E16" s="41"/>
      <c r="F16" s="40"/>
      <c r="G16" s="40"/>
      <c r="H16" s="42"/>
      <c r="I16" s="40"/>
      <c r="J16" s="43"/>
      <c r="K16" s="40"/>
      <c r="L16" s="40"/>
      <c r="M16" s="43"/>
      <c r="N16" s="43"/>
      <c r="O16" s="43"/>
      <c r="P16" s="44"/>
    </row>
    <row r="17" spans="1:16" s="17" customFormat="1" ht="15" customHeight="1" x14ac:dyDescent="0.25">
      <c r="A17" s="471" t="s">
        <v>49</v>
      </c>
      <c r="B17" s="45" t="s">
        <v>50</v>
      </c>
      <c r="C17" s="45" t="s">
        <v>51</v>
      </c>
      <c r="D17" s="45" t="s">
        <v>52</v>
      </c>
      <c r="E17" s="45" t="s">
        <v>61</v>
      </c>
      <c r="F17" s="45" t="s">
        <v>60</v>
      </c>
      <c r="G17" s="45" t="s">
        <v>53</v>
      </c>
      <c r="H17" s="45" t="s">
        <v>55</v>
      </c>
      <c r="I17" s="45" t="s">
        <v>54</v>
      </c>
      <c r="J17" s="45" t="s">
        <v>54</v>
      </c>
      <c r="K17" s="473" t="s">
        <v>25</v>
      </c>
      <c r="L17" s="474"/>
      <c r="M17" s="474"/>
      <c r="N17" s="474"/>
      <c r="O17" s="474"/>
      <c r="P17" s="475"/>
    </row>
    <row r="18" spans="1:16" ht="15" customHeight="1" x14ac:dyDescent="0.25">
      <c r="A18" s="472"/>
      <c r="B18" s="46" t="s">
        <v>56</v>
      </c>
      <c r="C18" s="46" t="s">
        <v>56</v>
      </c>
      <c r="D18" s="46" t="s">
        <v>56</v>
      </c>
      <c r="E18" s="46" t="s">
        <v>57</v>
      </c>
      <c r="F18" s="46" t="s">
        <v>56</v>
      </c>
      <c r="G18" s="46" t="s">
        <v>62</v>
      </c>
      <c r="H18" s="46" t="s">
        <v>59</v>
      </c>
      <c r="I18" s="46" t="s">
        <v>58</v>
      </c>
      <c r="J18" s="46" t="s">
        <v>51</v>
      </c>
      <c r="K18" s="476"/>
      <c r="L18" s="477"/>
      <c r="M18" s="477"/>
      <c r="N18" s="477"/>
      <c r="O18" s="477"/>
      <c r="P18" s="478"/>
    </row>
    <row r="19" spans="1:16" s="19" customFormat="1" ht="18" customHeight="1" x14ac:dyDescent="0.25">
      <c r="A19" s="145">
        <v>43581</v>
      </c>
      <c r="B19" s="146">
        <v>886</v>
      </c>
      <c r="C19" s="146"/>
      <c r="D19" s="146">
        <v>843</v>
      </c>
      <c r="E19" s="146">
        <v>14.3</v>
      </c>
      <c r="F19" s="146">
        <v>43</v>
      </c>
      <c r="G19" s="146">
        <v>8.3000000000000007</v>
      </c>
      <c r="H19" s="146">
        <v>78.5</v>
      </c>
      <c r="I19" s="146">
        <v>1</v>
      </c>
      <c r="J19" s="146"/>
      <c r="K19" s="479"/>
      <c r="L19" s="480"/>
      <c r="M19" s="480"/>
      <c r="N19" s="480"/>
      <c r="O19" s="480"/>
      <c r="P19" s="481"/>
    </row>
    <row r="20" spans="1:16" s="19" customFormat="1" ht="18" customHeight="1" x14ac:dyDescent="0.25">
      <c r="A20" s="145">
        <v>43585</v>
      </c>
      <c r="B20" s="147">
        <v>843</v>
      </c>
      <c r="C20" s="147"/>
      <c r="D20" s="147">
        <v>779</v>
      </c>
      <c r="E20" s="147">
        <v>16</v>
      </c>
      <c r="F20" s="147">
        <v>64</v>
      </c>
      <c r="G20" s="147">
        <v>8.1999999999999993</v>
      </c>
      <c r="H20" s="147">
        <v>72.5</v>
      </c>
      <c r="I20" s="147">
        <v>1</v>
      </c>
      <c r="J20" s="147"/>
      <c r="K20" s="482" t="s">
        <v>63</v>
      </c>
      <c r="L20" s="483"/>
      <c r="M20" s="483"/>
      <c r="N20" s="483"/>
      <c r="O20" s="483"/>
      <c r="P20" s="484"/>
    </row>
    <row r="21" spans="1:16" s="19" customFormat="1" ht="18" customHeight="1" x14ac:dyDescent="0.25">
      <c r="A21" s="148">
        <v>43588</v>
      </c>
      <c r="B21" s="149">
        <v>779</v>
      </c>
      <c r="C21" s="150"/>
      <c r="D21" s="154">
        <v>736</v>
      </c>
      <c r="E21" s="152">
        <v>14.3</v>
      </c>
      <c r="F21" s="150">
        <v>43</v>
      </c>
      <c r="G21" s="154">
        <v>9.1</v>
      </c>
      <c r="H21" s="156">
        <v>68.5</v>
      </c>
      <c r="I21" s="152">
        <v>1</v>
      </c>
      <c r="J21" s="157"/>
      <c r="K21" s="482"/>
      <c r="L21" s="483"/>
      <c r="M21" s="483"/>
      <c r="N21" s="483"/>
      <c r="O21" s="483"/>
      <c r="P21" s="484"/>
    </row>
    <row r="22" spans="1:16" s="19" customFormat="1" ht="18" customHeight="1" x14ac:dyDescent="0.25">
      <c r="A22" s="148">
        <v>43591</v>
      </c>
      <c r="B22" s="149">
        <v>736</v>
      </c>
      <c r="C22" s="150"/>
      <c r="D22" s="154">
        <v>688</v>
      </c>
      <c r="E22" s="152">
        <v>16</v>
      </c>
      <c r="F22" s="150">
        <v>48</v>
      </c>
      <c r="G22" s="154">
        <v>8.8000000000000007</v>
      </c>
      <c r="H22" s="151">
        <v>64</v>
      </c>
      <c r="I22" s="152">
        <v>1</v>
      </c>
      <c r="J22" s="157"/>
      <c r="K22" s="482"/>
      <c r="L22" s="483"/>
      <c r="M22" s="483"/>
      <c r="N22" s="483"/>
      <c r="O22" s="483"/>
      <c r="P22" s="484"/>
    </row>
    <row r="23" spans="1:16" s="19" customFormat="1" ht="18" customHeight="1" x14ac:dyDescent="0.25">
      <c r="A23" s="148">
        <v>43595</v>
      </c>
      <c r="B23" s="149">
        <v>688</v>
      </c>
      <c r="C23" s="158"/>
      <c r="D23" s="149">
        <v>628</v>
      </c>
      <c r="E23" s="150">
        <v>15</v>
      </c>
      <c r="F23" s="150">
        <v>60</v>
      </c>
      <c r="G23" s="149">
        <v>8.5</v>
      </c>
      <c r="H23" s="156">
        <v>58.5</v>
      </c>
      <c r="I23" s="152">
        <v>1</v>
      </c>
      <c r="J23" s="153"/>
      <c r="K23" s="482"/>
      <c r="L23" s="483"/>
      <c r="M23" s="483"/>
      <c r="N23" s="483"/>
      <c r="O23" s="483"/>
      <c r="P23" s="484"/>
    </row>
    <row r="24" spans="1:16" s="19" customFormat="1" ht="18" customHeight="1" x14ac:dyDescent="0.25">
      <c r="A24" s="148">
        <v>43598</v>
      </c>
      <c r="B24" s="149">
        <v>628</v>
      </c>
      <c r="C24" s="150"/>
      <c r="D24" s="154">
        <v>585</v>
      </c>
      <c r="E24" s="152">
        <v>14.3</v>
      </c>
      <c r="F24" s="152">
        <v>43</v>
      </c>
      <c r="G24" s="154">
        <v>8.6</v>
      </c>
      <c r="H24" s="159">
        <v>54.5</v>
      </c>
      <c r="I24" s="152">
        <v>1</v>
      </c>
      <c r="J24" s="153"/>
      <c r="K24" s="482"/>
      <c r="L24" s="483"/>
      <c r="M24" s="483"/>
      <c r="N24" s="483"/>
      <c r="O24" s="483"/>
      <c r="P24" s="484"/>
    </row>
    <row r="25" spans="1:16" s="19" customFormat="1" ht="18" customHeight="1" x14ac:dyDescent="0.25">
      <c r="A25" s="148">
        <v>43600</v>
      </c>
      <c r="B25" s="149">
        <v>585</v>
      </c>
      <c r="C25" s="150">
        <v>452</v>
      </c>
      <c r="D25" s="154" t="s">
        <v>64</v>
      </c>
      <c r="E25" s="152">
        <v>18.5</v>
      </c>
      <c r="F25" s="152">
        <v>37</v>
      </c>
      <c r="G25" s="154">
        <v>9.1999999999999993</v>
      </c>
      <c r="H25" s="155" t="s">
        <v>65</v>
      </c>
      <c r="I25" s="152">
        <v>1</v>
      </c>
      <c r="J25" s="153">
        <v>1</v>
      </c>
      <c r="K25" s="482" t="s">
        <v>66</v>
      </c>
      <c r="L25" s="483"/>
      <c r="M25" s="483"/>
      <c r="N25" s="483"/>
      <c r="O25" s="483"/>
      <c r="P25" s="484"/>
    </row>
    <row r="26" spans="1:16" s="19" customFormat="1" ht="18" customHeight="1" x14ac:dyDescent="0.25">
      <c r="A26" s="148">
        <v>43606</v>
      </c>
      <c r="B26" s="149">
        <v>1000</v>
      </c>
      <c r="C26" s="150"/>
      <c r="D26" s="154">
        <v>903</v>
      </c>
      <c r="E26" s="152">
        <v>16.2</v>
      </c>
      <c r="F26" s="152">
        <v>97</v>
      </c>
      <c r="G26" s="154">
        <v>8</v>
      </c>
      <c r="H26" s="155">
        <v>84</v>
      </c>
      <c r="I26" s="152">
        <v>1</v>
      </c>
      <c r="J26" s="153"/>
      <c r="K26" s="482"/>
      <c r="L26" s="483"/>
      <c r="M26" s="483"/>
      <c r="N26" s="483"/>
      <c r="O26" s="483"/>
      <c r="P26" s="484"/>
    </row>
    <row r="27" spans="1:16" s="19" customFormat="1" ht="18" customHeight="1" x14ac:dyDescent="0.25">
      <c r="A27" s="160">
        <v>43608</v>
      </c>
      <c r="B27" s="161">
        <v>903</v>
      </c>
      <c r="C27" s="162"/>
      <c r="D27" s="163">
        <v>870</v>
      </c>
      <c r="E27" s="164">
        <v>16.5</v>
      </c>
      <c r="F27" s="164">
        <v>33</v>
      </c>
      <c r="G27" s="163">
        <v>9</v>
      </c>
      <c r="H27" s="167">
        <v>81</v>
      </c>
      <c r="I27" s="164">
        <v>1</v>
      </c>
      <c r="J27" s="166"/>
      <c r="K27" s="487"/>
      <c r="L27" s="488"/>
      <c r="M27" s="488"/>
      <c r="N27" s="488"/>
      <c r="O27" s="488"/>
      <c r="P27" s="489"/>
    </row>
    <row r="28" spans="1:16" s="19" customFormat="1" ht="18" customHeight="1" x14ac:dyDescent="0.25">
      <c r="A28" s="160">
        <v>43612</v>
      </c>
      <c r="B28" s="161">
        <v>870</v>
      </c>
      <c r="C28" s="162"/>
      <c r="D28" s="163">
        <v>827</v>
      </c>
      <c r="E28" s="164">
        <v>10.7</v>
      </c>
      <c r="F28" s="164">
        <v>43</v>
      </c>
      <c r="G28" s="163">
        <v>8</v>
      </c>
      <c r="H28" s="167">
        <v>77</v>
      </c>
      <c r="I28" s="164">
        <v>1</v>
      </c>
      <c r="J28" s="166"/>
      <c r="K28" s="487" t="s">
        <v>63</v>
      </c>
      <c r="L28" s="488"/>
      <c r="M28" s="488"/>
      <c r="N28" s="488"/>
      <c r="O28" s="488"/>
      <c r="P28" s="489"/>
    </row>
    <row r="29" spans="1:16" s="19" customFormat="1" ht="18" customHeight="1" x14ac:dyDescent="0.25">
      <c r="A29" s="160">
        <v>43616</v>
      </c>
      <c r="B29" s="161">
        <v>827</v>
      </c>
      <c r="C29" s="162"/>
      <c r="D29" s="163">
        <v>763</v>
      </c>
      <c r="E29" s="164">
        <v>16</v>
      </c>
      <c r="F29" s="164">
        <v>64</v>
      </c>
      <c r="G29" s="163">
        <v>8</v>
      </c>
      <c r="H29" s="167">
        <v>71</v>
      </c>
      <c r="I29" s="164">
        <v>1</v>
      </c>
      <c r="J29" s="166"/>
      <c r="K29" s="487"/>
      <c r="L29" s="488"/>
      <c r="M29" s="488"/>
      <c r="N29" s="488"/>
      <c r="O29" s="488"/>
      <c r="P29" s="489"/>
    </row>
    <row r="30" spans="1:16" s="19" customFormat="1" ht="18" customHeight="1" x14ac:dyDescent="0.25">
      <c r="A30" s="160">
        <v>43619</v>
      </c>
      <c r="B30" s="161">
        <v>763</v>
      </c>
      <c r="C30" s="162"/>
      <c r="D30" s="163">
        <v>720</v>
      </c>
      <c r="E30" s="164">
        <v>14.3</v>
      </c>
      <c r="F30" s="164">
        <v>43</v>
      </c>
      <c r="G30" s="163">
        <v>8</v>
      </c>
      <c r="H30" s="167">
        <v>67</v>
      </c>
      <c r="I30" s="164">
        <v>1</v>
      </c>
      <c r="J30" s="166"/>
      <c r="K30" s="487" t="s">
        <v>69</v>
      </c>
      <c r="L30" s="488"/>
      <c r="M30" s="488"/>
      <c r="N30" s="488"/>
      <c r="O30" s="488"/>
      <c r="P30" s="489"/>
    </row>
    <row r="31" spans="1:16" s="19" customFormat="1" ht="18" customHeight="1" x14ac:dyDescent="0.25">
      <c r="A31" s="160">
        <v>43623</v>
      </c>
      <c r="B31" s="161">
        <v>720</v>
      </c>
      <c r="C31" s="162"/>
      <c r="D31" s="163">
        <v>661</v>
      </c>
      <c r="E31" s="164">
        <v>14.7</v>
      </c>
      <c r="F31" s="164">
        <v>59</v>
      </c>
      <c r="G31" s="163">
        <v>8.6</v>
      </c>
      <c r="H31" s="165">
        <v>61.5</v>
      </c>
      <c r="I31" s="164">
        <v>1</v>
      </c>
      <c r="J31" s="166"/>
      <c r="K31" s="487"/>
      <c r="L31" s="488"/>
      <c r="M31" s="488"/>
      <c r="N31" s="488"/>
      <c r="O31" s="488"/>
      <c r="P31" s="489"/>
    </row>
    <row r="32" spans="1:16" s="19" customFormat="1" ht="18" customHeight="1" x14ac:dyDescent="0.25">
      <c r="A32" s="160">
        <v>43627</v>
      </c>
      <c r="B32" s="161">
        <v>661</v>
      </c>
      <c r="C32" s="162"/>
      <c r="D32" s="163">
        <v>602</v>
      </c>
      <c r="E32" s="164">
        <v>14.7</v>
      </c>
      <c r="F32" s="164">
        <v>59</v>
      </c>
      <c r="G32" s="163">
        <v>8.6</v>
      </c>
      <c r="H32" s="167">
        <v>56</v>
      </c>
      <c r="I32" s="164">
        <v>1</v>
      </c>
      <c r="J32" s="166"/>
      <c r="K32" s="487" t="s">
        <v>70</v>
      </c>
      <c r="L32" s="488"/>
      <c r="M32" s="488"/>
      <c r="N32" s="488"/>
      <c r="O32" s="488"/>
      <c r="P32" s="489"/>
    </row>
    <row r="33" spans="1:16" s="19" customFormat="1" ht="18" customHeight="1" x14ac:dyDescent="0.25">
      <c r="A33" s="160">
        <v>43629</v>
      </c>
      <c r="B33" s="161">
        <v>602</v>
      </c>
      <c r="C33" s="162">
        <v>431</v>
      </c>
      <c r="D33" s="163" t="s">
        <v>71</v>
      </c>
      <c r="E33" s="164">
        <v>16.5</v>
      </c>
      <c r="F33" s="164">
        <v>33</v>
      </c>
      <c r="G33" s="163">
        <v>8.6</v>
      </c>
      <c r="H33" s="167" t="s">
        <v>72</v>
      </c>
      <c r="I33" s="164">
        <v>1</v>
      </c>
      <c r="J33" s="166">
        <v>1</v>
      </c>
      <c r="K33" s="487"/>
      <c r="L33" s="488"/>
      <c r="M33" s="488"/>
      <c r="N33" s="488"/>
      <c r="O33" s="488"/>
      <c r="P33" s="489"/>
    </row>
    <row r="34" spans="1:16" s="19" customFormat="1" ht="18" customHeight="1" x14ac:dyDescent="0.25">
      <c r="A34" s="160">
        <v>43634</v>
      </c>
      <c r="B34" s="161">
        <v>1000</v>
      </c>
      <c r="C34" s="162"/>
      <c r="D34" s="163">
        <v>935</v>
      </c>
      <c r="E34" s="164">
        <v>13</v>
      </c>
      <c r="F34" s="164">
        <v>65</v>
      </c>
      <c r="G34" s="163">
        <v>8.6</v>
      </c>
      <c r="H34" s="167">
        <v>87</v>
      </c>
      <c r="I34" s="164">
        <v>1</v>
      </c>
      <c r="J34" s="166"/>
      <c r="K34" s="487" t="s">
        <v>73</v>
      </c>
      <c r="L34" s="488"/>
      <c r="M34" s="488"/>
      <c r="N34" s="488"/>
      <c r="O34" s="488"/>
      <c r="P34" s="489"/>
    </row>
    <row r="35" spans="1:16" s="19" customFormat="1" ht="18" customHeight="1" x14ac:dyDescent="0.25">
      <c r="A35" s="160">
        <v>43637</v>
      </c>
      <c r="B35" s="161">
        <v>935</v>
      </c>
      <c r="C35" s="162"/>
      <c r="D35" s="163">
        <v>881</v>
      </c>
      <c r="E35" s="164">
        <v>18</v>
      </c>
      <c r="F35" s="164">
        <v>54</v>
      </c>
      <c r="G35" s="163">
        <v>8.5</v>
      </c>
      <c r="H35" s="167">
        <v>82</v>
      </c>
      <c r="I35" s="164">
        <v>1</v>
      </c>
      <c r="J35" s="166"/>
      <c r="K35" s="487"/>
      <c r="L35" s="488"/>
      <c r="M35" s="488"/>
      <c r="N35" s="488"/>
      <c r="O35" s="488"/>
      <c r="P35" s="489"/>
    </row>
    <row r="36" spans="1:16" s="19" customFormat="1" ht="18" customHeight="1" x14ac:dyDescent="0.25">
      <c r="A36" s="168">
        <v>43642</v>
      </c>
      <c r="B36" s="169">
        <v>881</v>
      </c>
      <c r="C36" s="170"/>
      <c r="D36" s="173">
        <v>800</v>
      </c>
      <c r="E36" s="171">
        <v>16.2</v>
      </c>
      <c r="F36" s="171">
        <v>81</v>
      </c>
      <c r="G36" s="173">
        <v>8.5</v>
      </c>
      <c r="H36" s="174">
        <v>74.5</v>
      </c>
      <c r="I36" s="171">
        <v>1</v>
      </c>
      <c r="J36" s="172"/>
      <c r="K36" s="468"/>
      <c r="L36" s="469"/>
      <c r="M36" s="469"/>
      <c r="N36" s="469"/>
      <c r="O36" s="469"/>
      <c r="P36" s="470"/>
    </row>
    <row r="37" spans="1:16" s="19" customFormat="1" ht="18" customHeight="1" x14ac:dyDescent="0.25">
      <c r="A37" s="168">
        <v>43644</v>
      </c>
      <c r="B37" s="169">
        <v>800</v>
      </c>
      <c r="C37" s="170"/>
      <c r="D37" s="173">
        <v>768</v>
      </c>
      <c r="E37" s="171">
        <v>16</v>
      </c>
      <c r="F37" s="171">
        <v>32</v>
      </c>
      <c r="G37" s="173">
        <v>8.6</v>
      </c>
      <c r="H37" s="174">
        <v>71.5</v>
      </c>
      <c r="I37" s="171">
        <v>1</v>
      </c>
      <c r="J37" s="172"/>
      <c r="K37" s="169"/>
      <c r="L37" s="176"/>
      <c r="M37" s="176"/>
      <c r="N37" s="176"/>
      <c r="O37" s="176"/>
      <c r="P37" s="177"/>
    </row>
    <row r="38" spans="1:16" s="19" customFormat="1" ht="18" customHeight="1" x14ac:dyDescent="0.25">
      <c r="A38" s="168">
        <v>43647</v>
      </c>
      <c r="B38" s="169">
        <v>768</v>
      </c>
      <c r="C38" s="170"/>
      <c r="D38" s="173">
        <v>725</v>
      </c>
      <c r="E38" s="171">
        <v>14.3</v>
      </c>
      <c r="F38" s="171">
        <v>43</v>
      </c>
      <c r="G38" s="173">
        <v>8.4</v>
      </c>
      <c r="H38" s="174">
        <v>67.5</v>
      </c>
      <c r="I38" s="171">
        <v>1</v>
      </c>
      <c r="J38" s="172"/>
      <c r="K38" s="169"/>
      <c r="L38" s="176"/>
      <c r="M38" s="176"/>
      <c r="N38" s="176"/>
      <c r="O38" s="176"/>
      <c r="P38" s="177"/>
    </row>
    <row r="39" spans="1:16" s="19" customFormat="1" ht="18" customHeight="1" x14ac:dyDescent="0.25">
      <c r="A39" s="168">
        <v>43651</v>
      </c>
      <c r="B39" s="169">
        <v>725</v>
      </c>
      <c r="C39" s="170"/>
      <c r="D39" s="173">
        <v>666</v>
      </c>
      <c r="E39" s="171">
        <v>14.7</v>
      </c>
      <c r="F39" s="171">
        <v>59</v>
      </c>
      <c r="G39" s="173">
        <v>8.4</v>
      </c>
      <c r="H39" s="175">
        <v>62</v>
      </c>
      <c r="I39" s="171">
        <v>1</v>
      </c>
      <c r="J39" s="172"/>
      <c r="K39" s="169"/>
      <c r="L39" s="176"/>
      <c r="M39" s="176"/>
      <c r="N39" s="176"/>
      <c r="O39" s="176"/>
      <c r="P39" s="177"/>
    </row>
    <row r="40" spans="1:16" s="19" customFormat="1" ht="18" customHeight="1" x14ac:dyDescent="0.25">
      <c r="A40" s="168">
        <v>43654</v>
      </c>
      <c r="B40" s="169">
        <v>666</v>
      </c>
      <c r="C40" s="170"/>
      <c r="D40" s="173">
        <v>612</v>
      </c>
      <c r="E40" s="171">
        <v>18</v>
      </c>
      <c r="F40" s="171">
        <v>54</v>
      </c>
      <c r="G40" s="173">
        <v>8.6</v>
      </c>
      <c r="H40" s="175">
        <v>57</v>
      </c>
      <c r="I40" s="171">
        <v>1</v>
      </c>
      <c r="J40" s="172"/>
      <c r="K40" s="169"/>
      <c r="L40" s="176"/>
      <c r="M40" s="176"/>
      <c r="N40" s="176"/>
      <c r="O40" s="176"/>
      <c r="P40" s="177"/>
    </row>
    <row r="41" spans="1:16" s="19" customFormat="1" ht="18" customHeight="1" x14ac:dyDescent="0.25">
      <c r="A41" s="168">
        <v>43658</v>
      </c>
      <c r="B41" s="169">
        <v>612</v>
      </c>
      <c r="C41" s="170"/>
      <c r="D41" s="173">
        <v>548</v>
      </c>
      <c r="E41" s="171">
        <v>16</v>
      </c>
      <c r="F41" s="171">
        <v>64</v>
      </c>
      <c r="G41" s="173">
        <v>8.6999999999999993</v>
      </c>
      <c r="H41" s="175">
        <v>51</v>
      </c>
      <c r="I41" s="171">
        <v>1</v>
      </c>
      <c r="J41" s="172"/>
      <c r="K41" s="169"/>
      <c r="L41" s="176"/>
      <c r="M41" s="176"/>
      <c r="N41" s="176"/>
      <c r="O41" s="176"/>
      <c r="P41" s="177"/>
    </row>
    <row r="42" spans="1:16" s="19" customFormat="1" ht="18" customHeight="1" x14ac:dyDescent="0.25">
      <c r="A42" s="168">
        <v>43661</v>
      </c>
      <c r="B42" s="169">
        <v>548</v>
      </c>
      <c r="C42" s="170">
        <v>495</v>
      </c>
      <c r="D42" s="173" t="s">
        <v>75</v>
      </c>
      <c r="E42" s="171">
        <v>18</v>
      </c>
      <c r="F42" s="171">
        <v>54</v>
      </c>
      <c r="G42" s="173">
        <v>8.8000000000000007</v>
      </c>
      <c r="H42" s="175" t="s">
        <v>76</v>
      </c>
      <c r="I42" s="171">
        <v>1</v>
      </c>
      <c r="J42" s="172">
        <v>1</v>
      </c>
      <c r="K42" s="468" t="s">
        <v>77</v>
      </c>
      <c r="L42" s="469"/>
      <c r="M42" s="469"/>
      <c r="N42" s="469"/>
      <c r="O42" s="469"/>
      <c r="P42" s="470"/>
    </row>
    <row r="43" spans="1:16" s="19" customFormat="1" ht="18" customHeight="1" x14ac:dyDescent="0.25">
      <c r="A43" s="168">
        <v>43665</v>
      </c>
      <c r="B43" s="169">
        <v>989</v>
      </c>
      <c r="C43" s="170"/>
      <c r="D43" s="173">
        <v>924</v>
      </c>
      <c r="E43" s="171">
        <v>16.2</v>
      </c>
      <c r="F43" s="171">
        <v>65</v>
      </c>
      <c r="G43" s="173">
        <v>8.6</v>
      </c>
      <c r="H43" s="175">
        <v>86</v>
      </c>
      <c r="I43" s="171">
        <v>1</v>
      </c>
      <c r="J43" s="172"/>
      <c r="K43" s="169"/>
      <c r="L43" s="176"/>
      <c r="M43" s="176"/>
      <c r="N43" s="176"/>
      <c r="O43" s="176"/>
      <c r="P43" s="177"/>
    </row>
    <row r="44" spans="1:16" s="19" customFormat="1" ht="18" customHeight="1" x14ac:dyDescent="0.25">
      <c r="A44" s="168">
        <v>43668</v>
      </c>
      <c r="B44" s="169">
        <v>924</v>
      </c>
      <c r="C44" s="170"/>
      <c r="D44" s="173">
        <v>876</v>
      </c>
      <c r="E44" s="171">
        <v>16</v>
      </c>
      <c r="F44" s="171">
        <v>48</v>
      </c>
      <c r="G44" s="173">
        <v>43</v>
      </c>
      <c r="H44" s="175">
        <v>81.5</v>
      </c>
      <c r="I44" s="171">
        <v>1</v>
      </c>
      <c r="J44" s="172"/>
      <c r="K44" s="468" t="s">
        <v>78</v>
      </c>
      <c r="L44" s="469"/>
      <c r="M44" s="469"/>
      <c r="N44" s="469"/>
      <c r="O44" s="469"/>
      <c r="P44" s="470"/>
    </row>
    <row r="45" spans="1:16" s="19" customFormat="1" ht="18" customHeight="1" x14ac:dyDescent="0.25">
      <c r="A45" s="178">
        <v>43672</v>
      </c>
      <c r="B45" s="179">
        <v>876</v>
      </c>
      <c r="C45" s="180"/>
      <c r="D45" s="181">
        <v>838</v>
      </c>
      <c r="E45" s="182">
        <v>9.5</v>
      </c>
      <c r="F45" s="182">
        <v>38</v>
      </c>
      <c r="G45" s="181">
        <v>4.3</v>
      </c>
      <c r="H45" s="183">
        <v>78</v>
      </c>
      <c r="I45" s="182">
        <v>1</v>
      </c>
      <c r="J45" s="184"/>
      <c r="K45" s="495" t="s">
        <v>80</v>
      </c>
      <c r="L45" s="496"/>
      <c r="M45" s="496"/>
      <c r="N45" s="496"/>
      <c r="O45" s="496"/>
      <c r="P45" s="497"/>
    </row>
    <row r="46" spans="1:16" s="19" customFormat="1" ht="18" customHeight="1" x14ac:dyDescent="0.25">
      <c r="A46" s="178">
        <v>43675</v>
      </c>
      <c r="B46" s="179">
        <v>838</v>
      </c>
      <c r="C46" s="180"/>
      <c r="D46" s="181">
        <v>806</v>
      </c>
      <c r="E46" s="182">
        <v>10.7</v>
      </c>
      <c r="F46" s="182">
        <v>32</v>
      </c>
      <c r="G46" s="181">
        <v>4.3</v>
      </c>
      <c r="H46" s="183">
        <v>75</v>
      </c>
      <c r="I46" s="182">
        <v>1</v>
      </c>
      <c r="J46" s="184"/>
      <c r="K46" s="495" t="s">
        <v>81</v>
      </c>
      <c r="L46" s="496"/>
      <c r="M46" s="496"/>
      <c r="N46" s="496"/>
      <c r="O46" s="496"/>
      <c r="P46" s="497"/>
    </row>
    <row r="47" spans="1:16" s="19" customFormat="1" ht="18" customHeight="1" x14ac:dyDescent="0.25">
      <c r="A47" s="178">
        <v>43679</v>
      </c>
      <c r="B47" s="179">
        <v>806</v>
      </c>
      <c r="C47" s="180"/>
      <c r="D47" s="181">
        <v>763</v>
      </c>
      <c r="E47" s="182">
        <v>10.7</v>
      </c>
      <c r="F47" s="182">
        <v>43</v>
      </c>
      <c r="G47" s="181">
        <v>5.3</v>
      </c>
      <c r="H47" s="183">
        <v>71</v>
      </c>
      <c r="I47" s="182">
        <v>1</v>
      </c>
      <c r="J47" s="184"/>
      <c r="K47" s="495" t="s">
        <v>81</v>
      </c>
      <c r="L47" s="496"/>
      <c r="M47" s="496"/>
      <c r="N47" s="496"/>
      <c r="O47" s="496"/>
      <c r="P47" s="497"/>
    </row>
    <row r="48" spans="1:16" s="19" customFormat="1" ht="18" customHeight="1" x14ac:dyDescent="0.25">
      <c r="A48" s="178">
        <v>43682</v>
      </c>
      <c r="B48" s="179">
        <v>763</v>
      </c>
      <c r="C48" s="180"/>
      <c r="D48" s="181">
        <v>731</v>
      </c>
      <c r="E48" s="182">
        <v>10.7</v>
      </c>
      <c r="F48" s="182">
        <v>32</v>
      </c>
      <c r="G48" s="181">
        <v>5.3</v>
      </c>
      <c r="H48" s="183">
        <v>68</v>
      </c>
      <c r="I48" s="182">
        <v>1</v>
      </c>
      <c r="J48" s="184"/>
      <c r="K48" s="495" t="s">
        <v>66</v>
      </c>
      <c r="L48" s="496"/>
      <c r="M48" s="496"/>
      <c r="N48" s="496"/>
      <c r="O48" s="496"/>
      <c r="P48" s="497"/>
    </row>
    <row r="49" spans="1:16" s="19" customFormat="1" ht="18" customHeight="1" x14ac:dyDescent="0.25">
      <c r="A49" s="178">
        <v>43685</v>
      </c>
      <c r="B49" s="179">
        <v>731</v>
      </c>
      <c r="C49" s="180"/>
      <c r="D49" s="181">
        <v>688</v>
      </c>
      <c r="E49" s="182">
        <v>14.3</v>
      </c>
      <c r="F49" s="182">
        <v>43</v>
      </c>
      <c r="G49" s="181">
        <v>5</v>
      </c>
      <c r="H49" s="183">
        <v>64</v>
      </c>
      <c r="I49" s="182">
        <v>1</v>
      </c>
      <c r="J49" s="184"/>
      <c r="K49" s="495" t="s">
        <v>82</v>
      </c>
      <c r="L49" s="496"/>
      <c r="M49" s="496"/>
      <c r="N49" s="496"/>
      <c r="O49" s="496"/>
      <c r="P49" s="497"/>
    </row>
    <row r="50" spans="1:16" s="19" customFormat="1" ht="18" customHeight="1" x14ac:dyDescent="0.25">
      <c r="A50" s="178">
        <v>43692</v>
      </c>
      <c r="B50" s="179">
        <v>688</v>
      </c>
      <c r="C50" s="180"/>
      <c r="D50" s="181">
        <v>688</v>
      </c>
      <c r="E50" s="182">
        <v>60</v>
      </c>
      <c r="F50" s="182">
        <v>60</v>
      </c>
      <c r="G50" s="181">
        <v>5</v>
      </c>
      <c r="H50" s="183">
        <v>64</v>
      </c>
      <c r="I50" s="182">
        <v>1</v>
      </c>
      <c r="J50" s="184"/>
      <c r="K50" s="495" t="s">
        <v>83</v>
      </c>
      <c r="L50" s="496"/>
      <c r="M50" s="496"/>
      <c r="N50" s="496"/>
      <c r="O50" s="496"/>
      <c r="P50" s="497"/>
    </row>
    <row r="51" spans="1:16" s="19" customFormat="1" ht="18" customHeight="1" x14ac:dyDescent="0.25">
      <c r="A51" s="178">
        <v>43693</v>
      </c>
      <c r="B51" s="179">
        <v>688</v>
      </c>
      <c r="C51" s="180"/>
      <c r="D51" s="181">
        <v>677</v>
      </c>
      <c r="E51" s="182">
        <v>11</v>
      </c>
      <c r="F51" s="182">
        <v>11</v>
      </c>
      <c r="G51" s="181">
        <v>4.5</v>
      </c>
      <c r="H51" s="183">
        <v>63</v>
      </c>
      <c r="I51" s="182">
        <v>1</v>
      </c>
      <c r="J51" s="184"/>
      <c r="K51" s="495"/>
      <c r="L51" s="496"/>
      <c r="M51" s="496"/>
      <c r="N51" s="496"/>
      <c r="O51" s="496"/>
      <c r="P51" s="497"/>
    </row>
    <row r="52" spans="1:16" s="19" customFormat="1" ht="18" customHeight="1" x14ac:dyDescent="0.25">
      <c r="A52" s="178">
        <v>43697</v>
      </c>
      <c r="B52" s="179">
        <v>677</v>
      </c>
      <c r="C52" s="180">
        <v>382</v>
      </c>
      <c r="D52" s="181" t="s">
        <v>84</v>
      </c>
      <c r="E52" s="182">
        <v>14.7</v>
      </c>
      <c r="F52" s="182">
        <v>59</v>
      </c>
      <c r="G52" s="181">
        <v>4.3</v>
      </c>
      <c r="H52" s="183" t="s">
        <v>85</v>
      </c>
      <c r="I52" s="182">
        <v>1</v>
      </c>
      <c r="J52" s="184">
        <v>1</v>
      </c>
      <c r="K52" s="495" t="s">
        <v>86</v>
      </c>
      <c r="L52" s="496"/>
      <c r="M52" s="496"/>
      <c r="N52" s="496"/>
      <c r="O52" s="496"/>
      <c r="P52" s="497"/>
    </row>
    <row r="53" spans="1:16" s="19" customFormat="1" ht="18" customHeight="1" x14ac:dyDescent="0.25">
      <c r="A53" s="186">
        <v>43699</v>
      </c>
      <c r="B53" s="187">
        <v>1000</v>
      </c>
      <c r="C53" s="188"/>
      <c r="D53" s="189">
        <v>962</v>
      </c>
      <c r="E53" s="190">
        <v>19</v>
      </c>
      <c r="F53" s="190">
        <v>38</v>
      </c>
      <c r="G53" s="189">
        <v>9.6</v>
      </c>
      <c r="H53" s="193">
        <v>89.5</v>
      </c>
      <c r="I53" s="190">
        <v>1</v>
      </c>
      <c r="J53" s="192"/>
      <c r="K53" s="490" t="s">
        <v>87</v>
      </c>
      <c r="L53" s="491"/>
      <c r="M53" s="491"/>
      <c r="N53" s="491"/>
      <c r="O53" s="491"/>
      <c r="P53" s="492"/>
    </row>
    <row r="54" spans="1:16" s="19" customFormat="1" ht="18" customHeight="1" x14ac:dyDescent="0.25">
      <c r="A54" s="186">
        <v>43703</v>
      </c>
      <c r="B54" s="187">
        <v>962</v>
      </c>
      <c r="C54" s="188"/>
      <c r="D54" s="189">
        <v>897</v>
      </c>
      <c r="E54" s="190">
        <v>16.2</v>
      </c>
      <c r="F54" s="190">
        <v>65</v>
      </c>
      <c r="G54" s="189">
        <v>7.9</v>
      </c>
      <c r="H54" s="193">
        <v>83.5</v>
      </c>
      <c r="I54" s="190">
        <v>1</v>
      </c>
      <c r="J54" s="192"/>
      <c r="K54" s="490"/>
      <c r="L54" s="491"/>
      <c r="M54" s="491"/>
      <c r="N54" s="491"/>
      <c r="O54" s="491"/>
      <c r="P54" s="492"/>
    </row>
    <row r="55" spans="1:16" s="19" customFormat="1" ht="18" customHeight="1" x14ac:dyDescent="0.25">
      <c r="A55" s="186">
        <v>43706</v>
      </c>
      <c r="B55" s="187">
        <v>897</v>
      </c>
      <c r="C55" s="188"/>
      <c r="D55" s="189">
        <v>854</v>
      </c>
      <c r="E55" s="190">
        <v>14.3</v>
      </c>
      <c r="F55" s="190">
        <v>43</v>
      </c>
      <c r="G55" s="189">
        <v>8</v>
      </c>
      <c r="H55" s="193">
        <v>79.5</v>
      </c>
      <c r="I55" s="190">
        <v>1</v>
      </c>
      <c r="J55" s="192"/>
      <c r="K55" s="490" t="s">
        <v>63</v>
      </c>
      <c r="L55" s="491"/>
      <c r="M55" s="491"/>
      <c r="N55" s="491"/>
      <c r="O55" s="491"/>
      <c r="P55" s="492"/>
    </row>
    <row r="56" spans="1:16" s="19" customFormat="1" ht="18" customHeight="1" x14ac:dyDescent="0.25">
      <c r="A56" s="186">
        <v>43710</v>
      </c>
      <c r="B56" s="187">
        <v>854</v>
      </c>
      <c r="C56" s="188"/>
      <c r="D56" s="189">
        <v>795</v>
      </c>
      <c r="E56" s="190">
        <v>14.7</v>
      </c>
      <c r="F56" s="190">
        <v>59</v>
      </c>
      <c r="G56" s="189">
        <v>9</v>
      </c>
      <c r="H56" s="191">
        <v>74</v>
      </c>
      <c r="I56" s="190">
        <v>1</v>
      </c>
      <c r="J56" s="192"/>
      <c r="K56" s="490"/>
      <c r="L56" s="491"/>
      <c r="M56" s="491"/>
      <c r="N56" s="491"/>
      <c r="O56" s="491"/>
      <c r="P56" s="492"/>
    </row>
    <row r="57" spans="1:16" s="19" customFormat="1" ht="18" customHeight="1" x14ac:dyDescent="0.25">
      <c r="A57" s="186">
        <v>43714</v>
      </c>
      <c r="B57" s="187">
        <v>795</v>
      </c>
      <c r="C57" s="188"/>
      <c r="D57" s="189">
        <v>731</v>
      </c>
      <c r="E57" s="190">
        <v>16</v>
      </c>
      <c r="F57" s="190">
        <v>64</v>
      </c>
      <c r="G57" s="189">
        <v>8</v>
      </c>
      <c r="H57" s="191">
        <v>68</v>
      </c>
      <c r="I57" s="190">
        <v>1</v>
      </c>
      <c r="J57" s="192"/>
      <c r="K57" s="490"/>
      <c r="L57" s="491"/>
      <c r="M57" s="491"/>
      <c r="N57" s="491"/>
      <c r="O57" s="491"/>
      <c r="P57" s="492"/>
    </row>
    <row r="58" spans="1:16" s="19" customFormat="1" ht="18" customHeight="1" x14ac:dyDescent="0.25">
      <c r="A58" s="186">
        <v>43717</v>
      </c>
      <c r="B58" s="187">
        <v>731</v>
      </c>
      <c r="C58" s="188"/>
      <c r="D58" s="189">
        <v>682</v>
      </c>
      <c r="E58" s="190">
        <v>16.3</v>
      </c>
      <c r="F58" s="190">
        <v>49</v>
      </c>
      <c r="G58" s="189">
        <v>8.1999999999999993</v>
      </c>
      <c r="H58" s="193">
        <v>63.5</v>
      </c>
      <c r="I58" s="190">
        <v>1</v>
      </c>
      <c r="J58" s="192"/>
      <c r="K58" s="490"/>
      <c r="L58" s="491"/>
      <c r="M58" s="491"/>
      <c r="N58" s="491"/>
      <c r="O58" s="491"/>
      <c r="P58" s="492"/>
    </row>
    <row r="59" spans="1:16" s="19" customFormat="1" ht="18" customHeight="1" x14ac:dyDescent="0.25">
      <c r="A59" s="186">
        <v>43720</v>
      </c>
      <c r="B59" s="187">
        <v>682</v>
      </c>
      <c r="C59" s="188"/>
      <c r="D59" s="189">
        <v>634</v>
      </c>
      <c r="E59" s="190">
        <v>16</v>
      </c>
      <c r="F59" s="190">
        <v>48</v>
      </c>
      <c r="G59" s="189">
        <v>8.4</v>
      </c>
      <c r="H59" s="191">
        <v>59</v>
      </c>
      <c r="I59" s="190">
        <v>1</v>
      </c>
      <c r="J59" s="192"/>
      <c r="K59" s="490"/>
      <c r="L59" s="491"/>
      <c r="M59" s="491"/>
      <c r="N59" s="491"/>
      <c r="O59" s="491"/>
      <c r="P59" s="492"/>
    </row>
    <row r="60" spans="1:16" s="19" customFormat="1" ht="18" customHeight="1" x14ac:dyDescent="0.25">
      <c r="A60" s="186">
        <v>43724</v>
      </c>
      <c r="B60" s="187">
        <v>634</v>
      </c>
      <c r="C60" s="188"/>
      <c r="D60" s="189">
        <v>585</v>
      </c>
      <c r="E60" s="190">
        <v>12.2</v>
      </c>
      <c r="F60" s="190">
        <v>49</v>
      </c>
      <c r="G60" s="189">
        <v>8.6999999999999993</v>
      </c>
      <c r="H60" s="193">
        <v>54.5</v>
      </c>
      <c r="I60" s="190">
        <v>1</v>
      </c>
      <c r="J60" s="192"/>
      <c r="K60" s="490"/>
      <c r="L60" s="491"/>
      <c r="M60" s="491"/>
      <c r="N60" s="491"/>
      <c r="O60" s="491"/>
      <c r="P60" s="492"/>
    </row>
    <row r="61" spans="1:16" s="19" customFormat="1" ht="18" customHeight="1" x14ac:dyDescent="0.25">
      <c r="A61" s="186">
        <v>43728</v>
      </c>
      <c r="B61" s="187">
        <v>585</v>
      </c>
      <c r="C61" s="188"/>
      <c r="D61" s="189">
        <v>532</v>
      </c>
      <c r="E61" s="190">
        <v>13.2</v>
      </c>
      <c r="F61" s="190">
        <v>53</v>
      </c>
      <c r="G61" s="189">
        <v>8.6</v>
      </c>
      <c r="H61" s="191">
        <v>49.5</v>
      </c>
      <c r="I61" s="190">
        <v>1</v>
      </c>
      <c r="J61" s="192"/>
      <c r="K61" s="490"/>
      <c r="L61" s="491"/>
      <c r="M61" s="491"/>
      <c r="N61" s="491"/>
      <c r="O61" s="491"/>
      <c r="P61" s="492"/>
    </row>
    <row r="62" spans="1:16" s="19" customFormat="1" ht="18" customHeight="1" x14ac:dyDescent="0.25">
      <c r="A62" s="168">
        <v>43732</v>
      </c>
      <c r="B62" s="169">
        <v>532</v>
      </c>
      <c r="C62" s="170"/>
      <c r="D62" s="173">
        <v>473</v>
      </c>
      <c r="E62" s="171">
        <v>14.7</v>
      </c>
      <c r="F62" s="171">
        <v>59</v>
      </c>
      <c r="G62" s="173">
        <v>8.6</v>
      </c>
      <c r="H62" s="175">
        <v>44</v>
      </c>
      <c r="I62" s="171">
        <v>1</v>
      </c>
      <c r="J62" s="172"/>
      <c r="K62" s="468" t="s">
        <v>88</v>
      </c>
      <c r="L62" s="469"/>
      <c r="M62" s="469"/>
      <c r="N62" s="469"/>
      <c r="O62" s="469"/>
      <c r="P62" s="470"/>
    </row>
    <row r="63" spans="1:16" s="19" customFormat="1" ht="18" customHeight="1" x14ac:dyDescent="0.25">
      <c r="A63" s="168">
        <v>43735</v>
      </c>
      <c r="B63" s="169">
        <v>473</v>
      </c>
      <c r="C63" s="170">
        <v>559</v>
      </c>
      <c r="D63" s="173" t="s">
        <v>89</v>
      </c>
      <c r="E63" s="171">
        <v>32.299999999999997</v>
      </c>
      <c r="F63" s="171">
        <v>97</v>
      </c>
      <c r="G63" s="173">
        <v>8.6</v>
      </c>
      <c r="H63" s="175" t="s">
        <v>90</v>
      </c>
      <c r="I63" s="171">
        <v>1</v>
      </c>
      <c r="J63" s="172">
        <v>1</v>
      </c>
      <c r="K63" s="468" t="s">
        <v>68</v>
      </c>
      <c r="L63" s="469"/>
      <c r="M63" s="469"/>
      <c r="N63" s="469"/>
      <c r="O63" s="469"/>
      <c r="P63" s="470"/>
    </row>
    <row r="64" spans="1:16" s="19" customFormat="1" ht="18" customHeight="1" x14ac:dyDescent="0.25">
      <c r="A64" s="168">
        <v>43739</v>
      </c>
      <c r="B64" s="169">
        <v>935</v>
      </c>
      <c r="C64" s="170"/>
      <c r="D64" s="173">
        <v>806</v>
      </c>
      <c r="E64" s="171">
        <v>32.200000000000003</v>
      </c>
      <c r="F64" s="171">
        <v>129</v>
      </c>
      <c r="G64" s="173">
        <v>7.6</v>
      </c>
      <c r="H64" s="175">
        <v>75</v>
      </c>
      <c r="I64" s="171">
        <v>1</v>
      </c>
      <c r="J64" s="172"/>
      <c r="K64" s="468"/>
      <c r="L64" s="469"/>
      <c r="M64" s="469"/>
      <c r="N64" s="469"/>
      <c r="O64" s="469"/>
      <c r="P64" s="470"/>
    </row>
    <row r="65" spans="1:16" s="19" customFormat="1" ht="18" customHeight="1" x14ac:dyDescent="0.25">
      <c r="A65" s="168">
        <v>43742</v>
      </c>
      <c r="B65" s="169">
        <v>806</v>
      </c>
      <c r="C65" s="170"/>
      <c r="D65" s="173">
        <v>709</v>
      </c>
      <c r="E65" s="171">
        <v>32.299999999999997</v>
      </c>
      <c r="F65" s="171">
        <v>97</v>
      </c>
      <c r="G65" s="173">
        <v>8.1</v>
      </c>
      <c r="H65" s="175">
        <v>66</v>
      </c>
      <c r="I65" s="171">
        <v>1</v>
      </c>
      <c r="J65" s="172"/>
      <c r="K65" s="468"/>
      <c r="L65" s="469"/>
      <c r="M65" s="469"/>
      <c r="N65" s="469"/>
      <c r="O65" s="469"/>
      <c r="P65" s="470"/>
    </row>
    <row r="66" spans="1:16" s="19" customFormat="1" ht="18" customHeight="1" x14ac:dyDescent="0.25">
      <c r="A66" s="168">
        <v>43745</v>
      </c>
      <c r="B66" s="169">
        <v>709</v>
      </c>
      <c r="C66" s="170"/>
      <c r="D66" s="173">
        <v>688</v>
      </c>
      <c r="E66" s="171">
        <v>7</v>
      </c>
      <c r="F66" s="171">
        <v>21</v>
      </c>
      <c r="G66" s="173">
        <v>8.1999999999999993</v>
      </c>
      <c r="H66" s="175">
        <v>64</v>
      </c>
      <c r="I66" s="171">
        <v>1</v>
      </c>
      <c r="J66" s="172"/>
      <c r="K66" s="468" t="s">
        <v>91</v>
      </c>
      <c r="L66" s="469"/>
      <c r="M66" s="469"/>
      <c r="N66" s="469"/>
      <c r="O66" s="469"/>
      <c r="P66" s="470"/>
    </row>
    <row r="67" spans="1:16" s="19" customFormat="1" ht="18" customHeight="1" x14ac:dyDescent="0.25">
      <c r="A67" s="168">
        <v>43748</v>
      </c>
      <c r="B67" s="169">
        <v>688</v>
      </c>
      <c r="C67" s="170"/>
      <c r="D67" s="173">
        <v>618</v>
      </c>
      <c r="E67" s="171">
        <v>23.3</v>
      </c>
      <c r="F67" s="171">
        <v>70</v>
      </c>
      <c r="G67" s="173">
        <v>8.5</v>
      </c>
      <c r="H67" s="174">
        <v>57.5</v>
      </c>
      <c r="I67" s="171">
        <v>1</v>
      </c>
      <c r="J67" s="172"/>
      <c r="K67" s="468"/>
      <c r="L67" s="469"/>
      <c r="M67" s="469"/>
      <c r="N67" s="469"/>
      <c r="O67" s="469"/>
      <c r="P67" s="470"/>
    </row>
    <row r="68" spans="1:16" s="19" customFormat="1" ht="18" customHeight="1" x14ac:dyDescent="0.25">
      <c r="A68" s="168">
        <v>43752</v>
      </c>
      <c r="B68" s="169">
        <v>618</v>
      </c>
      <c r="C68" s="170"/>
      <c r="D68" s="173">
        <v>526</v>
      </c>
      <c r="E68" s="171">
        <v>23</v>
      </c>
      <c r="F68" s="171">
        <v>92</v>
      </c>
      <c r="G68" s="173">
        <v>9</v>
      </c>
      <c r="H68" s="175">
        <v>49</v>
      </c>
      <c r="I68" s="171">
        <v>1</v>
      </c>
      <c r="J68" s="172"/>
      <c r="K68" s="468" t="s">
        <v>63</v>
      </c>
      <c r="L68" s="469"/>
      <c r="M68" s="469"/>
      <c r="N68" s="469"/>
      <c r="O68" s="469"/>
      <c r="P68" s="470"/>
    </row>
    <row r="69" spans="1:16" s="19" customFormat="1" ht="18" customHeight="1" x14ac:dyDescent="0.25">
      <c r="A69" s="168">
        <v>43756</v>
      </c>
      <c r="B69" s="169">
        <v>526</v>
      </c>
      <c r="C69" s="170"/>
      <c r="D69" s="173">
        <v>451</v>
      </c>
      <c r="E69" s="171">
        <v>18.7</v>
      </c>
      <c r="F69" s="171">
        <v>75</v>
      </c>
      <c r="G69" s="173">
        <v>7.5</v>
      </c>
      <c r="H69" s="175">
        <v>42</v>
      </c>
      <c r="I69" s="171">
        <v>1</v>
      </c>
      <c r="J69" s="172"/>
      <c r="K69" s="468"/>
      <c r="L69" s="469"/>
      <c r="M69" s="469"/>
      <c r="N69" s="469"/>
      <c r="O69" s="469"/>
      <c r="P69" s="470"/>
    </row>
    <row r="70" spans="1:16" s="19" customFormat="1" ht="18" customHeight="1" x14ac:dyDescent="0.25">
      <c r="A70" s="168">
        <v>43759</v>
      </c>
      <c r="B70" s="169">
        <v>451</v>
      </c>
      <c r="C70" s="170"/>
      <c r="D70" s="173">
        <v>408</v>
      </c>
      <c r="E70" s="171">
        <v>14.3</v>
      </c>
      <c r="F70" s="171">
        <v>43</v>
      </c>
      <c r="G70" s="173">
        <v>7.5</v>
      </c>
      <c r="H70" s="175">
        <v>38</v>
      </c>
      <c r="I70" s="171">
        <v>1</v>
      </c>
      <c r="J70" s="172"/>
      <c r="K70" s="468" t="s">
        <v>92</v>
      </c>
      <c r="L70" s="469"/>
      <c r="M70" s="469"/>
      <c r="N70" s="469"/>
      <c r="O70" s="469"/>
      <c r="P70" s="470"/>
    </row>
    <row r="71" spans="1:16" s="19" customFormat="1" ht="18" customHeight="1" x14ac:dyDescent="0.25">
      <c r="A71" s="178">
        <v>43762</v>
      </c>
      <c r="B71" s="179">
        <v>408</v>
      </c>
      <c r="C71" s="180">
        <v>683</v>
      </c>
      <c r="D71" s="181" t="s">
        <v>93</v>
      </c>
      <c r="E71" s="182">
        <v>30.3</v>
      </c>
      <c r="F71" s="182">
        <v>91</v>
      </c>
      <c r="G71" s="181">
        <v>8</v>
      </c>
      <c r="H71" s="183" t="s">
        <v>94</v>
      </c>
      <c r="I71" s="182">
        <v>1</v>
      </c>
      <c r="J71" s="184">
        <v>1</v>
      </c>
      <c r="K71" s="495" t="s">
        <v>86</v>
      </c>
      <c r="L71" s="496"/>
      <c r="M71" s="496"/>
      <c r="N71" s="496"/>
      <c r="O71" s="496"/>
      <c r="P71" s="497"/>
    </row>
    <row r="72" spans="1:16" s="19" customFormat="1" ht="18" customHeight="1" x14ac:dyDescent="0.25">
      <c r="A72" s="178">
        <v>43766</v>
      </c>
      <c r="B72" s="179">
        <v>1000</v>
      </c>
      <c r="C72" s="180"/>
      <c r="D72" s="181">
        <v>870</v>
      </c>
      <c r="E72" s="182">
        <v>32.5</v>
      </c>
      <c r="F72" s="182">
        <v>130</v>
      </c>
      <c r="G72" s="181">
        <v>7.6</v>
      </c>
      <c r="H72" s="183">
        <v>81</v>
      </c>
      <c r="I72" s="182">
        <v>1</v>
      </c>
      <c r="J72" s="184"/>
      <c r="K72" s="495"/>
      <c r="L72" s="496"/>
      <c r="M72" s="496"/>
      <c r="N72" s="496"/>
      <c r="O72" s="496"/>
      <c r="P72" s="497"/>
    </row>
    <row r="73" spans="1:16" s="19" customFormat="1" ht="18" customHeight="1" x14ac:dyDescent="0.25">
      <c r="A73" s="178">
        <v>43769</v>
      </c>
      <c r="B73" s="179">
        <v>870</v>
      </c>
      <c r="C73" s="180"/>
      <c r="D73" s="181">
        <v>827</v>
      </c>
      <c r="E73" s="182">
        <v>14.3</v>
      </c>
      <c r="F73" s="182">
        <v>43</v>
      </c>
      <c r="G73" s="181">
        <v>7</v>
      </c>
      <c r="H73" s="183">
        <v>77</v>
      </c>
      <c r="I73" s="182">
        <v>1</v>
      </c>
      <c r="J73" s="184"/>
      <c r="K73" s="495" t="s">
        <v>63</v>
      </c>
      <c r="L73" s="496"/>
      <c r="M73" s="496"/>
      <c r="N73" s="496"/>
      <c r="O73" s="496"/>
      <c r="P73" s="497"/>
    </row>
    <row r="74" spans="1:16" s="19" customFormat="1" ht="18" customHeight="1" x14ac:dyDescent="0.25">
      <c r="A74" s="178">
        <v>43773</v>
      </c>
      <c r="B74" s="179">
        <v>827</v>
      </c>
      <c r="C74" s="180"/>
      <c r="D74" s="181">
        <v>720</v>
      </c>
      <c r="E74" s="182">
        <v>26.7</v>
      </c>
      <c r="F74" s="182">
        <v>107</v>
      </c>
      <c r="G74" s="181">
        <v>7.8</v>
      </c>
      <c r="H74" s="183">
        <v>67</v>
      </c>
      <c r="I74" s="182">
        <v>1</v>
      </c>
      <c r="J74" s="184"/>
      <c r="K74" s="495"/>
      <c r="L74" s="496"/>
      <c r="M74" s="496"/>
      <c r="N74" s="496"/>
      <c r="O74" s="496"/>
      <c r="P74" s="497"/>
    </row>
    <row r="75" spans="1:16" s="19" customFormat="1" ht="18" customHeight="1" x14ac:dyDescent="0.25">
      <c r="A75" s="178">
        <v>43777</v>
      </c>
      <c r="B75" s="179">
        <v>720</v>
      </c>
      <c r="C75" s="180"/>
      <c r="D75" s="181">
        <v>612</v>
      </c>
      <c r="E75" s="182">
        <v>27</v>
      </c>
      <c r="F75" s="182">
        <v>108</v>
      </c>
      <c r="G75" s="181">
        <v>7.5</v>
      </c>
      <c r="H75" s="183">
        <v>57</v>
      </c>
      <c r="I75" s="182">
        <v>1</v>
      </c>
      <c r="J75" s="184"/>
      <c r="K75" s="495"/>
      <c r="L75" s="496"/>
      <c r="M75" s="496"/>
      <c r="N75" s="496"/>
      <c r="O75" s="496"/>
      <c r="P75" s="497"/>
    </row>
    <row r="76" spans="1:16" s="19" customFormat="1" ht="18" customHeight="1" x14ac:dyDescent="0.25">
      <c r="A76" s="178">
        <v>43780</v>
      </c>
      <c r="B76" s="179">
        <v>612</v>
      </c>
      <c r="C76" s="180"/>
      <c r="D76" s="181">
        <v>532</v>
      </c>
      <c r="E76" s="182">
        <v>26.7</v>
      </c>
      <c r="F76" s="182">
        <v>80</v>
      </c>
      <c r="G76" s="181">
        <v>7.5</v>
      </c>
      <c r="H76" s="185">
        <v>49.5</v>
      </c>
      <c r="I76" s="182">
        <v>1</v>
      </c>
      <c r="J76" s="184"/>
      <c r="K76" s="495"/>
      <c r="L76" s="496"/>
      <c r="M76" s="496"/>
      <c r="N76" s="496"/>
      <c r="O76" s="496"/>
      <c r="P76" s="497"/>
    </row>
    <row r="77" spans="1:16" s="19" customFormat="1" ht="18" customHeight="1" x14ac:dyDescent="0.25">
      <c r="A77" s="178">
        <v>43783</v>
      </c>
      <c r="B77" s="179">
        <v>532</v>
      </c>
      <c r="C77" s="180">
        <v>549</v>
      </c>
      <c r="D77" s="181" t="s">
        <v>95</v>
      </c>
      <c r="E77" s="182">
        <v>27</v>
      </c>
      <c r="F77" s="182">
        <v>81</v>
      </c>
      <c r="G77" s="181">
        <v>8.1999999999999993</v>
      </c>
      <c r="H77" s="183" t="s">
        <v>96</v>
      </c>
      <c r="I77" s="182">
        <v>1</v>
      </c>
      <c r="J77" s="184">
        <v>1</v>
      </c>
      <c r="K77" s="495" t="s">
        <v>86</v>
      </c>
      <c r="L77" s="496"/>
      <c r="M77" s="496"/>
      <c r="N77" s="496"/>
      <c r="O77" s="496"/>
      <c r="P77" s="497"/>
    </row>
    <row r="78" spans="1:16" s="19" customFormat="1" ht="18" customHeight="1" x14ac:dyDescent="0.25">
      <c r="A78" s="178">
        <v>43788</v>
      </c>
      <c r="B78" s="179">
        <v>1000</v>
      </c>
      <c r="C78" s="180"/>
      <c r="D78" s="181">
        <v>854</v>
      </c>
      <c r="E78" s="182">
        <v>29.2</v>
      </c>
      <c r="F78" s="182">
        <v>146</v>
      </c>
      <c r="G78" s="181">
        <v>8.1</v>
      </c>
      <c r="H78" s="185">
        <v>79.5</v>
      </c>
      <c r="I78" s="182">
        <v>1</v>
      </c>
      <c r="J78" s="184"/>
      <c r="K78" s="495"/>
      <c r="L78" s="496"/>
      <c r="M78" s="496"/>
      <c r="N78" s="496"/>
      <c r="O78" s="496"/>
      <c r="P78" s="497"/>
    </row>
    <row r="79" spans="1:16" s="19" customFormat="1" ht="18" customHeight="1" x14ac:dyDescent="0.25">
      <c r="A79" s="196">
        <v>43791</v>
      </c>
      <c r="B79" s="197">
        <v>854</v>
      </c>
      <c r="C79" s="198"/>
      <c r="D79" s="199">
        <v>774</v>
      </c>
      <c r="E79" s="200">
        <v>26.7</v>
      </c>
      <c r="F79" s="200">
        <v>80</v>
      </c>
      <c r="G79" s="199">
        <v>8.1999999999999993</v>
      </c>
      <c r="H79" s="201">
        <v>72</v>
      </c>
      <c r="I79" s="200">
        <v>1</v>
      </c>
      <c r="J79" s="202"/>
      <c r="K79" s="423"/>
      <c r="L79" s="424"/>
      <c r="M79" s="424"/>
      <c r="N79" s="424"/>
      <c r="O79" s="424"/>
      <c r="P79" s="425"/>
    </row>
    <row r="80" spans="1:16" s="19" customFormat="1" ht="18" customHeight="1" x14ac:dyDescent="0.25">
      <c r="A80" s="196">
        <v>43794</v>
      </c>
      <c r="B80" s="197">
        <v>774</v>
      </c>
      <c r="C80" s="198"/>
      <c r="D80" s="199">
        <v>774</v>
      </c>
      <c r="E80" s="200">
        <v>0</v>
      </c>
      <c r="F80" s="200">
        <v>0</v>
      </c>
      <c r="G80" s="199">
        <v>8</v>
      </c>
      <c r="H80" s="201">
        <v>72</v>
      </c>
      <c r="I80" s="200">
        <v>1</v>
      </c>
      <c r="J80" s="202"/>
      <c r="K80" s="423" t="s">
        <v>97</v>
      </c>
      <c r="L80" s="424"/>
      <c r="M80" s="424"/>
      <c r="N80" s="424"/>
      <c r="O80" s="424"/>
      <c r="P80" s="425"/>
    </row>
    <row r="81" spans="1:16" s="19" customFormat="1" ht="18" customHeight="1" x14ac:dyDescent="0.25">
      <c r="A81" s="196">
        <v>43798</v>
      </c>
      <c r="B81" s="197">
        <v>774</v>
      </c>
      <c r="C81" s="198"/>
      <c r="D81" s="199">
        <v>714</v>
      </c>
      <c r="E81" s="200">
        <v>15</v>
      </c>
      <c r="F81" s="200">
        <v>60</v>
      </c>
      <c r="G81" s="199">
        <v>6.4</v>
      </c>
      <c r="H81" s="203">
        <v>66.5</v>
      </c>
      <c r="I81" s="200">
        <v>1</v>
      </c>
      <c r="J81" s="202"/>
      <c r="K81" s="423"/>
      <c r="L81" s="424"/>
      <c r="M81" s="424"/>
      <c r="N81" s="424"/>
      <c r="O81" s="424"/>
      <c r="P81" s="425"/>
    </row>
    <row r="82" spans="1:16" ht="15.75" x14ac:dyDescent="0.25">
      <c r="A82" s="196">
        <v>43801</v>
      </c>
      <c r="B82" s="197">
        <v>714</v>
      </c>
      <c r="C82" s="198"/>
      <c r="D82" s="199">
        <v>634</v>
      </c>
      <c r="E82" s="200">
        <v>26.7</v>
      </c>
      <c r="F82" s="200">
        <v>80</v>
      </c>
      <c r="G82" s="199">
        <v>6.5</v>
      </c>
      <c r="H82" s="201">
        <v>59</v>
      </c>
      <c r="I82" s="200">
        <v>1</v>
      </c>
      <c r="J82" s="202"/>
      <c r="K82" s="423"/>
      <c r="L82" s="424"/>
      <c r="M82" s="424"/>
      <c r="N82" s="424"/>
      <c r="O82" s="424"/>
      <c r="P82" s="425"/>
    </row>
    <row r="83" spans="1:16" ht="15.75" x14ac:dyDescent="0.25">
      <c r="A83" s="196">
        <v>43803</v>
      </c>
      <c r="B83" s="197">
        <v>634</v>
      </c>
      <c r="C83" s="198">
        <v>532</v>
      </c>
      <c r="D83" s="199" t="s">
        <v>98</v>
      </c>
      <c r="E83" s="200">
        <v>26</v>
      </c>
      <c r="F83" s="200">
        <v>52</v>
      </c>
      <c r="G83" s="199">
        <v>8.1</v>
      </c>
      <c r="H83" s="201" t="s">
        <v>99</v>
      </c>
      <c r="I83" s="200">
        <v>1</v>
      </c>
      <c r="J83" s="202">
        <v>1</v>
      </c>
      <c r="K83" s="423" t="s">
        <v>118</v>
      </c>
      <c r="L83" s="424"/>
      <c r="M83" s="424"/>
      <c r="N83" s="424"/>
      <c r="O83" s="424"/>
      <c r="P83" s="425"/>
    </row>
    <row r="84" spans="1:16" ht="15.75" x14ac:dyDescent="0.25">
      <c r="A84" s="196">
        <v>43804</v>
      </c>
      <c r="B84" s="197">
        <v>532</v>
      </c>
      <c r="C84" s="198"/>
      <c r="D84" s="199">
        <v>499</v>
      </c>
      <c r="E84" s="200">
        <v>33</v>
      </c>
      <c r="F84" s="200">
        <v>33</v>
      </c>
      <c r="G84" s="199">
        <v>8.3000000000000007</v>
      </c>
      <c r="H84" s="203">
        <v>46.5</v>
      </c>
      <c r="I84" s="200">
        <v>1</v>
      </c>
      <c r="J84" s="202"/>
      <c r="K84" s="423"/>
      <c r="L84" s="424"/>
      <c r="M84" s="424"/>
      <c r="N84" s="424"/>
      <c r="O84" s="424"/>
      <c r="P84" s="425"/>
    </row>
    <row r="85" spans="1:16" ht="15.75" x14ac:dyDescent="0.25">
      <c r="A85" s="196">
        <v>43808</v>
      </c>
      <c r="B85" s="197">
        <v>499</v>
      </c>
      <c r="C85" s="198"/>
      <c r="D85" s="199">
        <v>397</v>
      </c>
      <c r="E85" s="200">
        <v>25.5</v>
      </c>
      <c r="F85" s="200">
        <v>102</v>
      </c>
      <c r="G85" s="199">
        <v>8.6999999999999993</v>
      </c>
      <c r="H85" s="201">
        <v>37</v>
      </c>
      <c r="I85" s="200">
        <v>1</v>
      </c>
      <c r="J85" s="202"/>
      <c r="K85" s="423" t="s">
        <v>63</v>
      </c>
      <c r="L85" s="424"/>
      <c r="M85" s="424"/>
      <c r="N85" s="424"/>
      <c r="O85" s="424"/>
      <c r="P85" s="425"/>
    </row>
    <row r="86" spans="1:16" ht="15.75" x14ac:dyDescent="0.25">
      <c r="A86" s="196">
        <v>43811</v>
      </c>
      <c r="B86" s="197">
        <v>397</v>
      </c>
      <c r="C86" s="198"/>
      <c r="D86" s="199">
        <v>322</v>
      </c>
      <c r="E86" s="200">
        <v>25</v>
      </c>
      <c r="F86" s="200">
        <v>75</v>
      </c>
      <c r="G86" s="199">
        <v>8.4</v>
      </c>
      <c r="H86" s="201">
        <v>30</v>
      </c>
      <c r="I86" s="200">
        <v>1</v>
      </c>
      <c r="J86" s="202"/>
      <c r="K86" s="423"/>
      <c r="L86" s="424"/>
      <c r="M86" s="424"/>
      <c r="N86" s="424"/>
      <c r="O86" s="424"/>
      <c r="P86" s="425"/>
    </row>
    <row r="87" spans="1:16" ht="15.75" x14ac:dyDescent="0.25">
      <c r="A87" s="196">
        <v>43815</v>
      </c>
      <c r="B87" s="197">
        <v>322</v>
      </c>
      <c r="C87" s="198"/>
      <c r="D87" s="199">
        <v>220</v>
      </c>
      <c r="E87" s="200">
        <v>25.5</v>
      </c>
      <c r="F87" s="200">
        <v>102</v>
      </c>
      <c r="G87" s="199">
        <v>7.6</v>
      </c>
      <c r="H87" s="203">
        <v>20.5</v>
      </c>
      <c r="I87" s="200">
        <v>1</v>
      </c>
      <c r="J87" s="202"/>
      <c r="K87" s="423"/>
      <c r="L87" s="424"/>
      <c r="M87" s="424"/>
      <c r="N87" s="424"/>
      <c r="O87" s="424"/>
      <c r="P87" s="425"/>
    </row>
    <row r="88" spans="1:16" ht="15.75" x14ac:dyDescent="0.25">
      <c r="A88" s="196">
        <v>43818</v>
      </c>
      <c r="B88" s="197">
        <v>220</v>
      </c>
      <c r="C88" s="198">
        <v>446</v>
      </c>
      <c r="D88" s="199" t="s">
        <v>100</v>
      </c>
      <c r="E88" s="200">
        <v>25</v>
      </c>
      <c r="F88" s="200">
        <v>75</v>
      </c>
      <c r="G88" s="199">
        <v>7.5</v>
      </c>
      <c r="H88" s="201" t="s">
        <v>101</v>
      </c>
      <c r="I88" s="200">
        <v>1</v>
      </c>
      <c r="J88" s="202">
        <v>1</v>
      </c>
      <c r="K88" s="423" t="s">
        <v>86</v>
      </c>
      <c r="L88" s="424"/>
      <c r="M88" s="424"/>
      <c r="N88" s="424"/>
      <c r="O88" s="424"/>
      <c r="P88" s="425"/>
    </row>
    <row r="89" spans="1:16" ht="15.75" x14ac:dyDescent="0.25">
      <c r="A89" s="205">
        <v>43822</v>
      </c>
      <c r="B89" s="206">
        <v>591</v>
      </c>
      <c r="C89" s="207"/>
      <c r="D89" s="208">
        <v>516</v>
      </c>
      <c r="E89" s="209">
        <v>18.7</v>
      </c>
      <c r="F89" s="209">
        <v>75</v>
      </c>
      <c r="G89" s="208">
        <v>7.5</v>
      </c>
      <c r="H89" s="210">
        <v>48</v>
      </c>
      <c r="I89" s="209">
        <v>1</v>
      </c>
      <c r="J89" s="211"/>
      <c r="K89" s="414" t="s">
        <v>91</v>
      </c>
      <c r="L89" s="415"/>
      <c r="M89" s="415"/>
      <c r="N89" s="415"/>
      <c r="O89" s="415"/>
      <c r="P89" s="416"/>
    </row>
    <row r="90" spans="1:16" ht="15.75" x14ac:dyDescent="0.25">
      <c r="A90" s="205">
        <v>43825</v>
      </c>
      <c r="B90" s="206">
        <v>516</v>
      </c>
      <c r="C90" s="207"/>
      <c r="D90" s="208">
        <v>440</v>
      </c>
      <c r="E90" s="209">
        <v>25.3</v>
      </c>
      <c r="F90" s="209">
        <v>76</v>
      </c>
      <c r="G90" s="208">
        <v>7</v>
      </c>
      <c r="H90" s="210">
        <v>41</v>
      </c>
      <c r="I90" s="209">
        <v>1</v>
      </c>
      <c r="J90" s="211"/>
      <c r="K90" s="414" t="s">
        <v>67</v>
      </c>
      <c r="L90" s="415"/>
      <c r="M90" s="415"/>
      <c r="N90" s="415"/>
      <c r="O90" s="415"/>
      <c r="P90" s="416"/>
    </row>
    <row r="91" spans="1:16" ht="15.75" x14ac:dyDescent="0.25">
      <c r="A91" s="205">
        <v>43829</v>
      </c>
      <c r="B91" s="206">
        <v>440</v>
      </c>
      <c r="C91" s="207"/>
      <c r="D91" s="208">
        <v>344</v>
      </c>
      <c r="E91" s="209">
        <v>24</v>
      </c>
      <c r="F91" s="209">
        <v>96</v>
      </c>
      <c r="G91" s="208">
        <v>7.3</v>
      </c>
      <c r="H91" s="210">
        <v>32</v>
      </c>
      <c r="I91" s="209">
        <v>1</v>
      </c>
      <c r="J91" s="211"/>
      <c r="K91" s="414"/>
      <c r="L91" s="415"/>
      <c r="M91" s="415"/>
      <c r="N91" s="415"/>
      <c r="O91" s="415"/>
      <c r="P91" s="416"/>
    </row>
    <row r="92" spans="1:16" ht="15.75" x14ac:dyDescent="0.25">
      <c r="A92" s="205">
        <v>43832</v>
      </c>
      <c r="B92" s="206">
        <v>344</v>
      </c>
      <c r="C92" s="207"/>
      <c r="D92" s="208">
        <v>268</v>
      </c>
      <c r="E92" s="209">
        <v>25.3</v>
      </c>
      <c r="F92" s="209">
        <v>76</v>
      </c>
      <c r="G92" s="208">
        <v>8</v>
      </c>
      <c r="H92" s="210">
        <v>25</v>
      </c>
      <c r="I92" s="209">
        <v>1</v>
      </c>
      <c r="J92" s="211"/>
      <c r="K92" s="414"/>
      <c r="L92" s="415"/>
      <c r="M92" s="415"/>
      <c r="N92" s="415"/>
      <c r="O92" s="415"/>
      <c r="P92" s="416"/>
    </row>
    <row r="93" spans="1:16" ht="15.75" x14ac:dyDescent="0.25">
      <c r="A93" s="205">
        <v>43836</v>
      </c>
      <c r="B93" s="206">
        <v>268</v>
      </c>
      <c r="C93" s="207"/>
      <c r="D93" s="208">
        <v>172</v>
      </c>
      <c r="E93" s="209">
        <v>24</v>
      </c>
      <c r="F93" s="209">
        <v>96</v>
      </c>
      <c r="G93" s="208">
        <v>7</v>
      </c>
      <c r="H93" s="210">
        <v>16</v>
      </c>
      <c r="I93" s="209">
        <v>1</v>
      </c>
      <c r="J93" s="211"/>
      <c r="K93" s="414"/>
      <c r="L93" s="415"/>
      <c r="M93" s="415"/>
      <c r="N93" s="415"/>
      <c r="O93" s="415"/>
      <c r="P93" s="416"/>
    </row>
    <row r="94" spans="1:16" ht="15.75" x14ac:dyDescent="0.25">
      <c r="A94" s="205">
        <v>43839</v>
      </c>
      <c r="B94" s="206">
        <v>172</v>
      </c>
      <c r="C94" s="207">
        <v>538</v>
      </c>
      <c r="D94" s="208" t="s">
        <v>102</v>
      </c>
      <c r="E94" s="209">
        <v>25.3</v>
      </c>
      <c r="F94" s="209">
        <v>76</v>
      </c>
      <c r="G94" s="208">
        <v>7.1</v>
      </c>
      <c r="H94" s="210" t="s">
        <v>103</v>
      </c>
      <c r="I94" s="209">
        <v>1</v>
      </c>
      <c r="J94" s="211">
        <v>1</v>
      </c>
      <c r="K94" s="414" t="s">
        <v>86</v>
      </c>
      <c r="L94" s="415"/>
      <c r="M94" s="415"/>
      <c r="N94" s="415"/>
      <c r="O94" s="415"/>
      <c r="P94" s="416"/>
    </row>
    <row r="95" spans="1:16" ht="15.75" x14ac:dyDescent="0.25">
      <c r="A95" s="205">
        <v>43843</v>
      </c>
      <c r="B95" s="206">
        <v>634</v>
      </c>
      <c r="C95" s="207"/>
      <c r="D95" s="208">
        <v>526</v>
      </c>
      <c r="E95" s="209">
        <v>27</v>
      </c>
      <c r="F95" s="209">
        <v>108</v>
      </c>
      <c r="G95" s="208">
        <v>7</v>
      </c>
      <c r="H95" s="210">
        <v>49</v>
      </c>
      <c r="I95" s="209">
        <v>1</v>
      </c>
      <c r="J95" s="211"/>
      <c r="K95" s="414"/>
      <c r="L95" s="415"/>
      <c r="M95" s="415"/>
      <c r="N95" s="415"/>
      <c r="O95" s="415"/>
      <c r="P95" s="416"/>
    </row>
    <row r="96" spans="1:16" ht="15.75" x14ac:dyDescent="0.25">
      <c r="A96" s="205">
        <v>43846</v>
      </c>
      <c r="B96" s="206">
        <v>526</v>
      </c>
      <c r="C96" s="207">
        <v>543</v>
      </c>
      <c r="D96" s="208" t="s">
        <v>104</v>
      </c>
      <c r="E96" s="209">
        <v>26.7</v>
      </c>
      <c r="F96" s="209">
        <v>80</v>
      </c>
      <c r="G96" s="208">
        <v>7</v>
      </c>
      <c r="H96" s="210" t="s">
        <v>105</v>
      </c>
      <c r="I96" s="209">
        <v>1</v>
      </c>
      <c r="J96" s="211">
        <v>1</v>
      </c>
      <c r="K96" s="414" t="s">
        <v>106</v>
      </c>
      <c r="L96" s="415"/>
      <c r="M96" s="415"/>
      <c r="N96" s="415"/>
      <c r="O96" s="415"/>
      <c r="P96" s="416"/>
    </row>
    <row r="97" spans="1:16" ht="15.75" x14ac:dyDescent="0.25">
      <c r="A97" s="212">
        <v>43850</v>
      </c>
      <c r="B97" s="213">
        <v>989</v>
      </c>
      <c r="C97" s="214"/>
      <c r="D97" s="215">
        <v>892</v>
      </c>
      <c r="E97" s="216">
        <v>24.2</v>
      </c>
      <c r="F97" s="216">
        <v>97</v>
      </c>
      <c r="G97" s="215">
        <v>6.9</v>
      </c>
      <c r="H97" s="217">
        <v>83</v>
      </c>
      <c r="I97" s="216">
        <v>1</v>
      </c>
      <c r="J97" s="218"/>
      <c r="K97" s="420"/>
      <c r="L97" s="421"/>
      <c r="M97" s="421"/>
      <c r="N97" s="421"/>
      <c r="O97" s="421"/>
      <c r="P97" s="422"/>
    </row>
    <row r="98" spans="1:16" ht="15.75" x14ac:dyDescent="0.25">
      <c r="A98" s="212">
        <v>43854</v>
      </c>
      <c r="B98" s="213">
        <v>892</v>
      </c>
      <c r="C98" s="214"/>
      <c r="D98" s="215">
        <v>817</v>
      </c>
      <c r="E98" s="216">
        <v>18.7</v>
      </c>
      <c r="F98" s="216">
        <v>75</v>
      </c>
      <c r="G98" s="215">
        <v>6.9</v>
      </c>
      <c r="H98" s="217">
        <v>76</v>
      </c>
      <c r="I98" s="216">
        <v>1</v>
      </c>
      <c r="J98" s="218"/>
      <c r="K98" s="420" t="s">
        <v>66</v>
      </c>
      <c r="L98" s="421"/>
      <c r="M98" s="421"/>
      <c r="N98" s="421"/>
      <c r="O98" s="421"/>
      <c r="P98" s="422"/>
    </row>
    <row r="99" spans="1:16" ht="15.75" x14ac:dyDescent="0.25">
      <c r="A99" s="212">
        <v>43857</v>
      </c>
      <c r="B99" s="213">
        <v>817</v>
      </c>
      <c r="C99" s="214"/>
      <c r="D99" s="215">
        <v>752</v>
      </c>
      <c r="E99" s="216">
        <v>21.7</v>
      </c>
      <c r="F99" s="216">
        <v>65</v>
      </c>
      <c r="G99" s="215">
        <v>8.5</v>
      </c>
      <c r="H99" s="217">
        <v>70</v>
      </c>
      <c r="I99" s="216">
        <v>1</v>
      </c>
      <c r="J99" s="218"/>
      <c r="K99" s="420"/>
      <c r="L99" s="421"/>
      <c r="M99" s="421"/>
      <c r="N99" s="421"/>
      <c r="O99" s="421"/>
      <c r="P99" s="422"/>
    </row>
    <row r="100" spans="1:16" ht="15.75" x14ac:dyDescent="0.25">
      <c r="A100" s="212">
        <v>43860</v>
      </c>
      <c r="B100" s="213">
        <v>752</v>
      </c>
      <c r="C100" s="214"/>
      <c r="D100" s="215">
        <v>677</v>
      </c>
      <c r="E100" s="216">
        <v>25</v>
      </c>
      <c r="F100" s="216">
        <v>75</v>
      </c>
      <c r="G100" s="215">
        <v>8.5</v>
      </c>
      <c r="H100" s="217">
        <v>63</v>
      </c>
      <c r="I100" s="216">
        <v>1</v>
      </c>
      <c r="J100" s="218"/>
      <c r="K100" s="420"/>
      <c r="L100" s="421"/>
      <c r="M100" s="421"/>
      <c r="N100" s="421"/>
      <c r="O100" s="421"/>
      <c r="P100" s="422"/>
    </row>
    <row r="101" spans="1:16" ht="15.75" x14ac:dyDescent="0.25">
      <c r="A101" s="212">
        <v>43864</v>
      </c>
      <c r="B101" s="213">
        <v>677</v>
      </c>
      <c r="C101" s="214"/>
      <c r="D101" s="215">
        <v>585</v>
      </c>
      <c r="E101" s="216">
        <v>23</v>
      </c>
      <c r="F101" s="216">
        <v>92</v>
      </c>
      <c r="G101" s="215">
        <v>8.1999999999999993</v>
      </c>
      <c r="H101" s="219">
        <v>54.5</v>
      </c>
      <c r="I101" s="216">
        <v>1</v>
      </c>
      <c r="J101" s="218"/>
      <c r="K101" s="420"/>
      <c r="L101" s="421"/>
      <c r="M101" s="421"/>
      <c r="N101" s="421"/>
      <c r="O101" s="421"/>
      <c r="P101" s="422"/>
    </row>
    <row r="102" spans="1:16" ht="15.75" x14ac:dyDescent="0.25">
      <c r="A102" s="212">
        <v>43867</v>
      </c>
      <c r="B102" s="213">
        <v>585</v>
      </c>
      <c r="C102" s="214"/>
      <c r="D102" s="215">
        <v>516</v>
      </c>
      <c r="E102" s="216">
        <v>23</v>
      </c>
      <c r="F102" s="216">
        <v>69</v>
      </c>
      <c r="G102" s="215">
        <v>8.5</v>
      </c>
      <c r="H102" s="217">
        <v>48</v>
      </c>
      <c r="I102" s="216">
        <v>1</v>
      </c>
      <c r="J102" s="218"/>
      <c r="K102" s="420"/>
      <c r="L102" s="421"/>
      <c r="M102" s="421"/>
      <c r="N102" s="421"/>
      <c r="O102" s="421"/>
      <c r="P102" s="422"/>
    </row>
    <row r="103" spans="1:16" ht="15.75" x14ac:dyDescent="0.25">
      <c r="A103" s="212">
        <v>43871</v>
      </c>
      <c r="B103" s="213">
        <v>516</v>
      </c>
      <c r="C103" s="214">
        <v>581</v>
      </c>
      <c r="D103" s="220" t="s">
        <v>107</v>
      </c>
      <c r="E103" s="216">
        <v>24.2</v>
      </c>
      <c r="F103" s="216">
        <v>97</v>
      </c>
      <c r="G103" s="215">
        <v>8.5</v>
      </c>
      <c r="H103" s="217" t="s">
        <v>108</v>
      </c>
      <c r="I103" s="216">
        <v>1</v>
      </c>
      <c r="J103" s="218">
        <v>1</v>
      </c>
      <c r="K103" s="420" t="s">
        <v>86</v>
      </c>
      <c r="L103" s="421"/>
      <c r="M103" s="421"/>
      <c r="N103" s="421"/>
      <c r="O103" s="421"/>
      <c r="P103" s="422"/>
    </row>
    <row r="104" spans="1:16" ht="15.75" x14ac:dyDescent="0.25">
      <c r="A104" s="212">
        <v>43874</v>
      </c>
      <c r="B104" s="213">
        <v>1000</v>
      </c>
      <c r="C104" s="214"/>
      <c r="D104" s="215">
        <v>924</v>
      </c>
      <c r="E104" s="216">
        <v>25.3</v>
      </c>
      <c r="F104" s="216">
        <v>76</v>
      </c>
      <c r="G104" s="215">
        <v>8.8000000000000007</v>
      </c>
      <c r="H104" s="219">
        <v>25.3</v>
      </c>
      <c r="I104" s="216">
        <v>1</v>
      </c>
      <c r="J104" s="218"/>
      <c r="K104" s="420"/>
      <c r="L104" s="421"/>
      <c r="M104" s="421"/>
      <c r="N104" s="421"/>
      <c r="O104" s="421"/>
      <c r="P104" s="422"/>
    </row>
    <row r="105" spans="1:16" ht="15.75" x14ac:dyDescent="0.25">
      <c r="A105" s="212">
        <v>43878</v>
      </c>
      <c r="B105" s="213">
        <v>924</v>
      </c>
      <c r="C105" s="214"/>
      <c r="D105" s="215">
        <v>822</v>
      </c>
      <c r="E105" s="216">
        <v>25.5</v>
      </c>
      <c r="F105" s="216">
        <v>102</v>
      </c>
      <c r="G105" s="215">
        <v>8.4</v>
      </c>
      <c r="H105" s="219">
        <v>25.5</v>
      </c>
      <c r="I105" s="216">
        <v>1</v>
      </c>
      <c r="J105" s="218"/>
      <c r="K105" s="420"/>
      <c r="L105" s="421"/>
      <c r="M105" s="421"/>
      <c r="N105" s="421"/>
      <c r="O105" s="421"/>
      <c r="P105" s="422"/>
    </row>
    <row r="106" spans="1:16" ht="15.75" x14ac:dyDescent="0.25">
      <c r="A106" s="212">
        <v>43882</v>
      </c>
      <c r="B106" s="213">
        <v>822</v>
      </c>
      <c r="C106" s="214"/>
      <c r="D106" s="215">
        <v>725</v>
      </c>
      <c r="E106" s="216">
        <v>24.2</v>
      </c>
      <c r="F106" s="216">
        <v>97</v>
      </c>
      <c r="G106" s="215">
        <v>8.4</v>
      </c>
      <c r="H106" s="219">
        <v>67.5</v>
      </c>
      <c r="I106" s="216">
        <v>1</v>
      </c>
      <c r="J106" s="218"/>
      <c r="K106" s="420"/>
      <c r="L106" s="421"/>
      <c r="M106" s="421"/>
      <c r="N106" s="421"/>
      <c r="O106" s="421"/>
      <c r="P106" s="422"/>
    </row>
    <row r="107" spans="1:16" ht="15.75" x14ac:dyDescent="0.25">
      <c r="A107" s="221">
        <v>43887</v>
      </c>
      <c r="B107" s="222">
        <v>725</v>
      </c>
      <c r="C107" s="223"/>
      <c r="D107" s="224">
        <v>645</v>
      </c>
      <c r="E107" s="225">
        <v>16</v>
      </c>
      <c r="F107" s="225">
        <v>80</v>
      </c>
      <c r="G107" s="224">
        <v>8</v>
      </c>
      <c r="H107" s="226">
        <v>60</v>
      </c>
      <c r="I107" s="225">
        <v>1</v>
      </c>
      <c r="J107" s="227"/>
      <c r="K107" s="417" t="s">
        <v>74</v>
      </c>
      <c r="L107" s="418"/>
      <c r="M107" s="418"/>
      <c r="N107" s="418"/>
      <c r="O107" s="418"/>
      <c r="P107" s="419"/>
    </row>
    <row r="108" spans="1:16" ht="15.75" x14ac:dyDescent="0.25">
      <c r="A108" s="221">
        <v>43892</v>
      </c>
      <c r="B108" s="222">
        <v>645</v>
      </c>
      <c r="C108" s="223"/>
      <c r="D108" s="224">
        <v>510</v>
      </c>
      <c r="E108" s="225">
        <v>27</v>
      </c>
      <c r="F108" s="225">
        <v>135</v>
      </c>
      <c r="G108" s="224">
        <v>8</v>
      </c>
      <c r="H108" s="226">
        <v>47.5</v>
      </c>
      <c r="I108" s="225">
        <v>1</v>
      </c>
      <c r="J108" s="227"/>
      <c r="K108" s="417"/>
      <c r="L108" s="418"/>
      <c r="M108" s="418"/>
      <c r="N108" s="418"/>
      <c r="O108" s="418"/>
      <c r="P108" s="419"/>
    </row>
    <row r="109" spans="1:16" ht="15.75" x14ac:dyDescent="0.25">
      <c r="A109" s="221">
        <v>43895</v>
      </c>
      <c r="B109" s="222">
        <v>510</v>
      </c>
      <c r="C109" s="223"/>
      <c r="D109" s="224">
        <v>430</v>
      </c>
      <c r="E109" s="225">
        <v>26.7</v>
      </c>
      <c r="F109" s="225">
        <v>80</v>
      </c>
      <c r="G109" s="224">
        <v>8.4</v>
      </c>
      <c r="H109" s="226">
        <v>40</v>
      </c>
      <c r="I109" s="225">
        <v>1</v>
      </c>
      <c r="J109" s="227"/>
      <c r="K109" s="417"/>
      <c r="L109" s="418"/>
      <c r="M109" s="418"/>
      <c r="N109" s="418"/>
      <c r="O109" s="418"/>
      <c r="P109" s="419"/>
    </row>
    <row r="110" spans="1:16" ht="15.75" x14ac:dyDescent="0.25">
      <c r="A110" s="221">
        <v>43899</v>
      </c>
      <c r="B110" s="222">
        <v>430</v>
      </c>
      <c r="C110" s="223"/>
      <c r="D110" s="224">
        <v>327</v>
      </c>
      <c r="E110" s="225">
        <v>25.7</v>
      </c>
      <c r="F110" s="225">
        <v>103</v>
      </c>
      <c r="G110" s="224">
        <v>8.5</v>
      </c>
      <c r="H110" s="226">
        <v>30.5</v>
      </c>
      <c r="I110" s="225">
        <v>1</v>
      </c>
      <c r="J110" s="227"/>
      <c r="K110" s="417" t="s">
        <v>74</v>
      </c>
      <c r="L110" s="418"/>
      <c r="M110" s="418"/>
      <c r="N110" s="418"/>
      <c r="O110" s="418"/>
      <c r="P110" s="419"/>
    </row>
    <row r="111" spans="1:16" ht="15.75" x14ac:dyDescent="0.25">
      <c r="A111" s="221">
        <v>43901</v>
      </c>
      <c r="B111" s="222">
        <v>327</v>
      </c>
      <c r="C111" s="223">
        <v>721</v>
      </c>
      <c r="D111" s="224" t="s">
        <v>109</v>
      </c>
      <c r="E111" s="225">
        <v>24</v>
      </c>
      <c r="F111" s="225">
        <v>48</v>
      </c>
      <c r="G111" s="224">
        <v>8.9</v>
      </c>
      <c r="H111" s="226" t="s">
        <v>110</v>
      </c>
      <c r="I111" s="225">
        <v>1</v>
      </c>
      <c r="J111" s="227">
        <v>1</v>
      </c>
      <c r="K111" s="417" t="s">
        <v>111</v>
      </c>
      <c r="L111" s="418"/>
      <c r="M111" s="418"/>
      <c r="N111" s="418"/>
      <c r="O111" s="418"/>
      <c r="P111" s="419"/>
    </row>
    <row r="112" spans="1:16" ht="15.75" x14ac:dyDescent="0.25">
      <c r="A112" s="221">
        <v>43907</v>
      </c>
      <c r="B112" s="222">
        <v>1000</v>
      </c>
      <c r="C112" s="223"/>
      <c r="D112" s="224">
        <v>865</v>
      </c>
      <c r="E112" s="225">
        <v>22.5</v>
      </c>
      <c r="F112" s="225">
        <v>135</v>
      </c>
      <c r="G112" s="224">
        <v>8</v>
      </c>
      <c r="H112" s="226">
        <v>80.5</v>
      </c>
      <c r="I112" s="225">
        <v>1</v>
      </c>
      <c r="J112" s="227"/>
      <c r="K112" s="417" t="s">
        <v>112</v>
      </c>
      <c r="L112" s="418"/>
      <c r="M112" s="418"/>
      <c r="N112" s="418"/>
      <c r="O112" s="418"/>
      <c r="P112" s="419"/>
    </row>
    <row r="113" spans="1:16" ht="15.75" x14ac:dyDescent="0.25">
      <c r="A113" s="221">
        <v>43909</v>
      </c>
      <c r="B113" s="222">
        <v>865</v>
      </c>
      <c r="C113" s="223"/>
      <c r="D113" s="224">
        <v>817</v>
      </c>
      <c r="E113" s="225">
        <v>24</v>
      </c>
      <c r="F113" s="225">
        <v>48</v>
      </c>
      <c r="G113" s="224">
        <v>8.3000000000000007</v>
      </c>
      <c r="H113" s="226">
        <v>76</v>
      </c>
      <c r="I113" s="225">
        <v>1</v>
      </c>
      <c r="J113" s="227"/>
      <c r="K113" s="417"/>
      <c r="L113" s="418"/>
      <c r="M113" s="418"/>
      <c r="N113" s="418"/>
      <c r="O113" s="418"/>
      <c r="P113" s="419"/>
    </row>
    <row r="114" spans="1:16" ht="15.75" x14ac:dyDescent="0.25">
      <c r="A114" s="168">
        <v>43915</v>
      </c>
      <c r="B114" s="169">
        <v>817</v>
      </c>
      <c r="C114" s="170"/>
      <c r="D114" s="173">
        <v>671</v>
      </c>
      <c r="E114" s="171">
        <v>24.3</v>
      </c>
      <c r="F114" s="171">
        <v>146</v>
      </c>
      <c r="G114" s="173">
        <v>9.1</v>
      </c>
      <c r="H114" s="174">
        <v>62.5</v>
      </c>
      <c r="I114" s="171">
        <v>1</v>
      </c>
      <c r="J114" s="172"/>
      <c r="K114" s="468"/>
      <c r="L114" s="469"/>
      <c r="M114" s="469"/>
      <c r="N114" s="469"/>
      <c r="O114" s="469"/>
      <c r="P114" s="470"/>
    </row>
    <row r="115" spans="1:16" ht="15.75" x14ac:dyDescent="0.25">
      <c r="A115" s="168">
        <v>43922</v>
      </c>
      <c r="B115" s="169">
        <v>671</v>
      </c>
      <c r="C115" s="170">
        <v>501</v>
      </c>
      <c r="D115" s="173" t="s">
        <v>113</v>
      </c>
      <c r="E115" s="171">
        <v>24.6</v>
      </c>
      <c r="F115" s="171">
        <v>172</v>
      </c>
      <c r="G115" s="173">
        <v>8.6</v>
      </c>
      <c r="H115" s="174" t="s">
        <v>114</v>
      </c>
      <c r="I115" s="171">
        <v>1</v>
      </c>
      <c r="J115" s="172">
        <v>1</v>
      </c>
      <c r="K115" s="468" t="s">
        <v>63</v>
      </c>
      <c r="L115" s="469"/>
      <c r="M115" s="469"/>
      <c r="N115" s="469"/>
      <c r="O115" s="469"/>
      <c r="P115" s="470"/>
    </row>
    <row r="116" spans="1:16" ht="15.75" x14ac:dyDescent="0.25">
      <c r="A116" s="168">
        <v>43929</v>
      </c>
      <c r="B116" s="169">
        <v>1000</v>
      </c>
      <c r="C116" s="170"/>
      <c r="D116" s="173">
        <v>838</v>
      </c>
      <c r="E116" s="171">
        <v>23.1</v>
      </c>
      <c r="F116" s="171">
        <v>162</v>
      </c>
      <c r="G116" s="173">
        <v>8.6</v>
      </c>
      <c r="H116" s="174">
        <v>78</v>
      </c>
      <c r="I116" s="171">
        <v>1</v>
      </c>
      <c r="J116" s="172"/>
      <c r="K116" s="468"/>
      <c r="L116" s="469"/>
      <c r="M116" s="469"/>
      <c r="N116" s="469"/>
      <c r="O116" s="469"/>
      <c r="P116" s="470"/>
    </row>
    <row r="117" spans="1:16" ht="15.75" x14ac:dyDescent="0.25">
      <c r="A117" s="168">
        <v>43936</v>
      </c>
      <c r="B117" s="169">
        <v>838</v>
      </c>
      <c r="C117" s="170"/>
      <c r="D117" s="173">
        <v>688</v>
      </c>
      <c r="E117" s="171">
        <v>21.4</v>
      </c>
      <c r="F117" s="171">
        <v>150</v>
      </c>
      <c r="G117" s="173">
        <v>50</v>
      </c>
      <c r="H117" s="174">
        <v>64</v>
      </c>
      <c r="I117" s="171">
        <v>1</v>
      </c>
      <c r="J117" s="172"/>
      <c r="K117" s="468" t="s">
        <v>115</v>
      </c>
      <c r="L117" s="469"/>
      <c r="M117" s="469"/>
      <c r="N117" s="469"/>
      <c r="O117" s="469"/>
      <c r="P117" s="470"/>
    </row>
    <row r="118" spans="1:16" ht="15.75" x14ac:dyDescent="0.25">
      <c r="A118" s="168">
        <v>43943</v>
      </c>
      <c r="B118" s="169">
        <v>688</v>
      </c>
      <c r="C118" s="170">
        <v>490</v>
      </c>
      <c r="D118" s="173" t="s">
        <v>116</v>
      </c>
      <c r="E118" s="171">
        <v>25.4</v>
      </c>
      <c r="F118" s="171">
        <v>178</v>
      </c>
      <c r="G118" s="173">
        <v>8.6</v>
      </c>
      <c r="H118" s="174" t="s">
        <v>117</v>
      </c>
      <c r="I118" s="171">
        <v>1</v>
      </c>
      <c r="J118" s="172">
        <v>1</v>
      </c>
      <c r="K118" s="468" t="s">
        <v>79</v>
      </c>
      <c r="L118" s="469"/>
      <c r="M118" s="469"/>
      <c r="N118" s="469"/>
      <c r="O118" s="469"/>
      <c r="P118" s="470"/>
    </row>
    <row r="119" spans="1:16" x14ac:dyDescent="0.25">
      <c r="A119" s="47"/>
      <c r="B119" s="195"/>
      <c r="C119" s="48"/>
      <c r="D119" s="51"/>
      <c r="E119" s="49"/>
      <c r="F119" s="49"/>
      <c r="G119" s="51"/>
      <c r="H119" s="52"/>
      <c r="I119" s="49"/>
      <c r="J119" s="50"/>
      <c r="K119" s="510"/>
      <c r="L119" s="511"/>
      <c r="M119" s="511"/>
      <c r="N119" s="511"/>
      <c r="O119" s="511"/>
      <c r="P119" s="512"/>
    </row>
    <row r="120" spans="1:16" x14ac:dyDescent="0.25">
      <c r="A120" s="47"/>
      <c r="B120" s="195"/>
      <c r="C120" s="48"/>
      <c r="D120" s="51"/>
      <c r="E120" s="49"/>
      <c r="F120" s="49"/>
      <c r="G120" s="51"/>
      <c r="H120" s="52"/>
      <c r="I120" s="49"/>
      <c r="J120" s="50"/>
      <c r="K120" s="510"/>
      <c r="L120" s="511"/>
      <c r="M120" s="511"/>
      <c r="N120" s="511"/>
      <c r="O120" s="511"/>
      <c r="P120" s="512"/>
    </row>
    <row r="121" spans="1:16" x14ac:dyDescent="0.25">
      <c r="A121" s="47"/>
      <c r="B121" s="195"/>
      <c r="C121" s="48"/>
      <c r="D121" s="51"/>
      <c r="E121" s="49"/>
      <c r="F121" s="49"/>
      <c r="G121" s="51"/>
      <c r="H121" s="52"/>
      <c r="I121" s="49"/>
      <c r="J121" s="50"/>
      <c r="K121" s="510"/>
      <c r="L121" s="511"/>
      <c r="M121" s="511"/>
      <c r="N121" s="511"/>
      <c r="O121" s="511"/>
      <c r="P121" s="512"/>
    </row>
    <row r="122" spans="1:16" x14ac:dyDescent="0.25">
      <c r="A122" s="47"/>
      <c r="B122" s="195"/>
      <c r="C122" s="48"/>
      <c r="D122" s="51"/>
      <c r="E122" s="49"/>
      <c r="F122" s="49"/>
      <c r="G122" s="51"/>
      <c r="H122" s="52"/>
      <c r="I122" s="49"/>
      <c r="J122" s="50"/>
      <c r="K122" s="510"/>
      <c r="L122" s="511"/>
      <c r="M122" s="511"/>
      <c r="N122" s="511"/>
      <c r="O122" s="511"/>
      <c r="P122" s="512"/>
    </row>
    <row r="123" spans="1:16" x14ac:dyDescent="0.25">
      <c r="A123" s="47"/>
      <c r="B123" s="195"/>
      <c r="C123" s="48"/>
      <c r="D123" s="51"/>
      <c r="E123" s="49"/>
      <c r="F123" s="49"/>
      <c r="G123" s="51"/>
      <c r="H123" s="52"/>
      <c r="I123" s="49"/>
      <c r="J123" s="50"/>
      <c r="K123" s="510"/>
      <c r="L123" s="511"/>
      <c r="M123" s="511"/>
      <c r="N123" s="511"/>
      <c r="O123" s="511"/>
      <c r="P123" s="512"/>
    </row>
    <row r="124" spans="1:16" x14ac:dyDescent="0.25">
      <c r="A124" s="47"/>
      <c r="B124" s="195"/>
      <c r="C124" s="48"/>
      <c r="D124" s="51"/>
      <c r="E124" s="49"/>
      <c r="F124" s="49"/>
      <c r="G124" s="51"/>
      <c r="H124" s="52"/>
      <c r="I124" s="49"/>
      <c r="J124" s="50"/>
      <c r="K124" s="510"/>
      <c r="L124" s="511"/>
      <c r="M124" s="511"/>
      <c r="N124" s="511"/>
      <c r="O124" s="511"/>
      <c r="P124" s="512"/>
    </row>
    <row r="125" spans="1:16" x14ac:dyDescent="0.25">
      <c r="A125" s="47"/>
      <c r="B125" s="195"/>
      <c r="C125" s="48"/>
      <c r="D125" s="51"/>
      <c r="E125" s="49"/>
      <c r="F125" s="49"/>
      <c r="G125" s="51"/>
      <c r="H125" s="52"/>
      <c r="I125" s="49"/>
      <c r="J125" s="50"/>
      <c r="K125" s="510"/>
      <c r="L125" s="511"/>
      <c r="M125" s="511"/>
      <c r="N125" s="511"/>
      <c r="O125" s="511"/>
      <c r="P125" s="512"/>
    </row>
    <row r="126" spans="1:16" x14ac:dyDescent="0.25">
      <c r="A126" s="47"/>
      <c r="B126" s="195"/>
      <c r="C126" s="48"/>
      <c r="D126" s="51"/>
      <c r="E126" s="49"/>
      <c r="F126" s="49"/>
      <c r="G126" s="51"/>
      <c r="H126" s="52"/>
      <c r="I126" s="49"/>
      <c r="J126" s="50"/>
      <c r="K126" s="510"/>
      <c r="L126" s="511"/>
      <c r="M126" s="511"/>
      <c r="N126" s="511"/>
      <c r="O126" s="511"/>
      <c r="P126" s="512"/>
    </row>
    <row r="127" spans="1:16" x14ac:dyDescent="0.25">
      <c r="A127" s="47"/>
      <c r="B127" s="195"/>
      <c r="C127" s="48"/>
      <c r="D127" s="51"/>
      <c r="E127" s="49"/>
      <c r="F127" s="49"/>
      <c r="G127" s="51"/>
      <c r="H127" s="52"/>
      <c r="I127" s="49"/>
      <c r="J127" s="50"/>
      <c r="K127" s="510"/>
      <c r="L127" s="511"/>
      <c r="M127" s="511"/>
      <c r="N127" s="511"/>
      <c r="O127" s="511"/>
      <c r="P127" s="512"/>
    </row>
    <row r="128" spans="1:16" x14ac:dyDescent="0.25">
      <c r="A128" s="47"/>
      <c r="B128" s="195"/>
      <c r="C128" s="48"/>
      <c r="D128" s="51"/>
      <c r="E128" s="49"/>
      <c r="F128" s="49"/>
      <c r="G128" s="51"/>
      <c r="H128" s="52"/>
      <c r="I128" s="49"/>
      <c r="J128" s="50"/>
      <c r="K128" s="510"/>
      <c r="L128" s="511"/>
      <c r="M128" s="511"/>
      <c r="N128" s="511"/>
      <c r="O128" s="511"/>
      <c r="P128" s="512"/>
    </row>
    <row r="129" spans="1:16" x14ac:dyDescent="0.25">
      <c r="A129" s="47"/>
      <c r="B129" s="195"/>
      <c r="C129" s="48"/>
      <c r="D129" s="51"/>
      <c r="E129" s="49"/>
      <c r="F129" s="49"/>
      <c r="G129" s="51"/>
      <c r="H129" s="52"/>
      <c r="I129" s="49"/>
      <c r="J129" s="50"/>
      <c r="K129" s="510"/>
      <c r="L129" s="511"/>
      <c r="M129" s="511"/>
      <c r="N129" s="511"/>
      <c r="O129" s="511"/>
      <c r="P129" s="512"/>
    </row>
    <row r="130" spans="1:16" x14ac:dyDescent="0.25">
      <c r="A130" s="47"/>
      <c r="B130" s="195"/>
      <c r="C130" s="48"/>
      <c r="D130" s="51"/>
      <c r="E130" s="49"/>
      <c r="F130" s="49"/>
      <c r="G130" s="51"/>
      <c r="H130" s="52"/>
      <c r="I130" s="49"/>
      <c r="J130" s="50"/>
      <c r="K130" s="510"/>
      <c r="L130" s="511"/>
      <c r="M130" s="511"/>
      <c r="N130" s="511"/>
      <c r="O130" s="511"/>
      <c r="P130" s="512"/>
    </row>
    <row r="131" spans="1:16" ht="15.75" thickBot="1" x14ac:dyDescent="0.3">
      <c r="A131" s="53"/>
      <c r="B131" s="54"/>
      <c r="C131" s="55"/>
      <c r="D131" s="56"/>
      <c r="E131" s="57"/>
      <c r="F131" s="58"/>
      <c r="G131" s="59"/>
      <c r="H131" s="60"/>
      <c r="I131" s="61"/>
      <c r="J131" s="62"/>
      <c r="K131" s="498"/>
      <c r="L131" s="499"/>
      <c r="M131" s="499"/>
      <c r="N131" s="499"/>
      <c r="O131" s="499"/>
      <c r="P131" s="500"/>
    </row>
    <row r="132" spans="1:16" ht="16.5" thickBot="1" x14ac:dyDescent="0.3">
      <c r="A132" s="501" t="s">
        <v>30</v>
      </c>
      <c r="B132" s="502"/>
      <c r="C132" s="503"/>
      <c r="D132" s="63"/>
      <c r="E132" s="64"/>
      <c r="F132" s="65">
        <f>SUM(F114:F131)</f>
        <v>808</v>
      </c>
      <c r="G132" s="66"/>
      <c r="H132" s="67"/>
      <c r="I132" s="65">
        <f>SUM(I114:I131)</f>
        <v>5</v>
      </c>
      <c r="J132" s="66">
        <f>SUM(J114:J131)</f>
        <v>2</v>
      </c>
      <c r="K132" s="504"/>
      <c r="L132" s="505"/>
      <c r="M132" s="505"/>
      <c r="N132" s="505"/>
      <c r="O132" s="505"/>
      <c r="P132" s="506"/>
    </row>
    <row r="133" spans="1:16" x14ac:dyDescent="0.25">
      <c r="A133" s="68"/>
      <c r="B133" s="507"/>
      <c r="C133" s="507"/>
      <c r="D133" s="508"/>
      <c r="E133" s="508"/>
      <c r="F133" s="69"/>
      <c r="G133" s="69"/>
      <c r="H133" s="70"/>
      <c r="I133" s="71"/>
      <c r="J133" s="71"/>
      <c r="K133" s="72"/>
      <c r="L133" s="508"/>
      <c r="M133" s="508"/>
      <c r="N133" s="508"/>
      <c r="O133" s="508"/>
      <c r="P133" s="509"/>
    </row>
    <row r="134" spans="1:16" ht="15.75" x14ac:dyDescent="0.25">
      <c r="A134" s="73" t="s">
        <v>26</v>
      </c>
      <c r="B134" s="74"/>
      <c r="C134" s="74"/>
      <c r="D134" s="74"/>
      <c r="E134" s="74"/>
      <c r="F134" s="74"/>
      <c r="G134" s="74"/>
      <c r="H134" s="75"/>
      <c r="I134" s="74"/>
      <c r="J134" s="74"/>
      <c r="K134" s="74"/>
      <c r="L134" s="74"/>
      <c r="M134" s="74"/>
      <c r="N134" s="74"/>
      <c r="O134" s="74"/>
      <c r="P134" s="76"/>
    </row>
    <row r="135" spans="1:16" x14ac:dyDescent="0.25">
      <c r="A135" s="77"/>
      <c r="B135" s="493"/>
      <c r="C135" s="493"/>
      <c r="D135" s="493"/>
      <c r="E135" s="493"/>
      <c r="F135" s="78"/>
      <c r="G135" s="78"/>
      <c r="H135" s="79"/>
      <c r="I135" s="493"/>
      <c r="J135" s="493"/>
      <c r="K135" s="80"/>
      <c r="L135" s="493"/>
      <c r="M135" s="493"/>
      <c r="N135" s="493"/>
      <c r="O135" s="493"/>
      <c r="P135" s="494"/>
    </row>
    <row r="136" spans="1:16" x14ac:dyDescent="0.25">
      <c r="A136" s="81"/>
      <c r="B136" s="82"/>
      <c r="C136" s="82"/>
      <c r="D136" s="82"/>
      <c r="E136" s="82"/>
      <c r="F136" s="82"/>
      <c r="G136" s="82"/>
      <c r="H136" s="83"/>
      <c r="I136" s="82"/>
      <c r="J136" s="82"/>
      <c r="K136" s="82"/>
      <c r="L136" s="82"/>
      <c r="M136" s="82"/>
      <c r="N136" s="82"/>
      <c r="O136" s="82"/>
      <c r="P136" s="84"/>
    </row>
  </sheetData>
  <mergeCells count="156">
    <mergeCell ref="B133:C133"/>
    <mergeCell ref="D133:E133"/>
    <mergeCell ref="L133:P133"/>
    <mergeCell ref="K114:P114"/>
    <mergeCell ref="K115:P115"/>
    <mergeCell ref="K125:P125"/>
    <mergeCell ref="K126:P126"/>
    <mergeCell ref="K127:P127"/>
    <mergeCell ref="K128:P128"/>
    <mergeCell ref="K129:P129"/>
    <mergeCell ref="K130:P130"/>
    <mergeCell ref="K116:P116"/>
    <mergeCell ref="K117:P117"/>
    <mergeCell ref="K118:P118"/>
    <mergeCell ref="K119:P119"/>
    <mergeCell ref="K120:P120"/>
    <mergeCell ref="K121:P121"/>
    <mergeCell ref="K122:P122"/>
    <mergeCell ref="K123:P123"/>
    <mergeCell ref="K124:P124"/>
    <mergeCell ref="K44:P44"/>
    <mergeCell ref="K78:P78"/>
    <mergeCell ref="K52:P52"/>
    <mergeCell ref="K53:P53"/>
    <mergeCell ref="K54:P54"/>
    <mergeCell ref="K55:P55"/>
    <mergeCell ref="K56:P56"/>
    <mergeCell ref="K57:P57"/>
    <mergeCell ref="K58:P58"/>
    <mergeCell ref="K62:P62"/>
    <mergeCell ref="K63:P63"/>
    <mergeCell ref="K64:P64"/>
    <mergeCell ref="K65:P65"/>
    <mergeCell ref="K66:P66"/>
    <mergeCell ref="K67:P67"/>
    <mergeCell ref="K74:P74"/>
    <mergeCell ref="K75:P75"/>
    <mergeCell ref="K76:P76"/>
    <mergeCell ref="K73:P73"/>
    <mergeCell ref="K77:P77"/>
    <mergeCell ref="K79:P79"/>
    <mergeCell ref="K89:P89"/>
    <mergeCell ref="K61:P61"/>
    <mergeCell ref="B135:C135"/>
    <mergeCell ref="D135:E135"/>
    <mergeCell ref="I135:J135"/>
    <mergeCell ref="L135:P135"/>
    <mergeCell ref="K45:P45"/>
    <mergeCell ref="K46:P46"/>
    <mergeCell ref="K47:P47"/>
    <mergeCell ref="K131:P131"/>
    <mergeCell ref="A132:C132"/>
    <mergeCell ref="K132:P132"/>
    <mergeCell ref="K48:P48"/>
    <mergeCell ref="K49:P49"/>
    <mergeCell ref="K50:P50"/>
    <mergeCell ref="K51:P51"/>
    <mergeCell ref="K59:P59"/>
    <mergeCell ref="K60:P60"/>
    <mergeCell ref="K68:P68"/>
    <mergeCell ref="K69:P69"/>
    <mergeCell ref="K70:P70"/>
    <mergeCell ref="K71:P71"/>
    <mergeCell ref="K72:P72"/>
    <mergeCell ref="K34:P34"/>
    <mergeCell ref="K35:P35"/>
    <mergeCell ref="K36:P36"/>
    <mergeCell ref="K22:P22"/>
    <mergeCell ref="K28:P28"/>
    <mergeCell ref="K29:P29"/>
    <mergeCell ref="K30:P30"/>
    <mergeCell ref="K31:P31"/>
    <mergeCell ref="K32:P32"/>
    <mergeCell ref="K23:P23"/>
    <mergeCell ref="K24:P24"/>
    <mergeCell ref="K25:P25"/>
    <mergeCell ref="K26:P26"/>
    <mergeCell ref="K27:P27"/>
    <mergeCell ref="K42:P42"/>
    <mergeCell ref="A17:A18"/>
    <mergeCell ref="K17:P18"/>
    <mergeCell ref="K19:P19"/>
    <mergeCell ref="K20:P20"/>
    <mergeCell ref="K21:P21"/>
    <mergeCell ref="A12:C12"/>
    <mergeCell ref="D12:G12"/>
    <mergeCell ref="H12:J12"/>
    <mergeCell ref="K12:P12"/>
    <mergeCell ref="A13:C13"/>
    <mergeCell ref="D13:G13"/>
    <mergeCell ref="H13:J13"/>
    <mergeCell ref="K13:P13"/>
    <mergeCell ref="A14:C14"/>
    <mergeCell ref="D14:G14"/>
    <mergeCell ref="H14:J14"/>
    <mergeCell ref="K14:P14"/>
    <mergeCell ref="A15:C15"/>
    <mergeCell ref="D15:G15"/>
    <mergeCell ref="H15:J15"/>
    <mergeCell ref="L15:M15"/>
    <mergeCell ref="N15:O15"/>
    <mergeCell ref="K33:P33"/>
    <mergeCell ref="A8:D9"/>
    <mergeCell ref="E8:P9"/>
    <mergeCell ref="A11:C11"/>
    <mergeCell ref="D11:G11"/>
    <mergeCell ref="H11:J11"/>
    <mergeCell ref="K11:P11"/>
    <mergeCell ref="L7:P7"/>
    <mergeCell ref="A1:D3"/>
    <mergeCell ref="E1:P3"/>
    <mergeCell ref="E4:F4"/>
    <mergeCell ref="H4:K4"/>
    <mergeCell ref="L4:P4"/>
    <mergeCell ref="A5:D5"/>
    <mergeCell ref="E5:F5"/>
    <mergeCell ref="H5:K5"/>
    <mergeCell ref="L5:P5"/>
    <mergeCell ref="E6:G6"/>
    <mergeCell ref="H6:K6"/>
    <mergeCell ref="A7:D7"/>
    <mergeCell ref="E7:G7"/>
    <mergeCell ref="H7:K7"/>
    <mergeCell ref="K80:P80"/>
    <mergeCell ref="K81:P81"/>
    <mergeCell ref="K82:P82"/>
    <mergeCell ref="K83:P83"/>
    <mergeCell ref="K84:P84"/>
    <mergeCell ref="K85:P85"/>
    <mergeCell ref="K86:P86"/>
    <mergeCell ref="K87:P87"/>
    <mergeCell ref="K88:P88"/>
    <mergeCell ref="K90:P90"/>
    <mergeCell ref="K91:P91"/>
    <mergeCell ref="K92:P92"/>
    <mergeCell ref="K93:P93"/>
    <mergeCell ref="K94:P94"/>
    <mergeCell ref="K95:P95"/>
    <mergeCell ref="K96:P96"/>
    <mergeCell ref="K112:P112"/>
    <mergeCell ref="K113:P113"/>
    <mergeCell ref="K97:P97"/>
    <mergeCell ref="K98:P98"/>
    <mergeCell ref="K99:P99"/>
    <mergeCell ref="K100:P100"/>
    <mergeCell ref="K101:P101"/>
    <mergeCell ref="K102:P102"/>
    <mergeCell ref="K103:P103"/>
    <mergeCell ref="K111:P111"/>
    <mergeCell ref="K104:P104"/>
    <mergeCell ref="K105:P105"/>
    <mergeCell ref="K106:P106"/>
    <mergeCell ref="K107:P107"/>
    <mergeCell ref="K108:P108"/>
    <mergeCell ref="K109:P109"/>
    <mergeCell ref="K110:P1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9F41-6AE8-4964-A5A7-3AAEBF6CF63B}">
  <dimension ref="B2:BF76"/>
  <sheetViews>
    <sheetView tabSelected="1" showWhiteSpace="0" topLeftCell="AL1" zoomScale="70" zoomScaleNormal="70" workbookViewId="0">
      <pane ySplit="6" topLeftCell="A16" activePane="bottomLeft" state="frozen"/>
      <selection pane="bottomLeft" activeCell="BF6" sqref="BF6"/>
    </sheetView>
  </sheetViews>
  <sheetFormatPr baseColWidth="10" defaultColWidth="17.28515625" defaultRowHeight="12.75" x14ac:dyDescent="0.2"/>
  <cols>
    <col min="1" max="1" width="3.5703125" style="18" customWidth="1"/>
    <col min="2" max="2" width="50.140625" style="18" customWidth="1"/>
    <col min="3" max="3" width="32.85546875" style="18" customWidth="1"/>
    <col min="4" max="4" width="14.140625" style="18" customWidth="1"/>
    <col min="5" max="5" width="7.85546875" style="18" bestFit="1" customWidth="1"/>
    <col min="6" max="6" width="17.28515625" style="18"/>
    <col min="7" max="7" width="1.7109375" style="18" customWidth="1"/>
    <col min="8" max="8" width="16.140625" style="18" customWidth="1"/>
    <col min="9" max="9" width="14.5703125" style="18" bestFit="1" customWidth="1"/>
    <col min="10" max="10" width="17.28515625" style="18"/>
    <col min="11" max="11" width="2.42578125" style="18" customWidth="1"/>
    <col min="12" max="12" width="11" style="18" bestFit="1" customWidth="1"/>
    <col min="13" max="13" width="14.5703125" style="18" bestFit="1" customWidth="1"/>
    <col min="14" max="14" width="17.28515625" style="18"/>
    <col min="15" max="15" width="1.85546875" style="18" customWidth="1"/>
    <col min="16" max="16" width="11" style="18" bestFit="1" customWidth="1"/>
    <col min="17" max="17" width="14.5703125" style="18" bestFit="1" customWidth="1"/>
    <col min="18" max="18" width="17.28515625" style="18"/>
    <col min="19" max="19" width="3.140625" style="18" customWidth="1"/>
    <col min="20" max="20" width="11" style="18" bestFit="1" customWidth="1"/>
    <col min="21" max="21" width="14.5703125" style="18" bestFit="1" customWidth="1"/>
    <col min="22" max="22" width="17.28515625" style="18"/>
    <col min="23" max="23" width="2.42578125" style="18" customWidth="1"/>
    <col min="24" max="24" width="11" style="18" bestFit="1" customWidth="1"/>
    <col min="25" max="25" width="14.5703125" style="18" bestFit="1" customWidth="1"/>
    <col min="26" max="26" width="17.28515625" style="18"/>
    <col min="27" max="27" width="2.42578125" style="18" customWidth="1"/>
    <col min="28" max="28" width="11" style="18" bestFit="1" customWidth="1"/>
    <col min="29" max="29" width="14.5703125" style="18" bestFit="1" customWidth="1"/>
    <col min="30" max="30" width="17.28515625" style="18"/>
    <col min="31" max="31" width="2.42578125" style="18" customWidth="1"/>
    <col min="32" max="32" width="11" style="18" bestFit="1" customWidth="1"/>
    <col min="33" max="33" width="14.5703125" style="18" bestFit="1" customWidth="1"/>
    <col min="34" max="34" width="17.28515625" style="18"/>
    <col min="35" max="35" width="2" style="18" customWidth="1"/>
    <col min="36" max="36" width="11" style="18" bestFit="1" customWidth="1"/>
    <col min="37" max="37" width="14.5703125" style="18" bestFit="1" customWidth="1"/>
    <col min="38" max="38" width="17.28515625" style="18"/>
    <col min="39" max="39" width="5.28515625" style="18" customWidth="1"/>
    <col min="40" max="40" width="15.28515625" style="18" customWidth="1"/>
    <col min="41" max="41" width="14.5703125" style="18" bestFit="1" customWidth="1"/>
    <col min="42" max="42" width="17.28515625" style="18"/>
    <col min="43" max="43" width="2.5703125" style="18" customWidth="1"/>
    <col min="44" max="46" width="17.28515625" style="18"/>
    <col min="47" max="47" width="2.85546875" style="18" customWidth="1"/>
    <col min="48" max="50" width="17.28515625" style="18"/>
    <col min="51" max="51" width="2.42578125" style="18" customWidth="1"/>
    <col min="52" max="54" width="17.28515625" style="18"/>
    <col min="55" max="55" width="1.7109375" style="18" customWidth="1"/>
    <col min="56" max="16384" width="17.28515625" style="18"/>
  </cols>
  <sheetData>
    <row r="2" spans="2:58" x14ac:dyDescent="0.2">
      <c r="F2" s="279"/>
      <c r="I2" s="280" t="s">
        <v>184</v>
      </c>
      <c r="J2" s="279">
        <v>0</v>
      </c>
      <c r="M2" s="280" t="s">
        <v>184</v>
      </c>
      <c r="N2" s="279">
        <v>0</v>
      </c>
      <c r="Q2" s="280" t="s">
        <v>184</v>
      </c>
      <c r="R2" s="279">
        <f>N3</f>
        <v>0.24999999999999997</v>
      </c>
      <c r="U2" s="280" t="s">
        <v>184</v>
      </c>
      <c r="V2" s="279">
        <f>+R2</f>
        <v>0.24999999999999997</v>
      </c>
      <c r="Y2" s="280" t="s">
        <v>184</v>
      </c>
      <c r="Z2" s="279">
        <f>+V2</f>
        <v>0.24999999999999997</v>
      </c>
      <c r="AC2" s="280" t="s">
        <v>184</v>
      </c>
      <c r="AD2" s="281">
        <f>+Z2+Z3</f>
        <v>0.52500000000000002</v>
      </c>
      <c r="AG2" s="280" t="s">
        <v>184</v>
      </c>
      <c r="AH2" s="281">
        <f>+AD2</f>
        <v>0.52500000000000002</v>
      </c>
      <c r="AK2" s="280" t="s">
        <v>184</v>
      </c>
      <c r="AL2" s="281">
        <f>+AH2</f>
        <v>0.52500000000000002</v>
      </c>
      <c r="AO2" s="280" t="s">
        <v>184</v>
      </c>
      <c r="AP2" s="281">
        <f>+AL3+AL2</f>
        <v>1.081</v>
      </c>
      <c r="AS2" s="280" t="s">
        <v>184</v>
      </c>
      <c r="AT2" s="281">
        <f>+AP2</f>
        <v>1.081</v>
      </c>
      <c r="AW2" s="280" t="s">
        <v>184</v>
      </c>
      <c r="AX2" s="281">
        <f>+AT2</f>
        <v>1.081</v>
      </c>
      <c r="BA2" s="280" t="s">
        <v>184</v>
      </c>
      <c r="BB2" s="389">
        <f>+AX3+AX2</f>
        <v>1.8320000000000001</v>
      </c>
      <c r="BE2" s="280" t="s">
        <v>184</v>
      </c>
      <c r="BF2" s="389">
        <f>+BB3+BB2</f>
        <v>1.8320000000000001</v>
      </c>
    </row>
    <row r="3" spans="2:58" x14ac:dyDescent="0.2">
      <c r="I3" s="280" t="s">
        <v>185</v>
      </c>
      <c r="J3" s="281">
        <v>0.11</v>
      </c>
      <c r="K3" s="281"/>
      <c r="M3" s="280" t="s">
        <v>185</v>
      </c>
      <c r="N3" s="281">
        <f>11%+12%+2%</f>
        <v>0.24999999999999997</v>
      </c>
      <c r="Q3" s="280" t="s">
        <v>185</v>
      </c>
      <c r="R3" s="281">
        <v>0.1</v>
      </c>
      <c r="U3" s="280" t="s">
        <v>185</v>
      </c>
      <c r="V3" s="281">
        <f>10%+R3</f>
        <v>0.2</v>
      </c>
      <c r="Y3" s="280" t="s">
        <v>185</v>
      </c>
      <c r="Z3" s="281">
        <f>7.5%+V3</f>
        <v>0.27500000000000002</v>
      </c>
      <c r="AC3" s="280" t="s">
        <v>185</v>
      </c>
      <c r="AD3" s="281">
        <v>0.15</v>
      </c>
      <c r="AG3" s="280" t="s">
        <v>185</v>
      </c>
      <c r="AH3" s="390">
        <f>10%+15%+13.1%</f>
        <v>0.38100000000000001</v>
      </c>
      <c r="AK3" s="280" t="s">
        <v>185</v>
      </c>
      <c r="AL3" s="390">
        <f>17.5%+10%+15%+13.1%</f>
        <v>0.55600000000000005</v>
      </c>
      <c r="AO3" s="280" t="s">
        <v>185</v>
      </c>
      <c r="AP3" s="390">
        <v>0.47599999999999998</v>
      </c>
      <c r="AS3" s="280" t="s">
        <v>185</v>
      </c>
      <c r="AT3" s="390">
        <f>17.5%+47.6%</f>
        <v>0.65100000000000002</v>
      </c>
      <c r="AW3" s="280" t="s">
        <v>185</v>
      </c>
      <c r="AX3" s="390">
        <f>27.5%+47.6%</f>
        <v>0.75100000000000011</v>
      </c>
      <c r="BA3" s="280" t="s">
        <v>185</v>
      </c>
      <c r="BB3" s="390"/>
      <c r="BE3" s="280" t="s">
        <v>185</v>
      </c>
      <c r="BF3" s="390"/>
    </row>
    <row r="5" spans="2:58" x14ac:dyDescent="0.2">
      <c r="F5" s="282">
        <v>45017</v>
      </c>
      <c r="J5" s="282">
        <v>45047</v>
      </c>
      <c r="N5" s="282">
        <v>45078</v>
      </c>
      <c r="R5" s="282">
        <v>45108</v>
      </c>
      <c r="V5" s="282">
        <v>45139</v>
      </c>
      <c r="Z5" s="282">
        <v>45170</v>
      </c>
      <c r="AD5" s="282">
        <v>45200</v>
      </c>
      <c r="AH5" s="282">
        <v>45231</v>
      </c>
      <c r="AL5" s="282">
        <v>45261</v>
      </c>
      <c r="AP5" s="282">
        <v>45292</v>
      </c>
      <c r="AT5" s="282">
        <v>45323</v>
      </c>
      <c r="AX5" s="282">
        <v>45352</v>
      </c>
      <c r="BB5" s="282">
        <v>45383</v>
      </c>
      <c r="BF5" s="282">
        <v>45413</v>
      </c>
    </row>
    <row r="7" spans="2:58" x14ac:dyDescent="0.2">
      <c r="D7" s="283" t="s">
        <v>186</v>
      </c>
      <c r="E7" s="283" t="s">
        <v>1</v>
      </c>
      <c r="F7" s="284" t="s">
        <v>187</v>
      </c>
      <c r="H7" s="283" t="s">
        <v>186</v>
      </c>
      <c r="I7" s="283" t="s">
        <v>1</v>
      </c>
      <c r="J7" s="284" t="s">
        <v>187</v>
      </c>
      <c r="L7" s="283" t="s">
        <v>186</v>
      </c>
      <c r="M7" s="283" t="s">
        <v>1</v>
      </c>
      <c r="N7" s="284" t="s">
        <v>187</v>
      </c>
      <c r="P7" s="283" t="s">
        <v>186</v>
      </c>
      <c r="Q7" s="283" t="s">
        <v>1</v>
      </c>
      <c r="R7" s="284" t="s">
        <v>187</v>
      </c>
      <c r="T7" s="283" t="s">
        <v>186</v>
      </c>
      <c r="U7" s="283" t="s">
        <v>1</v>
      </c>
      <c r="V7" s="284" t="s">
        <v>187</v>
      </c>
      <c r="X7" s="283" t="s">
        <v>186</v>
      </c>
      <c r="Y7" s="283" t="s">
        <v>1</v>
      </c>
      <c r="Z7" s="284" t="s">
        <v>187</v>
      </c>
      <c r="AB7" s="283" t="s">
        <v>186</v>
      </c>
      <c r="AC7" s="283" t="s">
        <v>1</v>
      </c>
      <c r="AD7" s="284" t="s">
        <v>187</v>
      </c>
      <c r="AF7" s="283" t="s">
        <v>186</v>
      </c>
      <c r="AG7" s="283" t="s">
        <v>1</v>
      </c>
      <c r="AH7" s="284" t="s">
        <v>187</v>
      </c>
      <c r="AJ7" s="283" t="s">
        <v>186</v>
      </c>
      <c r="AK7" s="283" t="s">
        <v>1</v>
      </c>
      <c r="AL7" s="284" t="s">
        <v>187</v>
      </c>
      <c r="AN7" s="283" t="s">
        <v>186</v>
      </c>
      <c r="AO7" s="283" t="s">
        <v>1</v>
      </c>
      <c r="AP7" s="284" t="s">
        <v>187</v>
      </c>
      <c r="AR7" s="283" t="s">
        <v>186</v>
      </c>
      <c r="AS7" s="283" t="s">
        <v>1</v>
      </c>
      <c r="AT7" s="284" t="s">
        <v>187</v>
      </c>
      <c r="AV7" s="283" t="s">
        <v>186</v>
      </c>
      <c r="AW7" s="283" t="s">
        <v>1</v>
      </c>
      <c r="AX7" s="284" t="s">
        <v>187</v>
      </c>
      <c r="AZ7" s="283" t="s">
        <v>186</v>
      </c>
      <c r="BA7" s="283" t="s">
        <v>1</v>
      </c>
      <c r="BB7" s="284" t="s">
        <v>187</v>
      </c>
      <c r="BD7" s="283" t="s">
        <v>186</v>
      </c>
      <c r="BE7" s="283" t="s">
        <v>1</v>
      </c>
      <c r="BF7" s="284" t="s">
        <v>187</v>
      </c>
    </row>
    <row r="8" spans="2:58" x14ac:dyDescent="0.2">
      <c r="B8" s="514" t="s">
        <v>188</v>
      </c>
      <c r="C8" s="285" t="s">
        <v>189</v>
      </c>
      <c r="D8" s="286" t="s">
        <v>190</v>
      </c>
      <c r="E8" s="286"/>
      <c r="F8" s="287">
        <v>110241.60000000001</v>
      </c>
      <c r="H8" s="286" t="s">
        <v>190</v>
      </c>
      <c r="I8" s="286"/>
      <c r="J8" s="287">
        <f>$F$8*(1+J$2)</f>
        <v>110241.60000000001</v>
      </c>
      <c r="L8" s="286" t="s">
        <v>190</v>
      </c>
      <c r="M8" s="286"/>
      <c r="N8" s="287">
        <f>$F$8*(1+N$2)</f>
        <v>110241.60000000001</v>
      </c>
      <c r="P8" s="286" t="s">
        <v>190</v>
      </c>
      <c r="Q8" s="286"/>
      <c r="R8" s="287">
        <f>$F$8*(1+R$2)</f>
        <v>137802</v>
      </c>
      <c r="T8" s="286" t="s">
        <v>190</v>
      </c>
      <c r="U8" s="286"/>
      <c r="V8" s="287">
        <f>$F$8*(1+V$2)</f>
        <v>137802</v>
      </c>
      <c r="X8" s="286" t="s">
        <v>190</v>
      </c>
      <c r="Y8" s="286"/>
      <c r="Z8" s="287">
        <f>$F$8*(1+Z$2)</f>
        <v>137802</v>
      </c>
      <c r="AB8" s="286" t="s">
        <v>190</v>
      </c>
      <c r="AC8" s="286"/>
      <c r="AD8" s="287">
        <f>$F$8*(1+AD$2)</f>
        <v>168118.44</v>
      </c>
      <c r="AF8" s="286" t="s">
        <v>190</v>
      </c>
      <c r="AG8" s="286"/>
      <c r="AH8" s="287">
        <f>$F$8*(1+AH$2)</f>
        <v>168118.44</v>
      </c>
      <c r="AJ8" s="286" t="s">
        <v>190</v>
      </c>
      <c r="AK8" s="286"/>
      <c r="AL8" s="287">
        <f>$F$8*(1+AL$2)</f>
        <v>168118.44</v>
      </c>
      <c r="AN8" s="286" t="s">
        <v>190</v>
      </c>
      <c r="AO8" s="286"/>
      <c r="AP8" s="287">
        <f>$F$8*(1+AP$2)</f>
        <v>229412.7696</v>
      </c>
      <c r="AR8" s="286" t="s">
        <v>190</v>
      </c>
      <c r="AS8" s="286"/>
      <c r="AT8" s="287">
        <f>$F$8*(1+AT$2)</f>
        <v>229412.7696</v>
      </c>
      <c r="AV8" s="286" t="s">
        <v>190</v>
      </c>
      <c r="AW8" s="286"/>
      <c r="AX8" s="287">
        <f>$F$8*(1+AX$2)</f>
        <v>229412.7696</v>
      </c>
      <c r="AZ8" s="286" t="s">
        <v>190</v>
      </c>
      <c r="BA8" s="286"/>
      <c r="BB8" s="287">
        <f>$F$8*(1+BB$2)</f>
        <v>312204.21120000002</v>
      </c>
      <c r="BD8" s="286" t="s">
        <v>190</v>
      </c>
      <c r="BE8" s="286"/>
      <c r="BF8" s="287">
        <f>$F$8*(1+BF$2)</f>
        <v>312204.21120000002</v>
      </c>
    </row>
    <row r="9" spans="2:58" x14ac:dyDescent="0.2">
      <c r="B9" s="515"/>
      <c r="C9" s="288" t="s">
        <v>191</v>
      </c>
      <c r="D9" s="289" t="s">
        <v>192</v>
      </c>
      <c r="E9" s="290">
        <v>0.05</v>
      </c>
      <c r="F9" s="291">
        <f>(F8+F10)*E9</f>
        <v>8984.6904000000013</v>
      </c>
      <c r="H9" s="289" t="s">
        <v>192</v>
      </c>
      <c r="I9" s="290">
        <v>0.05</v>
      </c>
      <c r="J9" s="291">
        <f>(J8+J10)*I9</f>
        <v>8984.6904000000013</v>
      </c>
      <c r="L9" s="289" t="s">
        <v>192</v>
      </c>
      <c r="M9" s="290">
        <v>0.05</v>
      </c>
      <c r="N9" s="291">
        <f>(N8+N10)*M9</f>
        <v>8984.6904000000013</v>
      </c>
      <c r="P9" s="289" t="s">
        <v>192</v>
      </c>
      <c r="Q9" s="290">
        <v>0.05</v>
      </c>
      <c r="R9" s="291">
        <f>(R8+R10)*Q9</f>
        <v>11230.863000000001</v>
      </c>
      <c r="T9" s="289" t="s">
        <v>192</v>
      </c>
      <c r="U9" s="290">
        <v>0.05</v>
      </c>
      <c r="V9" s="291">
        <f>(V8+V10)*U9</f>
        <v>11230.863000000001</v>
      </c>
      <c r="X9" s="289" t="s">
        <v>192</v>
      </c>
      <c r="Y9" s="290">
        <v>0.05</v>
      </c>
      <c r="Z9" s="291">
        <f>(Z8+Z10)*Y9</f>
        <v>11230.863000000001</v>
      </c>
      <c r="AB9" s="289" t="s">
        <v>192</v>
      </c>
      <c r="AC9" s="290">
        <v>0.05</v>
      </c>
      <c r="AD9" s="291">
        <f>(AD8+AD10)*AC9</f>
        <v>13701.652860000002</v>
      </c>
      <c r="AF9" s="289" t="s">
        <v>192</v>
      </c>
      <c r="AG9" s="290">
        <v>0.05</v>
      </c>
      <c r="AH9" s="291">
        <f>(AH8+AH10)*AG9</f>
        <v>13701.652860000002</v>
      </c>
      <c r="AJ9" s="289" t="s">
        <v>192</v>
      </c>
      <c r="AK9" s="290">
        <v>0.05</v>
      </c>
      <c r="AL9" s="291">
        <f>(AL8+AL10)*AK9</f>
        <v>13701.652860000002</v>
      </c>
      <c r="AN9" s="289" t="s">
        <v>192</v>
      </c>
      <c r="AO9" s="290">
        <v>0.05</v>
      </c>
      <c r="AP9" s="291">
        <f>(AP8+AP10)*AO9</f>
        <v>18697.1407224</v>
      </c>
      <c r="AR9" s="289" t="s">
        <v>192</v>
      </c>
      <c r="AS9" s="290">
        <v>0.05</v>
      </c>
      <c r="AT9" s="291">
        <f>(AT8+AT10)*AS9</f>
        <v>18697.1407224</v>
      </c>
      <c r="AV9" s="289" t="s">
        <v>192</v>
      </c>
      <c r="AW9" s="290">
        <v>0.05</v>
      </c>
      <c r="AX9" s="291">
        <f>(AX8+AX10)*AW9</f>
        <v>18697.1407224</v>
      </c>
      <c r="AZ9" s="289" t="s">
        <v>192</v>
      </c>
      <c r="BA9" s="290">
        <v>0.05</v>
      </c>
      <c r="BB9" s="291">
        <f>(BB8+BB10)*BA9</f>
        <v>25444.643212800001</v>
      </c>
      <c r="BD9" s="289" t="s">
        <v>192</v>
      </c>
      <c r="BE9" s="290">
        <v>0.05</v>
      </c>
      <c r="BF9" s="291">
        <f>(BF8+BF10)*BE9</f>
        <v>25444.643212800001</v>
      </c>
    </row>
    <row r="10" spans="2:58" x14ac:dyDescent="0.2">
      <c r="B10" s="515"/>
      <c r="C10" s="288" t="s">
        <v>193</v>
      </c>
      <c r="D10" s="291">
        <f>F8</f>
        <v>110241.60000000001</v>
      </c>
      <c r="E10" s="290">
        <v>0.63</v>
      </c>
      <c r="F10" s="291">
        <f>D10*E10</f>
        <v>69452.207999999999</v>
      </c>
      <c r="H10" s="291">
        <f>(J8)</f>
        <v>110241.60000000001</v>
      </c>
      <c r="I10" s="290">
        <f>+E10</f>
        <v>0.63</v>
      </c>
      <c r="J10" s="291">
        <f t="shared" ref="J10:J22" si="0">H10*I10</f>
        <v>69452.207999999999</v>
      </c>
      <c r="L10" s="291">
        <f>(N8)</f>
        <v>110241.60000000001</v>
      </c>
      <c r="M10" s="290">
        <f>+I10</f>
        <v>0.63</v>
      </c>
      <c r="N10" s="291">
        <f t="shared" ref="N10:N22" si="1">L10*M10</f>
        <v>69452.207999999999</v>
      </c>
      <c r="P10" s="291">
        <f>(R8)</f>
        <v>137802</v>
      </c>
      <c r="Q10" s="290">
        <f>+M10</f>
        <v>0.63</v>
      </c>
      <c r="R10" s="291">
        <f t="shared" ref="R10:R22" si="2">P10*Q10</f>
        <v>86815.26</v>
      </c>
      <c r="T10" s="291">
        <f>(V8)</f>
        <v>137802</v>
      </c>
      <c r="U10" s="290">
        <f>+Q10</f>
        <v>0.63</v>
      </c>
      <c r="V10" s="291">
        <f t="shared" ref="V10:V22" si="3">T10*U10</f>
        <v>86815.26</v>
      </c>
      <c r="X10" s="291">
        <f>(Z8)</f>
        <v>137802</v>
      </c>
      <c r="Y10" s="290">
        <f>+U10</f>
        <v>0.63</v>
      </c>
      <c r="Z10" s="291">
        <f t="shared" ref="Z10:Z22" si="4">X10*Y10</f>
        <v>86815.26</v>
      </c>
      <c r="AB10" s="291">
        <f>(AD8)</f>
        <v>168118.44</v>
      </c>
      <c r="AC10" s="290">
        <f>+Y10</f>
        <v>0.63</v>
      </c>
      <c r="AD10" s="291">
        <f t="shared" ref="AD10:AD22" si="5">AB10*AC10</f>
        <v>105914.61720000001</v>
      </c>
      <c r="AF10" s="291">
        <f>(AH8)</f>
        <v>168118.44</v>
      </c>
      <c r="AG10" s="290">
        <f>+AC10</f>
        <v>0.63</v>
      </c>
      <c r="AH10" s="291">
        <f t="shared" ref="AH10:AH22" si="6">AF10*AG10</f>
        <v>105914.61720000001</v>
      </c>
      <c r="AJ10" s="291">
        <f>(AL8)</f>
        <v>168118.44</v>
      </c>
      <c r="AK10" s="290">
        <f>+AG10</f>
        <v>0.63</v>
      </c>
      <c r="AL10" s="291">
        <f t="shared" ref="AL10:AL22" si="7">AJ10*AK10</f>
        <v>105914.61720000001</v>
      </c>
      <c r="AN10" s="291">
        <f>(AP8)</f>
        <v>229412.7696</v>
      </c>
      <c r="AO10" s="290">
        <f>+AK10</f>
        <v>0.63</v>
      </c>
      <c r="AP10" s="291">
        <f t="shared" ref="AP10:AP22" si="8">AN10*AO10</f>
        <v>144530.04484799999</v>
      </c>
      <c r="AR10" s="291">
        <f>(AT8)</f>
        <v>229412.7696</v>
      </c>
      <c r="AS10" s="290">
        <f>+AO10</f>
        <v>0.63</v>
      </c>
      <c r="AT10" s="291">
        <f t="shared" ref="AT10:AT22" si="9">AR10*AS10</f>
        <v>144530.04484799999</v>
      </c>
      <c r="AV10" s="291">
        <f>(AX8)</f>
        <v>229412.7696</v>
      </c>
      <c r="AW10" s="290">
        <f>+AS10</f>
        <v>0.63</v>
      </c>
      <c r="AX10" s="291">
        <f t="shared" ref="AX10:AX22" si="10">AV10*AW10</f>
        <v>144530.04484799999</v>
      </c>
      <c r="AZ10" s="291">
        <f>(BB8)</f>
        <v>312204.21120000002</v>
      </c>
      <c r="BA10" s="290">
        <f>+AW10</f>
        <v>0.63</v>
      </c>
      <c r="BB10" s="291">
        <f t="shared" ref="BB10:BB22" si="11">AZ10*BA10</f>
        <v>196688.65305600001</v>
      </c>
      <c r="BD10" s="291">
        <f>(BF8)</f>
        <v>312204.21120000002</v>
      </c>
      <c r="BE10" s="290">
        <f>+BA10</f>
        <v>0.63</v>
      </c>
      <c r="BF10" s="291">
        <f t="shared" ref="BF10:BF22" si="12">BD10*BE10</f>
        <v>196688.65305600001</v>
      </c>
    </row>
    <row r="11" spans="2:58" x14ac:dyDescent="0.2">
      <c r="B11" s="515"/>
      <c r="C11" s="288" t="s">
        <v>194</v>
      </c>
      <c r="D11" s="291">
        <f>F27/180*(68/60-1)</f>
        <v>195.3043413333333</v>
      </c>
      <c r="E11" s="289">
        <v>0</v>
      </c>
      <c r="F11" s="291">
        <f t="shared" ref="F11:F24" si="13">D11*E11</f>
        <v>0</v>
      </c>
      <c r="H11" s="291">
        <f>J27/180*(68/60-1)</f>
        <v>195.3043413333333</v>
      </c>
      <c r="I11" s="289">
        <v>0</v>
      </c>
      <c r="J11" s="291">
        <f t="shared" si="0"/>
        <v>0</v>
      </c>
      <c r="L11" s="291">
        <f>N27/180*(68/60-1)</f>
        <v>195.3043413333333</v>
      </c>
      <c r="M11" s="289">
        <v>0</v>
      </c>
      <c r="N11" s="291">
        <f t="shared" si="1"/>
        <v>0</v>
      </c>
      <c r="P11" s="291">
        <f>R27/180*(68/60-1)</f>
        <v>244.13042666666661</v>
      </c>
      <c r="Q11" s="289">
        <v>0</v>
      </c>
      <c r="R11" s="291">
        <f t="shared" si="2"/>
        <v>0</v>
      </c>
      <c r="T11" s="291">
        <f>V27/180*(68/60-1)</f>
        <v>244.13042666666661</v>
      </c>
      <c r="U11" s="289">
        <v>0</v>
      </c>
      <c r="V11" s="291">
        <f t="shared" si="3"/>
        <v>0</v>
      </c>
      <c r="X11" s="291">
        <f>Z27/180*(68/60-1)</f>
        <v>244.13042666666661</v>
      </c>
      <c r="Y11" s="289">
        <v>0</v>
      </c>
      <c r="Z11" s="291">
        <f t="shared" si="4"/>
        <v>0</v>
      </c>
      <c r="AB11" s="291">
        <f>AD27/180*(68/60-1)</f>
        <v>297.83912053333336</v>
      </c>
      <c r="AC11" s="289">
        <v>0</v>
      </c>
      <c r="AD11" s="291">
        <f t="shared" si="5"/>
        <v>0</v>
      </c>
      <c r="AF11" s="291">
        <f>AH27/180*(68/60-1)</f>
        <v>297.83912053333336</v>
      </c>
      <c r="AG11" s="289">
        <v>0</v>
      </c>
      <c r="AH11" s="291">
        <f t="shared" si="6"/>
        <v>0</v>
      </c>
      <c r="AJ11" s="291">
        <f>AL27/180*(68/60-1)</f>
        <v>297.83912053333336</v>
      </c>
      <c r="AK11" s="289">
        <v>0</v>
      </c>
      <c r="AL11" s="291">
        <f t="shared" si="7"/>
        <v>0</v>
      </c>
      <c r="AN11" s="291">
        <f>AP27/180*(68/60-1)</f>
        <v>406.42833431466653</v>
      </c>
      <c r="AO11" s="289">
        <v>0</v>
      </c>
      <c r="AP11" s="291">
        <f t="shared" si="8"/>
        <v>0</v>
      </c>
      <c r="AR11" s="291">
        <f>AT27/180*(68/60-1)</f>
        <v>406.42833431466653</v>
      </c>
      <c r="AS11" s="289">
        <v>0</v>
      </c>
      <c r="AT11" s="291">
        <f t="shared" si="9"/>
        <v>0</v>
      </c>
      <c r="AV11" s="291">
        <f>AX27/180*(68/60-1)</f>
        <v>406.42833431466653</v>
      </c>
      <c r="AW11" s="289">
        <v>0</v>
      </c>
      <c r="AX11" s="291">
        <f t="shared" si="10"/>
        <v>0</v>
      </c>
      <c r="AZ11" s="291">
        <f>BB27/180*(68/60-1)</f>
        <v>553.1018946559999</v>
      </c>
      <c r="BA11" s="289">
        <v>0</v>
      </c>
      <c r="BB11" s="291">
        <f t="shared" si="11"/>
        <v>0</v>
      </c>
      <c r="BD11" s="291">
        <f>BF27/180*(68/60-1)</f>
        <v>553.1018946559999</v>
      </c>
      <c r="BE11" s="289">
        <v>0</v>
      </c>
      <c r="BF11" s="291">
        <f t="shared" si="12"/>
        <v>0</v>
      </c>
    </row>
    <row r="12" spans="2:58" x14ac:dyDescent="0.2">
      <c r="B12" s="515"/>
      <c r="C12" s="288" t="s">
        <v>195</v>
      </c>
      <c r="D12" s="291">
        <v>948.17160000000001</v>
      </c>
      <c r="E12" s="292">
        <v>0</v>
      </c>
      <c r="F12" s="291">
        <f t="shared" si="13"/>
        <v>0</v>
      </c>
      <c r="H12" s="291">
        <f>$D$12*(1+J$2)</f>
        <v>948.17160000000001</v>
      </c>
      <c r="I12" s="292">
        <v>0</v>
      </c>
      <c r="J12" s="291">
        <f t="shared" si="0"/>
        <v>0</v>
      </c>
      <c r="L12" s="291">
        <f>$D$12*(1+N$2)</f>
        <v>948.17160000000001</v>
      </c>
      <c r="M12" s="292">
        <v>0</v>
      </c>
      <c r="N12" s="291">
        <f t="shared" si="1"/>
        <v>0</v>
      </c>
      <c r="P12" s="291">
        <f>$D$12*(1+R$2)</f>
        <v>1185.2145</v>
      </c>
      <c r="Q12" s="292">
        <v>0</v>
      </c>
      <c r="R12" s="291">
        <f t="shared" si="2"/>
        <v>0</v>
      </c>
      <c r="T12" s="291">
        <f>$D$12*(1+V$2)</f>
        <v>1185.2145</v>
      </c>
      <c r="U12" s="292">
        <v>0</v>
      </c>
      <c r="V12" s="291">
        <f t="shared" si="3"/>
        <v>0</v>
      </c>
      <c r="X12" s="291">
        <f>$D$12*(1+Z$2)</f>
        <v>1185.2145</v>
      </c>
      <c r="Y12" s="292">
        <v>0</v>
      </c>
      <c r="Z12" s="291">
        <f t="shared" si="4"/>
        <v>0</v>
      </c>
      <c r="AB12" s="291">
        <f>$D$12*(1+AD$2)</f>
        <v>1445.9616899999999</v>
      </c>
      <c r="AC12" s="292">
        <v>0</v>
      </c>
      <c r="AD12" s="291">
        <f t="shared" si="5"/>
        <v>0</v>
      </c>
      <c r="AF12" s="291">
        <f>$D$12*(1+AH$2)</f>
        <v>1445.9616899999999</v>
      </c>
      <c r="AG12" s="292">
        <v>0</v>
      </c>
      <c r="AH12" s="291">
        <f t="shared" si="6"/>
        <v>0</v>
      </c>
      <c r="AJ12" s="291">
        <f>$D$12*(1+AL$2)</f>
        <v>1445.9616899999999</v>
      </c>
      <c r="AK12" s="292">
        <v>0</v>
      </c>
      <c r="AL12" s="291">
        <f t="shared" si="7"/>
        <v>0</v>
      </c>
      <c r="AN12" s="291">
        <f>$D$12*(1+AP$2)</f>
        <v>1973.1450996000001</v>
      </c>
      <c r="AO12" s="292">
        <v>0</v>
      </c>
      <c r="AP12" s="291">
        <f t="shared" si="8"/>
        <v>0</v>
      </c>
      <c r="AR12" s="291">
        <f>$D$12*(1+AT$2)</f>
        <v>1973.1450996000001</v>
      </c>
      <c r="AS12" s="292">
        <v>0</v>
      </c>
      <c r="AT12" s="291">
        <f t="shared" si="9"/>
        <v>0</v>
      </c>
      <c r="AV12" s="291">
        <f>$D$12*(1+AX$2)</f>
        <v>1973.1450996000001</v>
      </c>
      <c r="AW12" s="292">
        <v>0</v>
      </c>
      <c r="AX12" s="291">
        <f t="shared" si="10"/>
        <v>0</v>
      </c>
      <c r="AZ12" s="291">
        <f>$D$12*(1+BB$2)</f>
        <v>2685.2219712000001</v>
      </c>
      <c r="BA12" s="292">
        <v>0</v>
      </c>
      <c r="BB12" s="291">
        <f t="shared" si="11"/>
        <v>0</v>
      </c>
      <c r="BD12" s="291">
        <f>$D$12*(1+BF$2)</f>
        <v>2685.2219712000001</v>
      </c>
      <c r="BE12" s="292">
        <v>0</v>
      </c>
      <c r="BF12" s="291">
        <f t="shared" si="12"/>
        <v>0</v>
      </c>
    </row>
    <row r="13" spans="2:58" x14ac:dyDescent="0.2">
      <c r="B13" s="515"/>
      <c r="C13" s="288" t="s">
        <v>196</v>
      </c>
      <c r="D13" s="291">
        <f>D12*1.35</f>
        <v>1280.0316600000001</v>
      </c>
      <c r="E13" s="292">
        <v>0</v>
      </c>
      <c r="F13" s="291">
        <f t="shared" si="13"/>
        <v>0</v>
      </c>
      <c r="H13" s="291">
        <f>H12*1.35</f>
        <v>1280.0316600000001</v>
      </c>
      <c r="I13" s="292">
        <v>0</v>
      </c>
      <c r="J13" s="291">
        <f t="shared" si="0"/>
        <v>0</v>
      </c>
      <c r="L13" s="291">
        <f>L12*1.35</f>
        <v>1280.0316600000001</v>
      </c>
      <c r="M13" s="292">
        <v>0</v>
      </c>
      <c r="N13" s="291">
        <f t="shared" si="1"/>
        <v>0</v>
      </c>
      <c r="P13" s="291">
        <f>P12*1.35</f>
        <v>1600.0395750000002</v>
      </c>
      <c r="Q13" s="292">
        <v>0</v>
      </c>
      <c r="R13" s="291">
        <f t="shared" si="2"/>
        <v>0</v>
      </c>
      <c r="T13" s="291">
        <f>T12*1.35</f>
        <v>1600.0395750000002</v>
      </c>
      <c r="U13" s="292">
        <v>0</v>
      </c>
      <c r="V13" s="291">
        <f t="shared" si="3"/>
        <v>0</v>
      </c>
      <c r="X13" s="291">
        <f>X12*1.35</f>
        <v>1600.0395750000002</v>
      </c>
      <c r="Y13" s="292">
        <v>0</v>
      </c>
      <c r="Z13" s="291">
        <f t="shared" si="4"/>
        <v>0</v>
      </c>
      <c r="AB13" s="291">
        <f>AB12*1.35</f>
        <v>1952.0482815</v>
      </c>
      <c r="AC13" s="292">
        <v>0</v>
      </c>
      <c r="AD13" s="291">
        <f t="shared" si="5"/>
        <v>0</v>
      </c>
      <c r="AF13" s="291">
        <f>AF12*1.35</f>
        <v>1952.0482815</v>
      </c>
      <c r="AG13" s="292">
        <v>0</v>
      </c>
      <c r="AH13" s="291">
        <f t="shared" si="6"/>
        <v>0</v>
      </c>
      <c r="AJ13" s="291">
        <f>AJ12*1.35</f>
        <v>1952.0482815</v>
      </c>
      <c r="AK13" s="292">
        <v>0</v>
      </c>
      <c r="AL13" s="291">
        <f t="shared" si="7"/>
        <v>0</v>
      </c>
      <c r="AN13" s="291">
        <f>AN12*1.35</f>
        <v>2663.7458844600005</v>
      </c>
      <c r="AO13" s="292">
        <v>0</v>
      </c>
      <c r="AP13" s="291">
        <f t="shared" si="8"/>
        <v>0</v>
      </c>
      <c r="AR13" s="291">
        <f>AR12*1.35</f>
        <v>2663.7458844600005</v>
      </c>
      <c r="AS13" s="292">
        <v>0</v>
      </c>
      <c r="AT13" s="291">
        <f t="shared" si="9"/>
        <v>0</v>
      </c>
      <c r="AV13" s="291">
        <f>AV12*1.35</f>
        <v>2663.7458844600005</v>
      </c>
      <c r="AW13" s="292">
        <v>0</v>
      </c>
      <c r="AX13" s="291">
        <f t="shared" si="10"/>
        <v>0</v>
      </c>
      <c r="AZ13" s="291">
        <f>AZ12*1.35</f>
        <v>3625.0496611200006</v>
      </c>
      <c r="BA13" s="292">
        <v>0</v>
      </c>
      <c r="BB13" s="291">
        <f t="shared" si="11"/>
        <v>0</v>
      </c>
      <c r="BD13" s="291">
        <f>BD12*1.35</f>
        <v>3625.0496611200006</v>
      </c>
      <c r="BE13" s="292">
        <v>0</v>
      </c>
      <c r="BF13" s="291">
        <f t="shared" si="12"/>
        <v>0</v>
      </c>
    </row>
    <row r="14" spans="2:58" x14ac:dyDescent="0.2">
      <c r="B14" s="515"/>
      <c r="C14" s="288" t="s">
        <v>197</v>
      </c>
      <c r="D14" s="291">
        <v>948.17160000000001</v>
      </c>
      <c r="E14" s="293">
        <v>14</v>
      </c>
      <c r="F14" s="291">
        <f t="shared" si="13"/>
        <v>13274.402400000001</v>
      </c>
      <c r="H14" s="291">
        <f>$D$14*(1+J$2)</f>
        <v>948.17160000000001</v>
      </c>
      <c r="I14" s="293">
        <v>14</v>
      </c>
      <c r="J14" s="291">
        <f t="shared" si="0"/>
        <v>13274.402400000001</v>
      </c>
      <c r="L14" s="291">
        <f>$D$14*(1+N$2)</f>
        <v>948.17160000000001</v>
      </c>
      <c r="M14" s="293">
        <v>14</v>
      </c>
      <c r="N14" s="291">
        <f t="shared" si="1"/>
        <v>13274.402400000001</v>
      </c>
      <c r="P14" s="291">
        <f>$D$14*(1+R$2)</f>
        <v>1185.2145</v>
      </c>
      <c r="Q14" s="293">
        <v>14</v>
      </c>
      <c r="R14" s="291">
        <f t="shared" si="2"/>
        <v>16593.003000000001</v>
      </c>
      <c r="T14" s="291">
        <f>$D$14*(1+V$2)</f>
        <v>1185.2145</v>
      </c>
      <c r="U14" s="293">
        <v>14</v>
      </c>
      <c r="V14" s="291">
        <f t="shared" si="3"/>
        <v>16593.003000000001</v>
      </c>
      <c r="X14" s="291">
        <f>$D$14*(1+Z$2)</f>
        <v>1185.2145</v>
      </c>
      <c r="Y14" s="293">
        <v>14</v>
      </c>
      <c r="Z14" s="291">
        <f t="shared" si="4"/>
        <v>16593.003000000001</v>
      </c>
      <c r="AB14" s="291">
        <f>$D$14*(1+AD$2)</f>
        <v>1445.9616899999999</v>
      </c>
      <c r="AC14" s="293">
        <v>14</v>
      </c>
      <c r="AD14" s="291">
        <f t="shared" si="5"/>
        <v>20243.463659999998</v>
      </c>
      <c r="AF14" s="291">
        <f>$D$14*(1+AH$2)</f>
        <v>1445.9616899999999</v>
      </c>
      <c r="AG14" s="293">
        <v>14</v>
      </c>
      <c r="AH14" s="291">
        <f t="shared" si="6"/>
        <v>20243.463659999998</v>
      </c>
      <c r="AJ14" s="291">
        <f>$D$14*(1+AL$2)</f>
        <v>1445.9616899999999</v>
      </c>
      <c r="AK14" s="293">
        <v>14</v>
      </c>
      <c r="AL14" s="291">
        <f t="shared" si="7"/>
        <v>20243.463659999998</v>
      </c>
      <c r="AN14" s="291">
        <f>$D$14*(1+AP$2)</f>
        <v>1973.1450996000001</v>
      </c>
      <c r="AO14" s="293">
        <v>14</v>
      </c>
      <c r="AP14" s="291">
        <f t="shared" si="8"/>
        <v>27624.031394400001</v>
      </c>
      <c r="AR14" s="291">
        <f>$D$14*(1+AT$2)</f>
        <v>1973.1450996000001</v>
      </c>
      <c r="AS14" s="293">
        <v>14</v>
      </c>
      <c r="AT14" s="291">
        <f t="shared" si="9"/>
        <v>27624.031394400001</v>
      </c>
      <c r="AV14" s="291">
        <f>$D$14*(1+AX$2)</f>
        <v>1973.1450996000001</v>
      </c>
      <c r="AW14" s="293">
        <v>14</v>
      </c>
      <c r="AX14" s="291">
        <f t="shared" si="10"/>
        <v>27624.031394400001</v>
      </c>
      <c r="AZ14" s="291">
        <f>$D$14*(1+BB$2)</f>
        <v>2685.2219712000001</v>
      </c>
      <c r="BA14" s="293">
        <v>14</v>
      </c>
      <c r="BB14" s="291">
        <f t="shared" si="11"/>
        <v>37593.1075968</v>
      </c>
      <c r="BD14" s="291">
        <f>$D$14*(1+BF$2)</f>
        <v>2685.2219712000001</v>
      </c>
      <c r="BE14" s="293">
        <v>14</v>
      </c>
      <c r="BF14" s="291">
        <f t="shared" si="12"/>
        <v>37593.1075968</v>
      </c>
    </row>
    <row r="15" spans="2:58" x14ac:dyDescent="0.2">
      <c r="B15" s="515"/>
      <c r="C15" s="288" t="s">
        <v>198</v>
      </c>
      <c r="D15" s="291">
        <v>39551.520000000004</v>
      </c>
      <c r="E15" s="293">
        <v>1</v>
      </c>
      <c r="F15" s="291">
        <f t="shared" si="13"/>
        <v>39551.520000000004</v>
      </c>
      <c r="H15" s="291">
        <f>$D$15*(1+J$2)</f>
        <v>39551.520000000004</v>
      </c>
      <c r="I15" s="293">
        <v>1</v>
      </c>
      <c r="J15" s="291">
        <f t="shared" si="0"/>
        <v>39551.520000000004</v>
      </c>
      <c r="L15" s="291">
        <f>$D$15*(1+N$2)</f>
        <v>39551.520000000004</v>
      </c>
      <c r="M15" s="293">
        <v>1</v>
      </c>
      <c r="N15" s="291">
        <f t="shared" si="1"/>
        <v>39551.520000000004</v>
      </c>
      <c r="P15" s="291">
        <f>$D$15*(1+R$2)</f>
        <v>49439.400000000009</v>
      </c>
      <c r="Q15" s="293">
        <v>1</v>
      </c>
      <c r="R15" s="291">
        <f t="shared" si="2"/>
        <v>49439.400000000009</v>
      </c>
      <c r="T15" s="291">
        <f>$D$15*(1+V$2)</f>
        <v>49439.400000000009</v>
      </c>
      <c r="U15" s="293">
        <v>1</v>
      </c>
      <c r="V15" s="291">
        <f t="shared" si="3"/>
        <v>49439.400000000009</v>
      </c>
      <c r="X15" s="291">
        <f>$D$15*(1+Z$2)</f>
        <v>49439.400000000009</v>
      </c>
      <c r="Y15" s="293">
        <v>1</v>
      </c>
      <c r="Z15" s="291">
        <f t="shared" si="4"/>
        <v>49439.400000000009</v>
      </c>
      <c r="AB15" s="291">
        <f>$D$15*(1+AD$2)</f>
        <v>60316.067999999999</v>
      </c>
      <c r="AC15" s="293">
        <v>1</v>
      </c>
      <c r="AD15" s="291">
        <f t="shared" si="5"/>
        <v>60316.067999999999</v>
      </c>
      <c r="AF15" s="291">
        <f>$D$15*(1+AH$2)</f>
        <v>60316.067999999999</v>
      </c>
      <c r="AG15" s="293">
        <v>1</v>
      </c>
      <c r="AH15" s="291">
        <f t="shared" si="6"/>
        <v>60316.067999999999</v>
      </c>
      <c r="AJ15" s="291">
        <f>$D$15*(1+AL$2)</f>
        <v>60316.067999999999</v>
      </c>
      <c r="AK15" s="293">
        <v>1</v>
      </c>
      <c r="AL15" s="291">
        <f t="shared" si="7"/>
        <v>60316.067999999999</v>
      </c>
      <c r="AN15" s="291">
        <f>$D$15*(1+AP$2)</f>
        <v>82306.71312</v>
      </c>
      <c r="AO15" s="293">
        <v>1</v>
      </c>
      <c r="AP15" s="291">
        <f t="shared" si="8"/>
        <v>82306.71312</v>
      </c>
      <c r="AR15" s="291">
        <f>$D$15*(1+AT$2)</f>
        <v>82306.71312</v>
      </c>
      <c r="AS15" s="293">
        <v>1</v>
      </c>
      <c r="AT15" s="291">
        <f t="shared" si="9"/>
        <v>82306.71312</v>
      </c>
      <c r="AV15" s="291">
        <f>$D$15*(1+AX$2)</f>
        <v>82306.71312</v>
      </c>
      <c r="AW15" s="293">
        <v>1</v>
      </c>
      <c r="AX15" s="291">
        <f t="shared" si="10"/>
        <v>82306.71312</v>
      </c>
      <c r="AZ15" s="291">
        <f>$D$15*(1+BB$2)</f>
        <v>112009.90464000001</v>
      </c>
      <c r="BA15" s="293">
        <v>1</v>
      </c>
      <c r="BB15" s="291">
        <f t="shared" si="11"/>
        <v>112009.90464000001</v>
      </c>
      <c r="BD15" s="291">
        <f>$D$15*(1+BF$2)</f>
        <v>112009.90464000001</v>
      </c>
      <c r="BE15" s="293">
        <v>1</v>
      </c>
      <c r="BF15" s="291">
        <f t="shared" si="12"/>
        <v>112009.90464000001</v>
      </c>
    </row>
    <row r="16" spans="2:58" x14ac:dyDescent="0.2">
      <c r="B16" s="515"/>
      <c r="C16" s="288" t="s">
        <v>199</v>
      </c>
      <c r="D16" s="291">
        <v>22156.44</v>
      </c>
      <c r="E16" s="293">
        <v>1</v>
      </c>
      <c r="F16" s="291">
        <f t="shared" si="13"/>
        <v>22156.44</v>
      </c>
      <c r="H16" s="291">
        <f>$D$16*(1+J$2)</f>
        <v>22156.44</v>
      </c>
      <c r="I16" s="293">
        <v>1</v>
      </c>
      <c r="J16" s="291">
        <f t="shared" si="0"/>
        <v>22156.44</v>
      </c>
      <c r="L16" s="291">
        <f>$D$16*(1+N$2)</f>
        <v>22156.44</v>
      </c>
      <c r="M16" s="293">
        <v>1</v>
      </c>
      <c r="N16" s="291">
        <f t="shared" si="1"/>
        <v>22156.44</v>
      </c>
      <c r="P16" s="291">
        <f>$D$16*(1+R$2)</f>
        <v>27695.55</v>
      </c>
      <c r="Q16" s="293">
        <v>1</v>
      </c>
      <c r="R16" s="291">
        <f t="shared" si="2"/>
        <v>27695.55</v>
      </c>
      <c r="T16" s="291">
        <f>$D$16*(1+V$2)</f>
        <v>27695.55</v>
      </c>
      <c r="U16" s="293">
        <v>1</v>
      </c>
      <c r="V16" s="291">
        <f t="shared" si="3"/>
        <v>27695.55</v>
      </c>
      <c r="X16" s="291">
        <f>$D$16*(1+Z$2)</f>
        <v>27695.55</v>
      </c>
      <c r="Y16" s="293">
        <v>1</v>
      </c>
      <c r="Z16" s="291">
        <f t="shared" si="4"/>
        <v>27695.55</v>
      </c>
      <c r="AB16" s="291">
        <f>$D$16*(1+AD$2)</f>
        <v>33788.570999999996</v>
      </c>
      <c r="AC16" s="293">
        <v>1</v>
      </c>
      <c r="AD16" s="291">
        <f t="shared" si="5"/>
        <v>33788.570999999996</v>
      </c>
      <c r="AF16" s="291">
        <f>$D$16*(1+AH$2)</f>
        <v>33788.570999999996</v>
      </c>
      <c r="AG16" s="293">
        <v>1</v>
      </c>
      <c r="AH16" s="291">
        <f t="shared" si="6"/>
        <v>33788.570999999996</v>
      </c>
      <c r="AJ16" s="291">
        <f>$D$16*(1+AL$2)</f>
        <v>33788.570999999996</v>
      </c>
      <c r="AK16" s="293">
        <v>1</v>
      </c>
      <c r="AL16" s="291">
        <f t="shared" si="7"/>
        <v>33788.570999999996</v>
      </c>
      <c r="AN16" s="291">
        <f>$D$16*(1+AP$2)</f>
        <v>46107.551639999998</v>
      </c>
      <c r="AO16" s="293">
        <v>1</v>
      </c>
      <c r="AP16" s="291">
        <f t="shared" si="8"/>
        <v>46107.551639999998</v>
      </c>
      <c r="AR16" s="291">
        <f>$D$16*(1+AT$2)</f>
        <v>46107.551639999998</v>
      </c>
      <c r="AS16" s="293">
        <v>1</v>
      </c>
      <c r="AT16" s="291">
        <f t="shared" si="9"/>
        <v>46107.551639999998</v>
      </c>
      <c r="AV16" s="291">
        <f>$D$16*(1+AX$2)</f>
        <v>46107.551639999998</v>
      </c>
      <c r="AW16" s="293">
        <v>1</v>
      </c>
      <c r="AX16" s="291">
        <f t="shared" si="10"/>
        <v>46107.551639999998</v>
      </c>
      <c r="AZ16" s="291">
        <f>$D$16*(1+BB$2)</f>
        <v>62747.038079999991</v>
      </c>
      <c r="BA16" s="293">
        <v>1</v>
      </c>
      <c r="BB16" s="291">
        <f t="shared" si="11"/>
        <v>62747.038079999991</v>
      </c>
      <c r="BD16" s="291">
        <f>$D$16*(1+BF$2)</f>
        <v>62747.038079999991</v>
      </c>
      <c r="BE16" s="293">
        <v>1</v>
      </c>
      <c r="BF16" s="291">
        <f t="shared" si="12"/>
        <v>62747.038079999991</v>
      </c>
    </row>
    <row r="17" spans="2:58" x14ac:dyDescent="0.2">
      <c r="B17" s="515"/>
      <c r="C17" s="288" t="s">
        <v>200</v>
      </c>
      <c r="D17" s="291">
        <v>22157.490600000001</v>
      </c>
      <c r="E17" s="293"/>
      <c r="F17" s="291">
        <f t="shared" si="13"/>
        <v>0</v>
      </c>
      <c r="H17" s="291">
        <f>$D$17*(1+J$2)</f>
        <v>22157.490600000001</v>
      </c>
      <c r="I17" s="293"/>
      <c r="J17" s="291">
        <f t="shared" si="0"/>
        <v>0</v>
      </c>
      <c r="L17" s="291">
        <f>$D$17*(1+N$2)</f>
        <v>22157.490600000001</v>
      </c>
      <c r="M17" s="293"/>
      <c r="N17" s="291">
        <f t="shared" si="1"/>
        <v>0</v>
      </c>
      <c r="P17" s="291">
        <f>$D$17*(1+R$2)</f>
        <v>27696.863250000002</v>
      </c>
      <c r="Q17" s="293"/>
      <c r="R17" s="291">
        <f t="shared" si="2"/>
        <v>0</v>
      </c>
      <c r="T17" s="291">
        <f>$D$17*(1+V$2)</f>
        <v>27696.863250000002</v>
      </c>
      <c r="U17" s="293"/>
      <c r="V17" s="291">
        <f t="shared" si="3"/>
        <v>0</v>
      </c>
      <c r="X17" s="291">
        <f>$D$17*(1+Z$2)</f>
        <v>27696.863250000002</v>
      </c>
      <c r="Y17" s="293"/>
      <c r="Z17" s="291">
        <f t="shared" si="4"/>
        <v>0</v>
      </c>
      <c r="AB17" s="291">
        <f>$D$17*(1+AD$2)</f>
        <v>33790.173165</v>
      </c>
      <c r="AC17" s="293"/>
      <c r="AD17" s="291">
        <f t="shared" si="5"/>
        <v>0</v>
      </c>
      <c r="AF17" s="291">
        <f>$D$17*(1+AH$2)</f>
        <v>33790.173165</v>
      </c>
      <c r="AG17" s="293"/>
      <c r="AH17" s="291">
        <f t="shared" si="6"/>
        <v>0</v>
      </c>
      <c r="AJ17" s="291">
        <f>$D$17*(1+AL$2)</f>
        <v>33790.173165</v>
      </c>
      <c r="AK17" s="293"/>
      <c r="AL17" s="291">
        <f t="shared" si="7"/>
        <v>0</v>
      </c>
      <c r="AN17" s="291">
        <f>$D$17*(1+AP$2)</f>
        <v>46109.737938600003</v>
      </c>
      <c r="AO17" s="293"/>
      <c r="AP17" s="291">
        <f t="shared" si="8"/>
        <v>0</v>
      </c>
      <c r="AR17" s="291">
        <f>$D$17*(1+AT$2)</f>
        <v>46109.737938600003</v>
      </c>
      <c r="AS17" s="293"/>
      <c r="AT17" s="291">
        <f t="shared" si="9"/>
        <v>0</v>
      </c>
      <c r="AV17" s="291">
        <f>$D$17*(1+AX$2)</f>
        <v>46109.737938600003</v>
      </c>
      <c r="AW17" s="293"/>
      <c r="AX17" s="291">
        <f t="shared" si="10"/>
        <v>0</v>
      </c>
      <c r="AZ17" s="291">
        <f>$D$17*(1+BB$2)</f>
        <v>62750.013379199998</v>
      </c>
      <c r="BA17" s="293"/>
      <c r="BB17" s="291">
        <f t="shared" si="11"/>
        <v>0</v>
      </c>
      <c r="BD17" s="291">
        <f>$D$17*(1+BF$2)</f>
        <v>62750.013379199998</v>
      </c>
      <c r="BE17" s="293"/>
      <c r="BF17" s="291">
        <f t="shared" si="12"/>
        <v>0</v>
      </c>
    </row>
    <row r="18" spans="2:58" x14ac:dyDescent="0.2">
      <c r="B18" s="515"/>
      <c r="C18" s="288" t="s">
        <v>201</v>
      </c>
      <c r="D18" s="294">
        <v>121452.38593199999</v>
      </c>
      <c r="E18" s="295">
        <f>1/12</f>
        <v>8.3333333333333329E-2</v>
      </c>
      <c r="F18" s="291">
        <f t="shared" si="13"/>
        <v>10121.032160999999</v>
      </c>
      <c r="H18" s="291">
        <f>$D$18*(1+J$2)</f>
        <v>121452.38593199999</v>
      </c>
      <c r="I18" s="295">
        <f>1/12</f>
        <v>8.3333333333333329E-2</v>
      </c>
      <c r="J18" s="291">
        <f t="shared" si="0"/>
        <v>10121.032160999999</v>
      </c>
      <c r="L18" s="291">
        <f>$D$18*(1+N$2)</f>
        <v>121452.38593199999</v>
      </c>
      <c r="M18" s="295">
        <f>1/12</f>
        <v>8.3333333333333329E-2</v>
      </c>
      <c r="N18" s="291">
        <f t="shared" si="1"/>
        <v>10121.032160999999</v>
      </c>
      <c r="P18" s="291">
        <f>$D$18*(1+R$2)</f>
        <v>151815.48241499998</v>
      </c>
      <c r="Q18" s="295">
        <f>1/12</f>
        <v>8.3333333333333329E-2</v>
      </c>
      <c r="R18" s="291">
        <f t="shared" si="2"/>
        <v>12651.290201249998</v>
      </c>
      <c r="T18" s="291">
        <f>$D$18*(1+V$2)</f>
        <v>151815.48241499998</v>
      </c>
      <c r="U18" s="295">
        <f>1/12</f>
        <v>8.3333333333333329E-2</v>
      </c>
      <c r="V18" s="291">
        <f t="shared" si="3"/>
        <v>12651.290201249998</v>
      </c>
      <c r="X18" s="291">
        <f>$D$18*(1+Z$2)</f>
        <v>151815.48241499998</v>
      </c>
      <c r="Y18" s="295">
        <f>1/12</f>
        <v>8.3333333333333329E-2</v>
      </c>
      <c r="Z18" s="291">
        <f t="shared" si="4"/>
        <v>12651.290201249998</v>
      </c>
      <c r="AB18" s="291">
        <f>$D$18*(1+AD$2)</f>
        <v>185214.88854629998</v>
      </c>
      <c r="AC18" s="295">
        <f>1/12</f>
        <v>8.3333333333333329E-2</v>
      </c>
      <c r="AD18" s="291">
        <f t="shared" si="5"/>
        <v>15434.574045524998</v>
      </c>
      <c r="AF18" s="291">
        <f>$D$18*(1+AH$2)</f>
        <v>185214.88854629998</v>
      </c>
      <c r="AG18" s="295">
        <f>1/12</f>
        <v>8.3333333333333329E-2</v>
      </c>
      <c r="AH18" s="291">
        <f t="shared" si="6"/>
        <v>15434.574045524998</v>
      </c>
      <c r="AJ18" s="291">
        <f>$D$18*(1+AL$2)</f>
        <v>185214.88854629998</v>
      </c>
      <c r="AK18" s="295">
        <f>1/12</f>
        <v>8.3333333333333329E-2</v>
      </c>
      <c r="AL18" s="291">
        <f t="shared" si="7"/>
        <v>15434.574045524998</v>
      </c>
      <c r="AN18" s="291">
        <f>$D$18*(1+AP$2)</f>
        <v>252742.41512449196</v>
      </c>
      <c r="AO18" s="295">
        <f>1/12</f>
        <v>8.3333333333333329E-2</v>
      </c>
      <c r="AP18" s="291">
        <f t="shared" si="8"/>
        <v>21061.867927040996</v>
      </c>
      <c r="AR18" s="291">
        <f>$D$18*(1+AT$2)</f>
        <v>252742.41512449196</v>
      </c>
      <c r="AS18" s="295">
        <f>1/12</f>
        <v>8.3333333333333329E-2</v>
      </c>
      <c r="AT18" s="291">
        <f t="shared" si="9"/>
        <v>21061.867927040996</v>
      </c>
      <c r="AV18" s="291">
        <f>$D$18*(1+AX$2)</f>
        <v>252742.41512449196</v>
      </c>
      <c r="AW18" s="295">
        <f>1/12</f>
        <v>8.3333333333333329E-2</v>
      </c>
      <c r="AX18" s="291">
        <f t="shared" si="10"/>
        <v>21061.867927040996</v>
      </c>
      <c r="AZ18" s="291">
        <f>$D$18*(1+BB$2)</f>
        <v>343953.15695942397</v>
      </c>
      <c r="BA18" s="295">
        <f>1/12</f>
        <v>8.3333333333333329E-2</v>
      </c>
      <c r="BB18" s="291">
        <f t="shared" si="11"/>
        <v>28662.763079951997</v>
      </c>
      <c r="BD18" s="291">
        <f>$D$18*(1+BF$2)</f>
        <v>343953.15695942397</v>
      </c>
      <c r="BE18" s="295">
        <f>1/12</f>
        <v>8.3333333333333329E-2</v>
      </c>
      <c r="BF18" s="291">
        <f t="shared" si="12"/>
        <v>28662.763079951997</v>
      </c>
    </row>
    <row r="19" spans="2:58" x14ac:dyDescent="0.2">
      <c r="B19" s="515"/>
      <c r="C19" s="288" t="s">
        <v>202</v>
      </c>
      <c r="D19" s="291">
        <v>3457.3577280000004</v>
      </c>
      <c r="E19" s="289">
        <v>10</v>
      </c>
      <c r="F19" s="291">
        <f t="shared" si="13"/>
        <v>34573.577280000005</v>
      </c>
      <c r="H19" s="291">
        <f>$D$19*(1+J$2)</f>
        <v>3457.3577280000004</v>
      </c>
      <c r="I19" s="289">
        <v>10</v>
      </c>
      <c r="J19" s="291">
        <f t="shared" si="0"/>
        <v>34573.577280000005</v>
      </c>
      <c r="L19" s="291">
        <f>$D$19*(1+N$2)</f>
        <v>3457.3577280000004</v>
      </c>
      <c r="M19" s="289">
        <v>10</v>
      </c>
      <c r="N19" s="291">
        <f t="shared" si="1"/>
        <v>34573.577280000005</v>
      </c>
      <c r="P19" s="291">
        <f>$D$19*(1+R$2)</f>
        <v>4321.6971600000006</v>
      </c>
      <c r="Q19" s="289">
        <v>10</v>
      </c>
      <c r="R19" s="291">
        <f t="shared" si="2"/>
        <v>43216.971600000004</v>
      </c>
      <c r="T19" s="291">
        <f>$D$19*(1+V$2)</f>
        <v>4321.6971600000006</v>
      </c>
      <c r="U19" s="289">
        <v>10</v>
      </c>
      <c r="V19" s="291">
        <f t="shared" si="3"/>
        <v>43216.971600000004</v>
      </c>
      <c r="X19" s="291">
        <f>$D$19*(1+Z$2)</f>
        <v>4321.6971600000006</v>
      </c>
      <c r="Y19" s="289">
        <v>10</v>
      </c>
      <c r="Z19" s="291">
        <f t="shared" si="4"/>
        <v>43216.971600000004</v>
      </c>
      <c r="AB19" s="291">
        <f>$D$19*(1+AD$2)</f>
        <v>5272.4705352000001</v>
      </c>
      <c r="AC19" s="289">
        <v>10</v>
      </c>
      <c r="AD19" s="291">
        <f t="shared" si="5"/>
        <v>52724.705352000004</v>
      </c>
      <c r="AF19" s="291">
        <f>$D$19*(1+AH$2)</f>
        <v>5272.4705352000001</v>
      </c>
      <c r="AG19" s="289">
        <v>10</v>
      </c>
      <c r="AH19" s="291">
        <f t="shared" si="6"/>
        <v>52724.705352000004</v>
      </c>
      <c r="AJ19" s="291">
        <f>$D$19*(1+AL$2)</f>
        <v>5272.4705352000001</v>
      </c>
      <c r="AK19" s="289">
        <v>10</v>
      </c>
      <c r="AL19" s="291">
        <f t="shared" si="7"/>
        <v>52724.705352000004</v>
      </c>
      <c r="AN19" s="291">
        <f>$D$19*(1+AP$2)</f>
        <v>7194.7614319680006</v>
      </c>
      <c r="AO19" s="289">
        <v>10</v>
      </c>
      <c r="AP19" s="291">
        <f t="shared" si="8"/>
        <v>71947.614319680011</v>
      </c>
      <c r="AR19" s="291">
        <f>$D$19*(1+AT$2)</f>
        <v>7194.7614319680006</v>
      </c>
      <c r="AS19" s="289">
        <v>10</v>
      </c>
      <c r="AT19" s="291">
        <f t="shared" si="9"/>
        <v>71947.614319680011</v>
      </c>
      <c r="AV19" s="291">
        <f>$D$19*(1+AX$2)</f>
        <v>7194.7614319680006</v>
      </c>
      <c r="AW19" s="289">
        <v>10</v>
      </c>
      <c r="AX19" s="291">
        <f t="shared" si="10"/>
        <v>71947.614319680011</v>
      </c>
      <c r="AZ19" s="291">
        <f>$D$19*(1+BB$2)</f>
        <v>9791.2370856960006</v>
      </c>
      <c r="BA19" s="289">
        <v>10</v>
      </c>
      <c r="BB19" s="291">
        <f t="shared" si="11"/>
        <v>97912.370856960013</v>
      </c>
      <c r="BD19" s="291">
        <f>$D$19*(1+BF$2)</f>
        <v>9791.2370856960006</v>
      </c>
      <c r="BE19" s="289">
        <v>10</v>
      </c>
      <c r="BF19" s="291">
        <f t="shared" si="12"/>
        <v>97912.370856960013</v>
      </c>
    </row>
    <row r="20" spans="2:58" x14ac:dyDescent="0.2">
      <c r="B20" s="515"/>
      <c r="C20" s="288" t="s">
        <v>203</v>
      </c>
      <c r="D20" s="291">
        <f>F27/180*1.5</f>
        <v>2197.1738400000004</v>
      </c>
      <c r="E20" s="289">
        <f>21*2.5</f>
        <v>52.5</v>
      </c>
      <c r="F20" s="291">
        <f t="shared" si="13"/>
        <v>115351.62660000002</v>
      </c>
      <c r="H20" s="291">
        <f>J27/180*1.5</f>
        <v>2197.1738400000004</v>
      </c>
      <c r="I20" s="289">
        <f>21*2.5</f>
        <v>52.5</v>
      </c>
      <c r="J20" s="291">
        <f t="shared" si="0"/>
        <v>115351.62660000002</v>
      </c>
      <c r="L20" s="291">
        <f>N27/180*1.5</f>
        <v>2197.1738400000004</v>
      </c>
      <c r="M20" s="289">
        <f>21*2.5</f>
        <v>52.5</v>
      </c>
      <c r="N20" s="291">
        <f t="shared" si="1"/>
        <v>115351.62660000002</v>
      </c>
      <c r="P20" s="291">
        <f>R27/180*1.5</f>
        <v>2746.4673000000003</v>
      </c>
      <c r="Q20" s="289">
        <f>21*2.5</f>
        <v>52.5</v>
      </c>
      <c r="R20" s="291">
        <f t="shared" si="2"/>
        <v>144189.53325000001</v>
      </c>
      <c r="T20" s="291">
        <f>V27/180*1.5</f>
        <v>2746.4673000000003</v>
      </c>
      <c r="U20" s="289">
        <f>21*2.5</f>
        <v>52.5</v>
      </c>
      <c r="V20" s="291">
        <f t="shared" si="3"/>
        <v>144189.53325000001</v>
      </c>
      <c r="X20" s="291">
        <f>Z27/180*1.5</f>
        <v>2746.4673000000003</v>
      </c>
      <c r="Y20" s="289">
        <f>21*2.5</f>
        <v>52.5</v>
      </c>
      <c r="Z20" s="291">
        <f t="shared" si="4"/>
        <v>144189.53325000001</v>
      </c>
      <c r="AB20" s="291">
        <f>AD27/180*1.5</f>
        <v>3350.6901060000009</v>
      </c>
      <c r="AC20" s="289">
        <f>21*2.5</f>
        <v>52.5</v>
      </c>
      <c r="AD20" s="291">
        <f t="shared" si="5"/>
        <v>175911.23056500003</v>
      </c>
      <c r="AF20" s="291">
        <f>AH27/180*1.5</f>
        <v>3350.6901060000009</v>
      </c>
      <c r="AG20" s="289">
        <f>21*2.5</f>
        <v>52.5</v>
      </c>
      <c r="AH20" s="291">
        <f t="shared" si="6"/>
        <v>175911.23056500003</v>
      </c>
      <c r="AJ20" s="291">
        <f>AL27/180*1.5</f>
        <v>3350.6901060000009</v>
      </c>
      <c r="AK20" s="289">
        <f>21*2.5</f>
        <v>52.5</v>
      </c>
      <c r="AL20" s="291">
        <f t="shared" si="7"/>
        <v>175911.23056500003</v>
      </c>
      <c r="AN20" s="291">
        <f>AP27/180*1.5</f>
        <v>4572.3187610399991</v>
      </c>
      <c r="AO20" s="289">
        <f>21*2.5</f>
        <v>52.5</v>
      </c>
      <c r="AP20" s="291">
        <f t="shared" si="8"/>
        <v>240046.73495459996</v>
      </c>
      <c r="AR20" s="291">
        <f>AT27/180*1.5</f>
        <v>4572.3187610399991</v>
      </c>
      <c r="AS20" s="289">
        <f>21*2.5</f>
        <v>52.5</v>
      </c>
      <c r="AT20" s="291">
        <f t="shared" si="9"/>
        <v>240046.73495459996</v>
      </c>
      <c r="AV20" s="291">
        <f>AX27/180*1.5</f>
        <v>4572.3187610399991</v>
      </c>
      <c r="AW20" s="289">
        <f>21*2.5</f>
        <v>52.5</v>
      </c>
      <c r="AX20" s="291">
        <f t="shared" si="10"/>
        <v>240046.73495459996</v>
      </c>
      <c r="AZ20" s="291">
        <f>BB27/180*1.5</f>
        <v>6222.3963148800003</v>
      </c>
      <c r="BA20" s="289">
        <f>21*2.5</f>
        <v>52.5</v>
      </c>
      <c r="BB20" s="291">
        <f t="shared" si="11"/>
        <v>326675.80653120001</v>
      </c>
      <c r="BD20" s="291">
        <f>BF27/180*1.5</f>
        <v>6222.3963148800003</v>
      </c>
      <c r="BE20" s="289">
        <f>21*2.5</f>
        <v>52.5</v>
      </c>
      <c r="BF20" s="291">
        <f t="shared" si="12"/>
        <v>326675.80653120001</v>
      </c>
    </row>
    <row r="21" spans="2:58" x14ac:dyDescent="0.2">
      <c r="B21" s="515"/>
      <c r="C21" s="288" t="s">
        <v>204</v>
      </c>
      <c r="D21" s="291">
        <f>F27/180*68/60*1.5</f>
        <v>2490.1303520000001</v>
      </c>
      <c r="E21" s="289">
        <v>0</v>
      </c>
      <c r="F21" s="291">
        <f t="shared" si="13"/>
        <v>0</v>
      </c>
      <c r="H21" s="291">
        <f>J27/180*68/60*1.5</f>
        <v>2490.1303520000001</v>
      </c>
      <c r="I21" s="289">
        <v>0</v>
      </c>
      <c r="J21" s="291">
        <f t="shared" si="0"/>
        <v>0</v>
      </c>
      <c r="L21" s="291">
        <f>N27/180*68/60*1.5</f>
        <v>2490.1303520000001</v>
      </c>
      <c r="M21" s="289">
        <v>0</v>
      </c>
      <c r="N21" s="291">
        <f t="shared" si="1"/>
        <v>0</v>
      </c>
      <c r="P21" s="291">
        <f>R27/180*68/60*1.5</f>
        <v>3112.6629400000002</v>
      </c>
      <c r="Q21" s="289">
        <v>0</v>
      </c>
      <c r="R21" s="291">
        <f t="shared" si="2"/>
        <v>0</v>
      </c>
      <c r="T21" s="291">
        <f>V27/180*68/60*1.5</f>
        <v>3112.6629400000002</v>
      </c>
      <c r="U21" s="289">
        <v>0</v>
      </c>
      <c r="V21" s="291">
        <f t="shared" si="3"/>
        <v>0</v>
      </c>
      <c r="X21" s="291">
        <f>Z27/180*68/60*1.5</f>
        <v>3112.6629400000002</v>
      </c>
      <c r="Y21" s="289">
        <v>0</v>
      </c>
      <c r="Z21" s="291">
        <f t="shared" si="4"/>
        <v>0</v>
      </c>
      <c r="AB21" s="291">
        <f>AD27/180*68/60*1.5</f>
        <v>3797.4487868000015</v>
      </c>
      <c r="AC21" s="289">
        <v>0</v>
      </c>
      <c r="AD21" s="291">
        <f t="shared" si="5"/>
        <v>0</v>
      </c>
      <c r="AF21" s="291">
        <f>AH27/180*68/60*1.5</f>
        <v>3797.4487868000015</v>
      </c>
      <c r="AG21" s="289">
        <v>0</v>
      </c>
      <c r="AH21" s="291">
        <f t="shared" si="6"/>
        <v>0</v>
      </c>
      <c r="AJ21" s="291">
        <f>AL27/180*68/60*1.5</f>
        <v>3797.4487868000015</v>
      </c>
      <c r="AK21" s="289">
        <v>0</v>
      </c>
      <c r="AL21" s="291">
        <f t="shared" si="7"/>
        <v>0</v>
      </c>
      <c r="AN21" s="291">
        <f>AP27/180*68/60*1.5</f>
        <v>5181.9612625119989</v>
      </c>
      <c r="AO21" s="289">
        <v>0</v>
      </c>
      <c r="AP21" s="291">
        <f t="shared" si="8"/>
        <v>0</v>
      </c>
      <c r="AR21" s="291">
        <f>AT27/180*68/60*1.5</f>
        <v>5181.9612625119989</v>
      </c>
      <c r="AS21" s="289">
        <v>0</v>
      </c>
      <c r="AT21" s="291">
        <f t="shared" si="9"/>
        <v>0</v>
      </c>
      <c r="AV21" s="291">
        <f>AX27/180*68/60*1.5</f>
        <v>5181.9612625119989</v>
      </c>
      <c r="AW21" s="289">
        <v>0</v>
      </c>
      <c r="AX21" s="291">
        <f t="shared" si="10"/>
        <v>0</v>
      </c>
      <c r="AZ21" s="291">
        <f>BB27/180*68/60*1.5</f>
        <v>7052.049156864</v>
      </c>
      <c r="BA21" s="289">
        <v>0</v>
      </c>
      <c r="BB21" s="291">
        <f t="shared" si="11"/>
        <v>0</v>
      </c>
      <c r="BD21" s="291">
        <f>BF27/180*68/60*1.5</f>
        <v>7052.049156864</v>
      </c>
      <c r="BE21" s="289">
        <v>0</v>
      </c>
      <c r="BF21" s="291">
        <f t="shared" si="12"/>
        <v>0</v>
      </c>
    </row>
    <row r="22" spans="2:58" x14ac:dyDescent="0.2">
      <c r="B22" s="515"/>
      <c r="C22" s="288" t="s">
        <v>205</v>
      </c>
      <c r="D22" s="291">
        <f>F27/180*2</f>
        <v>2929.5651200000002</v>
      </c>
      <c r="E22" s="289">
        <v>0</v>
      </c>
      <c r="F22" s="291">
        <f t="shared" si="13"/>
        <v>0</v>
      </c>
      <c r="H22" s="291">
        <f>J27/180*2</f>
        <v>2929.5651200000002</v>
      </c>
      <c r="I22" s="289">
        <v>0</v>
      </c>
      <c r="J22" s="291">
        <f t="shared" si="0"/>
        <v>0</v>
      </c>
      <c r="L22" s="291">
        <f>N27/180*2</f>
        <v>2929.5651200000002</v>
      </c>
      <c r="M22" s="289">
        <v>0</v>
      </c>
      <c r="N22" s="291">
        <f t="shared" si="1"/>
        <v>0</v>
      </c>
      <c r="P22" s="291">
        <f>R27/180*2</f>
        <v>3661.9564</v>
      </c>
      <c r="Q22" s="289">
        <v>0</v>
      </c>
      <c r="R22" s="291">
        <f t="shared" si="2"/>
        <v>0</v>
      </c>
      <c r="T22" s="291">
        <f>V27/180*2</f>
        <v>3661.9564</v>
      </c>
      <c r="U22" s="289">
        <v>0</v>
      </c>
      <c r="V22" s="291">
        <f t="shared" si="3"/>
        <v>0</v>
      </c>
      <c r="X22" s="291">
        <f>Z27/180*2</f>
        <v>3661.9564</v>
      </c>
      <c r="Y22" s="289">
        <v>0</v>
      </c>
      <c r="Z22" s="291">
        <f t="shared" si="4"/>
        <v>0</v>
      </c>
      <c r="AB22" s="291">
        <f>AD27/180*2</f>
        <v>4467.5868080000009</v>
      </c>
      <c r="AC22" s="289">
        <v>0</v>
      </c>
      <c r="AD22" s="291">
        <f t="shared" si="5"/>
        <v>0</v>
      </c>
      <c r="AF22" s="291">
        <f>AH27/180*2</f>
        <v>4467.5868080000009</v>
      </c>
      <c r="AG22" s="289">
        <v>0</v>
      </c>
      <c r="AH22" s="291">
        <f t="shared" si="6"/>
        <v>0</v>
      </c>
      <c r="AJ22" s="291">
        <f>AL27/180*2</f>
        <v>4467.5868080000009</v>
      </c>
      <c r="AK22" s="289">
        <v>0</v>
      </c>
      <c r="AL22" s="291">
        <f t="shared" si="7"/>
        <v>0</v>
      </c>
      <c r="AN22" s="291">
        <f>AP27/180*2</f>
        <v>6096.4250147199991</v>
      </c>
      <c r="AO22" s="289">
        <v>0</v>
      </c>
      <c r="AP22" s="291">
        <f t="shared" si="8"/>
        <v>0</v>
      </c>
      <c r="AR22" s="291">
        <f>AT27/180*2</f>
        <v>6096.4250147199991</v>
      </c>
      <c r="AS22" s="289">
        <v>0</v>
      </c>
      <c r="AT22" s="291">
        <f t="shared" si="9"/>
        <v>0</v>
      </c>
      <c r="AV22" s="291">
        <f>AX27/180*2</f>
        <v>6096.4250147199991</v>
      </c>
      <c r="AW22" s="289">
        <v>0</v>
      </c>
      <c r="AX22" s="291">
        <f t="shared" si="10"/>
        <v>0</v>
      </c>
      <c r="AZ22" s="291">
        <f>BB27/180*2</f>
        <v>8296.5284198400004</v>
      </c>
      <c r="BA22" s="289">
        <v>0</v>
      </c>
      <c r="BB22" s="291">
        <f t="shared" si="11"/>
        <v>0</v>
      </c>
      <c r="BD22" s="291">
        <f>BF27/180*2</f>
        <v>8296.5284198400004</v>
      </c>
      <c r="BE22" s="289">
        <v>0</v>
      </c>
      <c r="BF22" s="291">
        <f t="shared" si="12"/>
        <v>0</v>
      </c>
    </row>
    <row r="23" spans="2:58" x14ac:dyDescent="0.2">
      <c r="B23" s="515"/>
      <c r="C23" s="288" t="s">
        <v>206</v>
      </c>
      <c r="D23" s="290">
        <v>0.1</v>
      </c>
      <c r="E23" s="289"/>
      <c r="F23" s="291">
        <f t="shared" si="13"/>
        <v>0</v>
      </c>
      <c r="H23" s="290">
        <v>0.1</v>
      </c>
      <c r="I23" s="289"/>
      <c r="J23" s="291">
        <f>SUM(J8:J11,J14:J17,J20:J22)/30*H23*I23</f>
        <v>0</v>
      </c>
      <c r="L23" s="290">
        <v>0.1</v>
      </c>
      <c r="M23" s="289"/>
      <c r="N23" s="291">
        <f>SUM(N8:N11,N14:N17,N20:N22)/30*L23*M23</f>
        <v>0</v>
      </c>
      <c r="P23" s="290">
        <v>0.1</v>
      </c>
      <c r="Q23" s="289"/>
      <c r="R23" s="291">
        <f>SUM(R8:R11,R14:R17,R20:R22)/30*P23*Q23</f>
        <v>0</v>
      </c>
      <c r="T23" s="290">
        <v>0.1</v>
      </c>
      <c r="U23" s="289"/>
      <c r="V23" s="291">
        <f>SUM(V8:V11,V14:V17,V20:V22)/30*T23*U23</f>
        <v>0</v>
      </c>
      <c r="X23" s="290">
        <v>0.1</v>
      </c>
      <c r="Y23" s="289"/>
      <c r="Z23" s="291">
        <f>SUM(Z8:Z11,Z14:Z17,Z20:Z22)/30*X23*Y23</f>
        <v>0</v>
      </c>
      <c r="AB23" s="290">
        <v>0.1</v>
      </c>
      <c r="AC23" s="289"/>
      <c r="AD23" s="291">
        <f>SUM(AD8:AD11,AD14:AD17,AD20:AD22)/30*AB23*AC23</f>
        <v>0</v>
      </c>
      <c r="AF23" s="290">
        <v>0.1</v>
      </c>
      <c r="AG23" s="289"/>
      <c r="AH23" s="291">
        <f>SUM(AH8:AH11,AH14:AH17,AH20:AH22)/30*AF23*AG23</f>
        <v>0</v>
      </c>
      <c r="AJ23" s="290">
        <v>0.1</v>
      </c>
      <c r="AK23" s="289"/>
      <c r="AL23" s="291">
        <f>SUM(AL8:AL11,AL14:AL17,AL20:AL22)/30*AJ23*AK23</f>
        <v>0</v>
      </c>
      <c r="AN23" s="290">
        <v>0.1</v>
      </c>
      <c r="AO23" s="289"/>
      <c r="AP23" s="291">
        <f>SUM(AP8:AP11,AP14:AP17,AP20:AP22)/30*AN23*AO23</f>
        <v>0</v>
      </c>
      <c r="AR23" s="290">
        <v>0.1</v>
      </c>
      <c r="AS23" s="289"/>
      <c r="AT23" s="291">
        <f>SUM(AT8:AT11,AT14:AT17,AT20:AT22)/30*AR23*AS23</f>
        <v>0</v>
      </c>
      <c r="AV23" s="290">
        <v>0.1</v>
      </c>
      <c r="AW23" s="289"/>
      <c r="AX23" s="291">
        <f>SUM(AX8:AX11,AX14:AX17,AX20:AX22)/30*AV23*AW23</f>
        <v>0</v>
      </c>
      <c r="AZ23" s="290">
        <v>0.1</v>
      </c>
      <c r="BA23" s="289"/>
      <c r="BB23" s="291">
        <f>SUM(BB8:BB11,BB14:BB17,BB20:BB22)/30*AZ23*BA23</f>
        <v>0</v>
      </c>
      <c r="BD23" s="290">
        <v>0.1</v>
      </c>
      <c r="BE23" s="289"/>
      <c r="BF23" s="291">
        <f>SUM(BF8:BF11,BF14:BF17,BF20:BF22)/30*BD23*BE23</f>
        <v>0</v>
      </c>
    </row>
    <row r="24" spans="2:58" x14ac:dyDescent="0.2">
      <c r="B24" s="515"/>
      <c r="C24" s="296" t="s">
        <v>207</v>
      </c>
      <c r="D24" s="297">
        <f>SUM(F8:F23)</f>
        <v>423707.09684100008</v>
      </c>
      <c r="E24" s="298">
        <v>0.06</v>
      </c>
      <c r="F24" s="291">
        <f t="shared" si="13"/>
        <v>25422.425810460005</v>
      </c>
      <c r="H24" s="297">
        <f>SUM(J8:J23)</f>
        <v>423707.09684100008</v>
      </c>
      <c r="I24" s="298">
        <v>0.06</v>
      </c>
      <c r="J24" s="297">
        <f>H24*I24</f>
        <v>25422.425810460005</v>
      </c>
      <c r="L24" s="297">
        <f>SUM(N8:N23)</f>
        <v>423707.09684100008</v>
      </c>
      <c r="M24" s="298">
        <v>0.06</v>
      </c>
      <c r="N24" s="297">
        <f>L24*M24</f>
        <v>25422.425810460005</v>
      </c>
      <c r="P24" s="297">
        <f>SUM(R8:R23)</f>
        <v>529633.87105125003</v>
      </c>
      <c r="Q24" s="298">
        <v>0.06</v>
      </c>
      <c r="R24" s="297">
        <f>P24*Q24</f>
        <v>31778.032263075002</v>
      </c>
      <c r="T24" s="297">
        <f>SUM(V8:V23)</f>
        <v>529633.87105125003</v>
      </c>
      <c r="U24" s="298">
        <v>0.06</v>
      </c>
      <c r="V24" s="297">
        <f>T24*U24</f>
        <v>31778.032263075002</v>
      </c>
      <c r="X24" s="297">
        <f>SUM(Z8:Z23)</f>
        <v>529633.87105125003</v>
      </c>
      <c r="Y24" s="298">
        <v>0.06</v>
      </c>
      <c r="Z24" s="297">
        <f>X24*Y24</f>
        <v>31778.032263075002</v>
      </c>
      <c r="AB24" s="297">
        <f>SUM(AD8:AD23)</f>
        <v>646153.32268252503</v>
      </c>
      <c r="AC24" s="298">
        <v>0.06</v>
      </c>
      <c r="AD24" s="297">
        <f>AB24*AC24</f>
        <v>38769.199360951498</v>
      </c>
      <c r="AF24" s="297">
        <f>SUM(AH8:AH23)</f>
        <v>646153.32268252503</v>
      </c>
      <c r="AG24" s="298">
        <v>0.06</v>
      </c>
      <c r="AH24" s="297">
        <f>AF24*AG24</f>
        <v>38769.199360951498</v>
      </c>
      <c r="AJ24" s="297">
        <f>SUM(AL8:AL23)</f>
        <v>646153.32268252503</v>
      </c>
      <c r="AK24" s="298">
        <v>0.06</v>
      </c>
      <c r="AL24" s="297">
        <f>AJ24*AK24</f>
        <v>38769.199360951498</v>
      </c>
      <c r="AN24" s="297">
        <f>SUM(AP8:AP23)</f>
        <v>881734.468526121</v>
      </c>
      <c r="AO24" s="298">
        <v>0.06</v>
      </c>
      <c r="AP24" s="297">
        <f>AN24*AO24</f>
        <v>52904.068111567256</v>
      </c>
      <c r="AR24" s="297">
        <f>SUM(AT8:AT23)</f>
        <v>881734.468526121</v>
      </c>
      <c r="AS24" s="298">
        <v>0.06</v>
      </c>
      <c r="AT24" s="297">
        <f>AR24*AS24</f>
        <v>52904.068111567256</v>
      </c>
      <c r="AV24" s="297">
        <f>SUM(AX8:AX23)</f>
        <v>881734.468526121</v>
      </c>
      <c r="AW24" s="298">
        <v>0.06</v>
      </c>
      <c r="AX24" s="297">
        <f>AV24*AW24</f>
        <v>52904.068111567256</v>
      </c>
      <c r="AZ24" s="297">
        <f>SUM(BB8:BB23)</f>
        <v>1199938.498253712</v>
      </c>
      <c r="BA24" s="298">
        <v>0.06</v>
      </c>
      <c r="BB24" s="297">
        <f>AZ24*BA24</f>
        <v>71996.309895222716</v>
      </c>
      <c r="BD24" s="297">
        <f>SUM(BF8:BF23)</f>
        <v>1199938.498253712</v>
      </c>
      <c r="BE24" s="298">
        <v>0.06</v>
      </c>
      <c r="BF24" s="297">
        <f>BD24*BE24</f>
        <v>71996.309895222716</v>
      </c>
    </row>
    <row r="25" spans="2:58" x14ac:dyDescent="0.2">
      <c r="B25" s="516"/>
      <c r="C25" s="299" t="s">
        <v>208</v>
      </c>
      <c r="D25" s="300"/>
      <c r="E25" s="300"/>
      <c r="F25" s="301">
        <f>SUM(F8:F24)</f>
        <v>449129.52265146008</v>
      </c>
      <c r="H25" s="300"/>
      <c r="I25" s="300"/>
      <c r="J25" s="301">
        <f>SUM(J8:J24)</f>
        <v>449129.52265146008</v>
      </c>
      <c r="L25" s="300"/>
      <c r="M25" s="300"/>
      <c r="N25" s="301">
        <f>SUM(N8:N24)</f>
        <v>449129.52265146008</v>
      </c>
      <c r="O25" s="302" t="e">
        <f>+N25/B25</f>
        <v>#DIV/0!</v>
      </c>
      <c r="P25" s="300"/>
      <c r="Q25" s="300"/>
      <c r="R25" s="301">
        <f>SUM(R8:R24)</f>
        <v>561411.90331432503</v>
      </c>
      <c r="S25" s="302">
        <f>+R25/F25</f>
        <v>1.2499999999999998</v>
      </c>
      <c r="T25" s="300"/>
      <c r="U25" s="300"/>
      <c r="V25" s="301">
        <f>SUM(V8:V24)</f>
        <v>561411.90331432503</v>
      </c>
      <c r="X25" s="300"/>
      <c r="Y25" s="300"/>
      <c r="Z25" s="301">
        <f>SUM(Z8:Z24)</f>
        <v>561411.90331432503</v>
      </c>
      <c r="AB25" s="300"/>
      <c r="AC25" s="300"/>
      <c r="AD25" s="301">
        <f>SUM(AD8:AD24)</f>
        <v>684922.52204347658</v>
      </c>
      <c r="AE25" s="303"/>
      <c r="AF25" s="300"/>
      <c r="AG25" s="300"/>
      <c r="AH25" s="301">
        <f>SUM(AH8:AH24)</f>
        <v>684922.52204347658</v>
      </c>
      <c r="AJ25" s="300"/>
      <c r="AK25" s="300"/>
      <c r="AL25" s="301">
        <f>SUM(AL8:AL24)</f>
        <v>684922.52204347658</v>
      </c>
      <c r="AN25" s="300"/>
      <c r="AO25" s="300"/>
      <c r="AP25" s="301">
        <f>SUM(AP8:AP24)</f>
        <v>934638.53663768829</v>
      </c>
      <c r="AQ25" s="304"/>
      <c r="AR25" s="300"/>
      <c r="AS25" s="300"/>
      <c r="AT25" s="301">
        <f>SUM(AT8:AT24)</f>
        <v>934638.53663768829</v>
      </c>
      <c r="AV25" s="300"/>
      <c r="AW25" s="300"/>
      <c r="AX25" s="301">
        <f>SUM(AX8:AX24)</f>
        <v>934638.53663768829</v>
      </c>
      <c r="AZ25" s="300"/>
      <c r="BA25" s="300"/>
      <c r="BB25" s="301">
        <f>SUM(BB8:BB24)</f>
        <v>1271934.8081489347</v>
      </c>
      <c r="BC25" s="304"/>
      <c r="BD25" s="300"/>
      <c r="BE25" s="300"/>
      <c r="BF25" s="301">
        <f>SUM(BF8:BF24)</f>
        <v>1271934.8081489347</v>
      </c>
    </row>
    <row r="26" spans="2:58" x14ac:dyDescent="0.2">
      <c r="D26" s="305"/>
      <c r="E26" s="305"/>
      <c r="F26" s="306"/>
      <c r="H26" s="305"/>
      <c r="I26" s="305"/>
      <c r="J26" s="306"/>
      <c r="L26" s="305"/>
      <c r="M26" s="305"/>
      <c r="N26" s="306"/>
      <c r="P26" s="305"/>
      <c r="Q26" s="305"/>
      <c r="R26" s="306"/>
      <c r="T26" s="305"/>
      <c r="U26" s="305"/>
      <c r="V26" s="306"/>
      <c r="X26" s="305"/>
      <c r="Y26" s="305"/>
      <c r="Z26" s="306"/>
      <c r="AB26" s="305"/>
      <c r="AC26" s="305"/>
      <c r="AD26" s="306"/>
      <c r="AF26" s="305"/>
      <c r="AG26" s="305"/>
      <c r="AH26" s="306"/>
      <c r="AJ26" s="305"/>
      <c r="AK26" s="305"/>
      <c r="AL26" s="306"/>
      <c r="AN26" s="305"/>
      <c r="AO26" s="305"/>
      <c r="AP26" s="306"/>
      <c r="AR26" s="305"/>
      <c r="AS26" s="305"/>
      <c r="AT26" s="306"/>
      <c r="AV26" s="305"/>
      <c r="AW26" s="305"/>
      <c r="AX26" s="306"/>
      <c r="AZ26" s="305"/>
      <c r="BA26" s="305"/>
      <c r="BB26" s="306"/>
      <c r="BC26" s="391"/>
      <c r="BD26" s="305"/>
      <c r="BE26" s="305"/>
      <c r="BF26" s="306"/>
    </row>
    <row r="27" spans="2:58" ht="25.5" x14ac:dyDescent="0.2">
      <c r="C27" s="307" t="s">
        <v>209</v>
      </c>
      <c r="D27" s="308"/>
      <c r="E27" s="308"/>
      <c r="F27" s="309">
        <f>F8+F10+F9+F14+F15+F16+F17</f>
        <v>263660.86080000002</v>
      </c>
      <c r="H27" s="308"/>
      <c r="I27" s="308"/>
      <c r="J27" s="309">
        <f>J8+J10+J9+J14+J15+J16+J17</f>
        <v>263660.86080000002</v>
      </c>
      <c r="L27" s="308"/>
      <c r="M27" s="308"/>
      <c r="N27" s="309">
        <f>N8+N10+N9+N14+N15+N16+N17</f>
        <v>263660.86080000002</v>
      </c>
      <c r="P27" s="308"/>
      <c r="Q27" s="308"/>
      <c r="R27" s="309">
        <f>R8+R10+R9+R14+R15+R16+R17</f>
        <v>329576.076</v>
      </c>
      <c r="T27" s="308"/>
      <c r="U27" s="308"/>
      <c r="V27" s="309">
        <f>V8+V10+V9+V14+V15+V16+V17</f>
        <v>329576.076</v>
      </c>
      <c r="X27" s="308"/>
      <c r="Y27" s="308"/>
      <c r="Z27" s="309">
        <f>Z8+Z10+Z9+Z14+Z15+Z16+Z17</f>
        <v>329576.076</v>
      </c>
      <c r="AB27" s="308"/>
      <c r="AC27" s="308"/>
      <c r="AD27" s="309">
        <f>AD8+AD10+AD9+AD14+AD15+AD16+AD17</f>
        <v>402082.81272000005</v>
      </c>
      <c r="AF27" s="308"/>
      <c r="AG27" s="308"/>
      <c r="AH27" s="309">
        <f>AH8+AH10+AH9+AH14+AH15+AH16+AH17</f>
        <v>402082.81272000005</v>
      </c>
      <c r="AJ27" s="308"/>
      <c r="AK27" s="308"/>
      <c r="AL27" s="309">
        <f>AL8+AL10+AL9+AL14+AL15+AL16+AL17</f>
        <v>402082.81272000005</v>
      </c>
      <c r="AN27" s="308"/>
      <c r="AO27" s="308"/>
      <c r="AP27" s="309">
        <f>AP8+AP10+AP9+AP14+AP15+AP16+AP17</f>
        <v>548678.25132479996</v>
      </c>
      <c r="AR27" s="308"/>
      <c r="AS27" s="308"/>
      <c r="AT27" s="309">
        <f>AT8+AT10+AT9+AT14+AT15+AT16+AT17</f>
        <v>548678.25132479996</v>
      </c>
      <c r="AV27" s="308"/>
      <c r="AW27" s="308"/>
      <c r="AX27" s="309">
        <f>AX8+AX10+AX9+AX14+AX15+AX16+AX17</f>
        <v>548678.25132479996</v>
      </c>
      <c r="AZ27" s="308"/>
      <c r="BA27" s="308"/>
      <c r="BB27" s="309">
        <f>BB8+BB10+BB9+BB14+BB15+BB16+BB17</f>
        <v>746687.55778559996</v>
      </c>
      <c r="BC27" s="391"/>
      <c r="BD27" s="308"/>
      <c r="BE27" s="308"/>
      <c r="BF27" s="309">
        <f>BF8+BF10+BF9+BF14+BF15+BF16+BF17</f>
        <v>746687.55778559996</v>
      </c>
    </row>
    <row r="28" spans="2:58" x14ac:dyDescent="0.2">
      <c r="D28" s="305"/>
      <c r="E28" s="305"/>
      <c r="H28" s="305"/>
      <c r="I28" s="305"/>
      <c r="L28" s="305"/>
      <c r="M28" s="305"/>
      <c r="P28" s="305"/>
      <c r="Q28" s="305"/>
      <c r="T28" s="305"/>
      <c r="U28" s="305"/>
      <c r="X28" s="305"/>
      <c r="Y28" s="305"/>
      <c r="AB28" s="305"/>
      <c r="AC28" s="305"/>
      <c r="AF28" s="305"/>
      <c r="AG28" s="305"/>
      <c r="AJ28" s="305"/>
      <c r="AK28" s="305"/>
      <c r="AN28" s="305"/>
      <c r="AO28" s="305"/>
      <c r="AR28" s="305"/>
      <c r="AS28" s="305"/>
      <c r="AV28" s="305"/>
      <c r="AW28" s="305"/>
      <c r="AZ28" s="305"/>
      <c r="BA28" s="305"/>
      <c r="BC28" s="391"/>
      <c r="BD28" s="305"/>
      <c r="BE28" s="305"/>
    </row>
    <row r="29" spans="2:58" x14ac:dyDescent="0.2">
      <c r="B29" s="514" t="s">
        <v>210</v>
      </c>
      <c r="C29" s="285" t="s">
        <v>211</v>
      </c>
      <c r="D29" s="287">
        <v>2939.64</v>
      </c>
      <c r="E29" s="286">
        <f>21*2</f>
        <v>42</v>
      </c>
      <c r="F29" s="287">
        <f>D29*E29</f>
        <v>123464.87999999999</v>
      </c>
      <c r="H29" s="287">
        <f>$D$29*(1+J$2)</f>
        <v>2939.64</v>
      </c>
      <c r="I29" s="286">
        <f>21*2</f>
        <v>42</v>
      </c>
      <c r="J29" s="287">
        <f>H29*I29</f>
        <v>123464.87999999999</v>
      </c>
      <c r="L29" s="287">
        <f>$D$29*(1+N$2)</f>
        <v>2939.64</v>
      </c>
      <c r="M29" s="286">
        <f>21*2</f>
        <v>42</v>
      </c>
      <c r="N29" s="287">
        <f>L29*M29</f>
        <v>123464.87999999999</v>
      </c>
      <c r="P29" s="287">
        <f>$D$29*(1+R$2)</f>
        <v>3674.5499999999997</v>
      </c>
      <c r="Q29" s="286">
        <f>21*2</f>
        <v>42</v>
      </c>
      <c r="R29" s="287">
        <f>P29*Q29</f>
        <v>154331.09999999998</v>
      </c>
      <c r="T29" s="287">
        <f>$D$29*(1+V$2)</f>
        <v>3674.5499999999997</v>
      </c>
      <c r="U29" s="286">
        <f>21*2</f>
        <v>42</v>
      </c>
      <c r="V29" s="287">
        <f>T29*U29</f>
        <v>154331.09999999998</v>
      </c>
      <c r="X29" s="287">
        <f>$D$29*(1+Z$2)</f>
        <v>3674.5499999999997</v>
      </c>
      <c r="Y29" s="286">
        <f>21*2</f>
        <v>42</v>
      </c>
      <c r="Z29" s="287">
        <f>X29*Y29</f>
        <v>154331.09999999998</v>
      </c>
      <c r="AB29" s="287">
        <f>$D$29*(1+AD$2)</f>
        <v>4482.9509999999991</v>
      </c>
      <c r="AC29" s="286">
        <f>21*2</f>
        <v>42</v>
      </c>
      <c r="AD29" s="287">
        <f>AB29*AC29</f>
        <v>188283.94199999995</v>
      </c>
      <c r="AF29" s="287">
        <f>$D$29*(1+AH$2)</f>
        <v>4482.9509999999991</v>
      </c>
      <c r="AG29" s="286">
        <f>21*2</f>
        <v>42</v>
      </c>
      <c r="AH29" s="287">
        <f>AF29*AG29</f>
        <v>188283.94199999995</v>
      </c>
      <c r="AJ29" s="287">
        <f>$D$29*(1+AL$2)</f>
        <v>4482.9509999999991</v>
      </c>
      <c r="AK29" s="286">
        <f>21*2</f>
        <v>42</v>
      </c>
      <c r="AL29" s="287">
        <f>AJ29*AK29</f>
        <v>188283.94199999995</v>
      </c>
      <c r="AN29" s="287">
        <f>$D$29*(1+AP$2)</f>
        <v>6117.39084</v>
      </c>
      <c r="AO29" s="286">
        <f>21*2</f>
        <v>42</v>
      </c>
      <c r="AP29" s="287">
        <f>AN29*AO29</f>
        <v>256930.41528000002</v>
      </c>
      <c r="AR29" s="287">
        <f>$D$29*(1+AT$2)</f>
        <v>6117.39084</v>
      </c>
      <c r="AS29" s="286">
        <f>21*2</f>
        <v>42</v>
      </c>
      <c r="AT29" s="287">
        <f>AR29*AS29</f>
        <v>256930.41528000002</v>
      </c>
      <c r="AV29" s="287">
        <f>$D$29*(1+AX$2)</f>
        <v>6117.39084</v>
      </c>
      <c r="AW29" s="286">
        <f>21*2</f>
        <v>42</v>
      </c>
      <c r="AX29" s="287">
        <f>AV29*AW29</f>
        <v>256930.41528000002</v>
      </c>
      <c r="AZ29" s="287">
        <f>$D$29*(1+BB$2)</f>
        <v>8325.0604800000001</v>
      </c>
      <c r="BA29" s="286">
        <f>21*2</f>
        <v>42</v>
      </c>
      <c r="BB29" s="287">
        <f>AZ29*BA29</f>
        <v>349652.54015999998</v>
      </c>
      <c r="BC29" s="391"/>
      <c r="BD29" s="287">
        <f>$D$29*(1+BF$2)</f>
        <v>8325.0604800000001</v>
      </c>
      <c r="BE29" s="286">
        <f>21*2</f>
        <v>42</v>
      </c>
      <c r="BF29" s="287">
        <f>BD29*BE29</f>
        <v>349652.54015999998</v>
      </c>
    </row>
    <row r="30" spans="2:58" x14ac:dyDescent="0.2">
      <c r="B30" s="517"/>
      <c r="C30" s="288" t="s">
        <v>212</v>
      </c>
      <c r="D30" s="297"/>
      <c r="E30" s="310"/>
      <c r="F30" s="297">
        <f t="shared" ref="F30:F32" si="14">D30*E30</f>
        <v>0</v>
      </c>
      <c r="H30" s="297">
        <f>$F$25</f>
        <v>449129.52265146008</v>
      </c>
      <c r="I30" s="311">
        <f>J$3</f>
        <v>0.11</v>
      </c>
      <c r="J30" s="291">
        <f t="shared" ref="J30:J31" si="15">H30*I30</f>
        <v>49404.247491660608</v>
      </c>
      <c r="L30" s="297">
        <f>$F$25</f>
        <v>449129.52265146008</v>
      </c>
      <c r="M30" s="311">
        <f>N$3</f>
        <v>0.24999999999999997</v>
      </c>
      <c r="N30" s="291">
        <f t="shared" ref="N30:N31" si="16">L30*M30</f>
        <v>112282.38066286501</v>
      </c>
      <c r="P30" s="297">
        <f>$F$25</f>
        <v>449129.52265146008</v>
      </c>
      <c r="Q30" s="311">
        <f>R$3</f>
        <v>0.1</v>
      </c>
      <c r="R30" s="291">
        <f t="shared" ref="R30" si="17">P30*Q30</f>
        <v>44912.952265146014</v>
      </c>
      <c r="T30" s="297">
        <f>$F$25</f>
        <v>449129.52265146008</v>
      </c>
      <c r="U30" s="311">
        <f>V$3</f>
        <v>0.2</v>
      </c>
      <c r="V30" s="291">
        <f t="shared" ref="V30" si="18">T30*U30</f>
        <v>89825.904530292028</v>
      </c>
      <c r="X30" s="297">
        <f>$F$25</f>
        <v>449129.52265146008</v>
      </c>
      <c r="Y30" s="311">
        <f>Z$3</f>
        <v>0.27500000000000002</v>
      </c>
      <c r="Z30" s="291">
        <f t="shared" ref="Z30:Z31" si="19">X30*Y30</f>
        <v>123510.61872915154</v>
      </c>
      <c r="AB30" s="297">
        <f>$F$25</f>
        <v>449129.52265146008</v>
      </c>
      <c r="AC30" s="311">
        <f>AD$3</f>
        <v>0.15</v>
      </c>
      <c r="AD30" s="291">
        <f t="shared" ref="AD30:AD31" si="20">AB30*AC30</f>
        <v>67369.428397719006</v>
      </c>
      <c r="AF30" s="297">
        <f>$F$25</f>
        <v>449129.52265146008</v>
      </c>
      <c r="AG30" s="311">
        <f>AH$3</f>
        <v>0.38100000000000001</v>
      </c>
      <c r="AH30" s="291">
        <f t="shared" ref="AH30:AH31" si="21">AF30*AG30</f>
        <v>171118.34813020629</v>
      </c>
      <c r="AJ30" s="297">
        <f>$F$25</f>
        <v>449129.52265146008</v>
      </c>
      <c r="AK30" s="311">
        <f>AL$3</f>
        <v>0.55600000000000005</v>
      </c>
      <c r="AL30" s="291">
        <f t="shared" ref="AL30:AL31" si="22">AJ30*AK30</f>
        <v>249716.01459421183</v>
      </c>
      <c r="AN30" s="297">
        <f>$F$25</f>
        <v>449129.52265146008</v>
      </c>
      <c r="AO30" s="311">
        <f>AP$3</f>
        <v>0.47599999999999998</v>
      </c>
      <c r="AP30" s="291">
        <f t="shared" ref="AP30:AP31" si="23">AN30*AO30</f>
        <v>213785.65278209499</v>
      </c>
      <c r="AR30" s="297">
        <f>$F$25</f>
        <v>449129.52265146008</v>
      </c>
      <c r="AS30" s="311">
        <f>AT$3</f>
        <v>0.65100000000000002</v>
      </c>
      <c r="AT30" s="291">
        <f t="shared" ref="AT30:AT31" si="24">AR30*AS30</f>
        <v>292383.31924610049</v>
      </c>
      <c r="AV30" s="297">
        <f>$F$25</f>
        <v>449129.52265146008</v>
      </c>
      <c r="AW30" s="311">
        <f>AX$3</f>
        <v>0.75100000000000011</v>
      </c>
      <c r="AX30" s="291">
        <f t="shared" ref="AX30:AX31" si="25">AV30*AW30</f>
        <v>337296.27151124657</v>
      </c>
      <c r="AZ30" s="297">
        <f>$F$25</f>
        <v>449129.52265146008</v>
      </c>
      <c r="BA30" s="311">
        <f>BB$3</f>
        <v>0</v>
      </c>
      <c r="BB30" s="291">
        <f t="shared" ref="BB30:BB31" si="26">AZ30*BA30</f>
        <v>0</v>
      </c>
      <c r="BC30" s="391"/>
      <c r="BD30" s="297">
        <f>$F$25</f>
        <v>449129.52265146008</v>
      </c>
      <c r="BE30" s="311">
        <f>BF$3</f>
        <v>0</v>
      </c>
      <c r="BF30" s="291">
        <f t="shared" ref="BF30:BF31" si="27">BD30*BE30</f>
        <v>0</v>
      </c>
    </row>
    <row r="31" spans="2:58" x14ac:dyDescent="0.2">
      <c r="B31" s="517"/>
      <c r="C31" s="288" t="s">
        <v>213</v>
      </c>
      <c r="D31" s="297"/>
      <c r="E31" s="310"/>
      <c r="F31" s="297">
        <f t="shared" si="14"/>
        <v>0</v>
      </c>
      <c r="H31" s="297">
        <f>$F$29</f>
        <v>123464.87999999999</v>
      </c>
      <c r="I31" s="311">
        <f>J$3</f>
        <v>0.11</v>
      </c>
      <c r="J31" s="291">
        <f t="shared" si="15"/>
        <v>13581.136799999998</v>
      </c>
      <c r="L31" s="297">
        <f>$F$29</f>
        <v>123464.87999999999</v>
      </c>
      <c r="M31" s="311">
        <f>N$3</f>
        <v>0.24999999999999997</v>
      </c>
      <c r="N31" s="291">
        <f t="shared" si="16"/>
        <v>30866.219999999994</v>
      </c>
      <c r="P31" s="297">
        <f>$F$29</f>
        <v>123464.87999999999</v>
      </c>
      <c r="Q31" s="311">
        <f>R$3</f>
        <v>0.1</v>
      </c>
      <c r="R31" s="291">
        <f>P31*Q31</f>
        <v>12346.487999999999</v>
      </c>
      <c r="T31" s="297">
        <f>$F$29</f>
        <v>123464.87999999999</v>
      </c>
      <c r="U31" s="311">
        <f>V$3</f>
        <v>0.2</v>
      </c>
      <c r="V31" s="291">
        <f>T31*U31</f>
        <v>24692.975999999999</v>
      </c>
      <c r="W31" s="312"/>
      <c r="X31" s="297">
        <f>$F$29</f>
        <v>123464.87999999999</v>
      </c>
      <c r="Y31" s="311">
        <f>Z$3</f>
        <v>0.27500000000000002</v>
      </c>
      <c r="Z31" s="291">
        <f t="shared" si="19"/>
        <v>33952.841999999997</v>
      </c>
      <c r="AB31" s="297">
        <f>$F$29</f>
        <v>123464.87999999999</v>
      </c>
      <c r="AC31" s="311">
        <f>AD$3</f>
        <v>0.15</v>
      </c>
      <c r="AD31" s="291">
        <f t="shared" si="20"/>
        <v>18519.731999999996</v>
      </c>
      <c r="AF31" s="297">
        <f>$F$29</f>
        <v>123464.87999999999</v>
      </c>
      <c r="AG31" s="311">
        <f>AH$3</f>
        <v>0.38100000000000001</v>
      </c>
      <c r="AH31" s="291">
        <f t="shared" si="21"/>
        <v>47040.119279999999</v>
      </c>
      <c r="AJ31" s="297">
        <f>$F$29</f>
        <v>123464.87999999999</v>
      </c>
      <c r="AK31" s="311">
        <f>AL$3</f>
        <v>0.55600000000000005</v>
      </c>
      <c r="AL31" s="291">
        <f t="shared" si="22"/>
        <v>68646.473280000006</v>
      </c>
      <c r="AN31" s="297">
        <f>$F$29</f>
        <v>123464.87999999999</v>
      </c>
      <c r="AO31" s="311">
        <f>AP$3</f>
        <v>0.47599999999999998</v>
      </c>
      <c r="AP31" s="291">
        <f t="shared" si="23"/>
        <v>58769.282879999992</v>
      </c>
      <c r="AR31" s="297">
        <f>$F$29</f>
        <v>123464.87999999999</v>
      </c>
      <c r="AS31" s="311">
        <f>AT$3</f>
        <v>0.65100000000000002</v>
      </c>
      <c r="AT31" s="291">
        <f t="shared" si="24"/>
        <v>80375.636879999991</v>
      </c>
      <c r="AV31" s="297">
        <f>$F$29</f>
        <v>123464.87999999999</v>
      </c>
      <c r="AW31" s="311">
        <f>AX$3</f>
        <v>0.75100000000000011</v>
      </c>
      <c r="AX31" s="291">
        <f t="shared" si="25"/>
        <v>92722.124880000003</v>
      </c>
      <c r="AZ31" s="297">
        <f>$F$29</f>
        <v>123464.87999999999</v>
      </c>
      <c r="BA31" s="311">
        <f>BB$3</f>
        <v>0</v>
      </c>
      <c r="BB31" s="291">
        <f t="shared" si="26"/>
        <v>0</v>
      </c>
      <c r="BC31" s="391"/>
      <c r="BD31" s="297">
        <f>$F$29</f>
        <v>123464.87999999999</v>
      </c>
      <c r="BE31" s="311">
        <f>BF$3</f>
        <v>0</v>
      </c>
      <c r="BF31" s="291">
        <f t="shared" si="27"/>
        <v>0</v>
      </c>
    </row>
    <row r="32" spans="2:58" x14ac:dyDescent="0.2">
      <c r="B32" s="517"/>
      <c r="C32" s="313" t="s">
        <v>214</v>
      </c>
      <c r="D32" s="314">
        <v>27870.99</v>
      </c>
      <c r="E32" s="315">
        <v>1</v>
      </c>
      <c r="F32" s="314">
        <f t="shared" si="14"/>
        <v>27870.99</v>
      </c>
      <c r="H32" s="314">
        <f>$D$32*(1+J$2)</f>
        <v>27870.99</v>
      </c>
      <c r="I32" s="315">
        <v>1</v>
      </c>
      <c r="J32" s="314">
        <f>H32*I32</f>
        <v>27870.99</v>
      </c>
      <c r="L32" s="314">
        <f>$D$32*(1+N$2)</f>
        <v>27870.99</v>
      </c>
      <c r="M32" s="315">
        <v>1</v>
      </c>
      <c r="N32" s="314">
        <f>L32*M32</f>
        <v>27870.99</v>
      </c>
      <c r="P32" s="314">
        <f>$D$32*(1+R$2)</f>
        <v>34838.737500000003</v>
      </c>
      <c r="Q32" s="315">
        <v>1</v>
      </c>
      <c r="R32" s="314">
        <f>P32*Q32</f>
        <v>34838.737500000003</v>
      </c>
      <c r="T32" s="314">
        <f>$D$32*(1+V$2)</f>
        <v>34838.737500000003</v>
      </c>
      <c r="U32" s="315">
        <v>1</v>
      </c>
      <c r="V32" s="314">
        <f>T32*U32</f>
        <v>34838.737500000003</v>
      </c>
      <c r="X32" s="314">
        <f>$D$32*(1+Z$2)</f>
        <v>34838.737500000003</v>
      </c>
      <c r="Y32" s="315">
        <v>1</v>
      </c>
      <c r="Z32" s="314">
        <f>X32*Y32</f>
        <v>34838.737500000003</v>
      </c>
      <c r="AB32" s="314">
        <f>$D$32*(1+AD$2)</f>
        <v>42503.259749999997</v>
      </c>
      <c r="AC32" s="315">
        <v>1</v>
      </c>
      <c r="AD32" s="314">
        <f>AB32*AC32</f>
        <v>42503.259749999997</v>
      </c>
      <c r="AF32" s="314">
        <f>$D$32*(1+AH$2)</f>
        <v>42503.259749999997</v>
      </c>
      <c r="AG32" s="315">
        <v>1</v>
      </c>
      <c r="AH32" s="314">
        <f>AF32*AG32</f>
        <v>42503.259749999997</v>
      </c>
      <c r="AJ32" s="314">
        <f>$D$32*(1+AL$2)</f>
        <v>42503.259749999997</v>
      </c>
      <c r="AK32" s="315">
        <v>1</v>
      </c>
      <c r="AL32" s="314">
        <f>AJ32*AK32</f>
        <v>42503.259749999997</v>
      </c>
      <c r="AN32" s="314">
        <f>$D$32*(1+AP$2)</f>
        <v>57999.530190000005</v>
      </c>
      <c r="AO32" s="315">
        <v>1</v>
      </c>
      <c r="AP32" s="314">
        <f>AN32*AO32</f>
        <v>57999.530190000005</v>
      </c>
      <c r="AR32" s="314">
        <f>$D$32*(1+AT$2)</f>
        <v>57999.530190000005</v>
      </c>
      <c r="AS32" s="315">
        <v>1</v>
      </c>
      <c r="AT32" s="314">
        <f>AR32*AS32</f>
        <v>57999.530190000005</v>
      </c>
      <c r="AV32" s="314">
        <f>$D$32*(1+AX$2)</f>
        <v>57999.530190000005</v>
      </c>
      <c r="AW32" s="315">
        <v>1</v>
      </c>
      <c r="AX32" s="314">
        <f>AV32*AW32</f>
        <v>57999.530190000005</v>
      </c>
      <c r="AZ32" s="314">
        <f>$D$32*(1+BB$2)</f>
        <v>78930.643679999994</v>
      </c>
      <c r="BA32" s="315">
        <v>1</v>
      </c>
      <c r="BB32" s="314">
        <f>AZ32*BA32</f>
        <v>78930.643679999994</v>
      </c>
      <c r="BC32" s="391"/>
      <c r="BD32" s="314">
        <f>$D$32*(1+BF$2)</f>
        <v>78930.643679999994</v>
      </c>
      <c r="BE32" s="315">
        <v>1</v>
      </c>
      <c r="BF32" s="314">
        <f>BD32*BE32</f>
        <v>78930.643679999994</v>
      </c>
    </row>
    <row r="33" spans="2:58" x14ac:dyDescent="0.2">
      <c r="B33" s="516"/>
      <c r="C33" s="299" t="s">
        <v>215</v>
      </c>
      <c r="D33" s="300"/>
      <c r="E33" s="300"/>
      <c r="F33" s="301">
        <f>SUM(F29:F32)</f>
        <v>151335.87</v>
      </c>
      <c r="H33" s="300"/>
      <c r="I33" s="300"/>
      <c r="J33" s="301">
        <f>SUM(J29:J32)</f>
        <v>214321.25429166059</v>
      </c>
      <c r="L33" s="300"/>
      <c r="M33" s="300"/>
      <c r="N33" s="301">
        <f>SUM(N29:N32)</f>
        <v>294484.47066286497</v>
      </c>
      <c r="O33" s="302">
        <f>+N33/F33</f>
        <v>1.9459000081267248</v>
      </c>
      <c r="P33" s="300"/>
      <c r="Q33" s="300"/>
      <c r="R33" s="301">
        <f>SUM(R29:R32)</f>
        <v>246429.27776514599</v>
      </c>
      <c r="S33" s="302"/>
      <c r="T33" s="300"/>
      <c r="U33" s="300"/>
      <c r="V33" s="301">
        <f>SUM(V29:V32)</f>
        <v>303688.71803029202</v>
      </c>
      <c r="X33" s="300"/>
      <c r="Y33" s="300"/>
      <c r="Z33" s="301">
        <f>SUM(Z29:Z32)</f>
        <v>346633.29822915152</v>
      </c>
      <c r="AB33" s="300"/>
      <c r="AC33" s="300"/>
      <c r="AD33" s="301">
        <f>SUM(AD29:AD32)</f>
        <v>316676.36214771902</v>
      </c>
      <c r="AF33" s="300"/>
      <c r="AG33" s="300"/>
      <c r="AH33" s="301">
        <f>SUM(AH29:AH32)</f>
        <v>448945.66916020622</v>
      </c>
      <c r="AJ33" s="300"/>
      <c r="AK33" s="300"/>
      <c r="AL33" s="301">
        <f>SUM(AL29:AL32)</f>
        <v>549149.68962421175</v>
      </c>
      <c r="AN33" s="300"/>
      <c r="AO33" s="300"/>
      <c r="AP33" s="301">
        <f>SUM(AP29:AP32)</f>
        <v>587484.88113209489</v>
      </c>
      <c r="AQ33" s="304"/>
      <c r="AR33" s="300"/>
      <c r="AS33" s="300"/>
      <c r="AT33" s="301">
        <f>SUM(AT29:AT32)</f>
        <v>687688.90159610054</v>
      </c>
      <c r="AV33" s="300"/>
      <c r="AW33" s="300"/>
      <c r="AX33" s="301">
        <f>SUM(AX29:AX32)</f>
        <v>744948.3418612465</v>
      </c>
      <c r="AZ33" s="300"/>
      <c r="BA33" s="300"/>
      <c r="BB33" s="301">
        <f>SUM(BB29:BB32)</f>
        <v>428583.18383999995</v>
      </c>
      <c r="BC33" s="304"/>
      <c r="BD33" s="300"/>
      <c r="BE33" s="300"/>
      <c r="BF33" s="301">
        <f>SUM(BF29:BF32)</f>
        <v>428583.18383999995</v>
      </c>
    </row>
    <row r="34" spans="2:58" x14ac:dyDescent="0.2">
      <c r="D34" s="305"/>
      <c r="E34" s="305"/>
      <c r="H34" s="305"/>
      <c r="I34" s="305"/>
      <c r="J34" s="312">
        <f>+J33/F33</f>
        <v>1.416196003575759</v>
      </c>
      <c r="L34" s="305"/>
      <c r="M34" s="305"/>
      <c r="N34" s="312">
        <f>+N33/J33</f>
        <v>1.3740329751062099</v>
      </c>
      <c r="P34" s="305"/>
      <c r="Q34" s="305"/>
      <c r="R34" s="312">
        <f>+R33/N33</f>
        <v>0.83681586743929171</v>
      </c>
      <c r="T34" s="305"/>
      <c r="U34" s="305"/>
      <c r="V34" s="312">
        <f>+V33/R33</f>
        <v>1.2323564829002009</v>
      </c>
      <c r="X34" s="305"/>
      <c r="Y34" s="305"/>
      <c r="Z34" s="312">
        <f>+Z33/V33</f>
        <v>1.141409863617574</v>
      </c>
      <c r="AB34" s="305"/>
      <c r="AC34" s="305"/>
      <c r="AD34" s="312">
        <f>+AD33/Z33</f>
        <v>0.91357744269095398</v>
      </c>
      <c r="AF34" s="305"/>
      <c r="AG34" s="305"/>
      <c r="AH34" s="312">
        <f>+AH33/AD33</f>
        <v>1.4176797602303766</v>
      </c>
      <c r="AJ34" s="305"/>
      <c r="AK34" s="305"/>
      <c r="AL34" s="312">
        <f>+AL33/AH33</f>
        <v>1.2231985457203458</v>
      </c>
      <c r="AN34" s="305"/>
      <c r="AO34" s="305"/>
      <c r="AP34" s="312">
        <f>+AP33/AL33</f>
        <v>1.0698082731033067</v>
      </c>
      <c r="AQ34" s="304"/>
      <c r="AR34" s="305"/>
      <c r="AS34" s="305"/>
      <c r="AT34" s="312">
        <f>+AT33/AP33</f>
        <v>1.1705644241787305</v>
      </c>
      <c r="AV34" s="305"/>
      <c r="AW34" s="305"/>
      <c r="AX34" s="312">
        <f>+AX33/AT33</f>
        <v>1.0832635805700062</v>
      </c>
      <c r="AZ34" s="305"/>
      <c r="BA34" s="305"/>
      <c r="BB34" s="312">
        <f>+BB33/AX33</f>
        <v>0.57531933391406553</v>
      </c>
      <c r="BC34" s="391"/>
      <c r="BD34" s="305"/>
      <c r="BE34" s="305"/>
      <c r="BF34" s="312">
        <f>+BF33/BB33</f>
        <v>1</v>
      </c>
    </row>
    <row r="35" spans="2:58" x14ac:dyDescent="0.2">
      <c r="B35" s="514"/>
      <c r="C35" s="285" t="s">
        <v>216</v>
      </c>
      <c r="D35" s="287">
        <f>F25</f>
        <v>449129.52265146008</v>
      </c>
      <c r="E35" s="316">
        <f>'MO 2023-24'!$D$74</f>
        <v>0.40755372923600003</v>
      </c>
      <c r="F35" s="287">
        <f>D35*E35</f>
        <v>183044.41186658709</v>
      </c>
      <c r="H35" s="287">
        <f>J25</f>
        <v>449129.52265146008</v>
      </c>
      <c r="I35" s="316">
        <f>'MO 2023-24'!$D$74</f>
        <v>0.40755372923600003</v>
      </c>
      <c r="J35" s="287">
        <f>H35*I35</f>
        <v>183044.41186658709</v>
      </c>
      <c r="L35" s="287">
        <f>N25</f>
        <v>449129.52265146008</v>
      </c>
      <c r="M35" s="316">
        <f>'MO 2023-24'!$D$74</f>
        <v>0.40755372923600003</v>
      </c>
      <c r="N35" s="287">
        <f>L35*M35</f>
        <v>183044.41186658709</v>
      </c>
      <c r="P35" s="287">
        <f>R25</f>
        <v>561411.90331432503</v>
      </c>
      <c r="Q35" s="316">
        <f>'MO 2023-24'!$D$74</f>
        <v>0.40755372923600003</v>
      </c>
      <c r="R35" s="287">
        <f>P35*Q35</f>
        <v>228805.51483323384</v>
      </c>
      <c r="T35" s="287">
        <f>V25</f>
        <v>561411.90331432503</v>
      </c>
      <c r="U35" s="316">
        <f>'MO 2023-24'!$D$74</f>
        <v>0.40755372923600003</v>
      </c>
      <c r="V35" s="287">
        <f>T35*U35</f>
        <v>228805.51483323384</v>
      </c>
      <c r="X35" s="287">
        <f>Z25</f>
        <v>561411.90331432503</v>
      </c>
      <c r="Y35" s="316">
        <f>'MO 2023-24'!$D$74</f>
        <v>0.40755372923600003</v>
      </c>
      <c r="Z35" s="287">
        <f>X35*Y35</f>
        <v>228805.51483323384</v>
      </c>
      <c r="AB35" s="287">
        <f>AD25</f>
        <v>684922.52204347658</v>
      </c>
      <c r="AC35" s="316">
        <f>'MO 2023-24'!$D$74</f>
        <v>0.40755372923600003</v>
      </c>
      <c r="AD35" s="287">
        <f>AB35*AC35</f>
        <v>279142.72809654532</v>
      </c>
      <c r="AF35" s="287">
        <f>AH25</f>
        <v>684922.52204347658</v>
      </c>
      <c r="AG35" s="316">
        <f>'MO 2023-24'!$D$74</f>
        <v>0.40755372923600003</v>
      </c>
      <c r="AH35" s="287">
        <f>AF35*AG35</f>
        <v>279142.72809654532</v>
      </c>
      <c r="AJ35" s="287">
        <f>AL25</f>
        <v>684922.52204347658</v>
      </c>
      <c r="AK35" s="316">
        <f>'MO 2023-24'!$D$74</f>
        <v>0.40755372923600003</v>
      </c>
      <c r="AL35" s="287">
        <f>AJ35*AK35</f>
        <v>279142.72809654532</v>
      </c>
      <c r="AN35" s="287">
        <f>AP25</f>
        <v>934638.53663768829</v>
      </c>
      <c r="AO35" s="316">
        <f>'MO 2023-24'!$D$74</f>
        <v>0.40755372923600003</v>
      </c>
      <c r="AP35" s="287">
        <f>AN35*AO35</f>
        <v>380915.42109436769</v>
      </c>
      <c r="AQ35" s="304"/>
      <c r="AR35" s="287">
        <f>AT25</f>
        <v>934638.53663768829</v>
      </c>
      <c r="AS35" s="316">
        <f>'MO 2023-24'!$D$74</f>
        <v>0.40755372923600003</v>
      </c>
      <c r="AT35" s="287">
        <f>AR35*AS35</f>
        <v>380915.42109436769</v>
      </c>
      <c r="AV35" s="287">
        <f>AX25</f>
        <v>934638.53663768829</v>
      </c>
      <c r="AW35" s="316">
        <f>'MO 2023-24'!$D$74</f>
        <v>0.40755372923600003</v>
      </c>
      <c r="AX35" s="287">
        <f>AV35*AW35</f>
        <v>380915.42109436769</v>
      </c>
      <c r="AZ35" s="287">
        <f>BB25</f>
        <v>1271934.8081489347</v>
      </c>
      <c r="BA35" s="316">
        <f>'MO 2023-24'!$D$74</f>
        <v>0.40755372923600003</v>
      </c>
      <c r="BB35" s="287">
        <f>AZ35*BA35</f>
        <v>518381.77440617461</v>
      </c>
      <c r="BC35" s="391"/>
      <c r="BD35" s="287">
        <f>BF25</f>
        <v>1271934.8081489347</v>
      </c>
      <c r="BE35" s="316">
        <f>'MO 2023-24'!$D$74</f>
        <v>0.40755372923600003</v>
      </c>
      <c r="BF35" s="287">
        <f>BD35*BE35</f>
        <v>518381.77440617461</v>
      </c>
    </row>
    <row r="36" spans="2:58" x14ac:dyDescent="0.2">
      <c r="B36" s="518"/>
      <c r="C36" s="288" t="s">
        <v>217</v>
      </c>
      <c r="D36" s="291">
        <f>F30</f>
        <v>0</v>
      </c>
      <c r="E36" s="317">
        <f>'MO 2023-24'!$J$74</f>
        <v>0.20783551299200004</v>
      </c>
      <c r="F36" s="291">
        <f>D36*E36</f>
        <v>0</v>
      </c>
      <c r="H36" s="291">
        <f>J30</f>
        <v>49404.247491660608</v>
      </c>
      <c r="I36" s="317">
        <f>'MO 2023-24'!$J$74</f>
        <v>0.20783551299200004</v>
      </c>
      <c r="J36" s="291">
        <f>H36*I36</f>
        <v>10267.957121413014</v>
      </c>
      <c r="L36" s="291">
        <f>N30</f>
        <v>112282.38066286501</v>
      </c>
      <c r="M36" s="317">
        <f>'MO 2023-24'!$J$74</f>
        <v>0.20783551299200004</v>
      </c>
      <c r="N36" s="291">
        <f>L36*M36</f>
        <v>23336.266185029574</v>
      </c>
      <c r="P36" s="291">
        <f>R30</f>
        <v>44912.952265146014</v>
      </c>
      <c r="Q36" s="317">
        <f>'MO 2023-24'!$J$74</f>
        <v>0.20783551299200004</v>
      </c>
      <c r="R36" s="291">
        <f>P36*Q36</f>
        <v>9334.5064740118323</v>
      </c>
      <c r="T36" s="291">
        <f>V30</f>
        <v>89825.904530292028</v>
      </c>
      <c r="U36" s="317">
        <f>'MO 2023-24'!$J$74</f>
        <v>0.20783551299200004</v>
      </c>
      <c r="V36" s="291">
        <f>T36*U36</f>
        <v>18669.012948023665</v>
      </c>
      <c r="X36" s="291">
        <f>Z30</f>
        <v>123510.61872915154</v>
      </c>
      <c r="Y36" s="317">
        <f>'MO 2023-24'!$J$74</f>
        <v>0.20783551299200004</v>
      </c>
      <c r="Z36" s="291">
        <f>X36*Y36</f>
        <v>25669.892803532537</v>
      </c>
      <c r="AB36" s="291">
        <f>AD30</f>
        <v>67369.428397719006</v>
      </c>
      <c r="AC36" s="317">
        <f>'MO 2023-24'!$J$74</f>
        <v>0.20783551299200004</v>
      </c>
      <c r="AD36" s="291">
        <f>AB36*AC36</f>
        <v>14001.759711017745</v>
      </c>
      <c r="AF36" s="291">
        <f>AH30</f>
        <v>171118.34813020629</v>
      </c>
      <c r="AG36" s="317">
        <f>'MO 2023-24'!$J$74</f>
        <v>0.20783551299200004</v>
      </c>
      <c r="AH36" s="291">
        <f>AF36*AG36</f>
        <v>35564.469665985074</v>
      </c>
      <c r="AJ36" s="291">
        <f>AL30</f>
        <v>249716.01459421183</v>
      </c>
      <c r="AK36" s="317">
        <f>'MO 2023-24'!$J$74</f>
        <v>0.20783551299200004</v>
      </c>
      <c r="AL36" s="291">
        <f>AJ36*AK36</f>
        <v>51899.855995505786</v>
      </c>
      <c r="AN36" s="291">
        <f>AP30</f>
        <v>213785.65278209499</v>
      </c>
      <c r="AO36" s="317">
        <f>'MO 2023-24'!$J$74</f>
        <v>0.20783551299200004</v>
      </c>
      <c r="AP36" s="291">
        <f>AN36*AO36</f>
        <v>44432.250816296313</v>
      </c>
      <c r="AQ36" s="304"/>
      <c r="AR36" s="291">
        <f>AT30</f>
        <v>292383.31924610049</v>
      </c>
      <c r="AS36" s="317">
        <f>'MO 2023-24'!$J$74</f>
        <v>0.20783551299200004</v>
      </c>
      <c r="AT36" s="291">
        <f>AR36*AS36</f>
        <v>60767.637145817011</v>
      </c>
      <c r="AV36" s="291">
        <f>AX30</f>
        <v>337296.27151124657</v>
      </c>
      <c r="AW36" s="317">
        <f>'MO 2023-24'!$J$74</f>
        <v>0.20783551299200004</v>
      </c>
      <c r="AX36" s="291">
        <f>AV36*AW36</f>
        <v>70102.143619828857</v>
      </c>
      <c r="AZ36" s="291">
        <f>BB30</f>
        <v>0</v>
      </c>
      <c r="BA36" s="317">
        <f>'MO 2023-24'!$J$74</f>
        <v>0.20783551299200004</v>
      </c>
      <c r="BB36" s="291">
        <f>AZ36*BA36</f>
        <v>0</v>
      </c>
      <c r="BC36" s="391"/>
      <c r="BD36" s="291">
        <f>BF30</f>
        <v>0</v>
      </c>
      <c r="BE36" s="317">
        <f>'MO 2023-24'!$J$74</f>
        <v>0.20783551299200004</v>
      </c>
      <c r="BF36" s="291">
        <f>BD36*BE36</f>
        <v>0</v>
      </c>
    </row>
    <row r="37" spans="2:58" x14ac:dyDescent="0.2">
      <c r="B37" s="518"/>
      <c r="C37" s="313" t="s">
        <v>218</v>
      </c>
      <c r="D37" s="314">
        <f>F29+F31+F32</f>
        <v>151335.87</v>
      </c>
      <c r="E37" s="318">
        <f>'MO 2023-24'!$C$76</f>
        <v>2.8400000000000002E-2</v>
      </c>
      <c r="F37" s="314">
        <f>D37*E37</f>
        <v>4297.9387079999997</v>
      </c>
      <c r="H37" s="314">
        <f>J29+J31+J32</f>
        <v>164917.00679999997</v>
      </c>
      <c r="I37" s="318">
        <f>'MO 2023-24'!$C$76</f>
        <v>2.8400000000000002E-2</v>
      </c>
      <c r="J37" s="314">
        <f>H37*I37</f>
        <v>4683.6429931199991</v>
      </c>
      <c r="L37" s="314">
        <f>N29+N31+N32</f>
        <v>182202.08999999997</v>
      </c>
      <c r="M37" s="318">
        <f>'MO 2023-24'!$C$76</f>
        <v>2.8400000000000002E-2</v>
      </c>
      <c r="N37" s="314">
        <f>L37*M37</f>
        <v>5174.5393559999993</v>
      </c>
      <c r="P37" s="314">
        <f>R29+R31+R32</f>
        <v>201516.32549999998</v>
      </c>
      <c r="Q37" s="318">
        <f>'MO 2023-24'!$C$76</f>
        <v>2.8400000000000002E-2</v>
      </c>
      <c r="R37" s="314">
        <f>P37*Q37</f>
        <v>5723.0636441999995</v>
      </c>
      <c r="T37" s="314">
        <f>V29+V31+V32</f>
        <v>213862.81349999999</v>
      </c>
      <c r="U37" s="318">
        <f>'MO 2023-24'!$C$76</f>
        <v>2.8400000000000002E-2</v>
      </c>
      <c r="V37" s="314">
        <f>T37*U37</f>
        <v>6073.7039033999999</v>
      </c>
      <c r="X37" s="314">
        <f>Z29+Z31+Z32</f>
        <v>223122.67949999997</v>
      </c>
      <c r="Y37" s="318">
        <f>'MO 2023-24'!$C$76</f>
        <v>2.8400000000000002E-2</v>
      </c>
      <c r="Z37" s="314">
        <f>X37*Y37</f>
        <v>6336.6840977999991</v>
      </c>
      <c r="AB37" s="314">
        <f>AD29+AD31+AD32</f>
        <v>249306.93374999994</v>
      </c>
      <c r="AC37" s="318">
        <f>'MO 2023-24'!$C$76</f>
        <v>2.8400000000000002E-2</v>
      </c>
      <c r="AD37" s="314">
        <f>AB37*AC37</f>
        <v>7080.3169184999988</v>
      </c>
      <c r="AF37" s="314">
        <f>AH29+AH31+AH32</f>
        <v>277827.32102999999</v>
      </c>
      <c r="AG37" s="318">
        <f>'MO 2023-24'!$C$76</f>
        <v>2.8400000000000002E-2</v>
      </c>
      <c r="AH37" s="314">
        <f>AF37*AG37</f>
        <v>7890.2959172520004</v>
      </c>
      <c r="AJ37" s="314">
        <f>AL29+AL31+AL32</f>
        <v>299433.67502999993</v>
      </c>
      <c r="AK37" s="318">
        <f>'MO 2023-24'!$C$76</f>
        <v>2.8400000000000002E-2</v>
      </c>
      <c r="AL37" s="314">
        <f>AJ37*AK37</f>
        <v>8503.9163708519991</v>
      </c>
      <c r="AN37" s="314">
        <f>AP29+AP31+AP32</f>
        <v>373699.22835000005</v>
      </c>
      <c r="AO37" s="318">
        <f>'MO 2023-24'!$C$76</f>
        <v>2.8400000000000002E-2</v>
      </c>
      <c r="AP37" s="314">
        <f>AN37*AO37</f>
        <v>10613.058085140003</v>
      </c>
      <c r="AQ37" s="304"/>
      <c r="AR37" s="314">
        <f>AT29+AT31+AT32</f>
        <v>395305.58235000004</v>
      </c>
      <c r="AS37" s="318">
        <f>'MO 2023-24'!$C$76</f>
        <v>2.8400000000000002E-2</v>
      </c>
      <c r="AT37" s="314">
        <f>AR37*AS37</f>
        <v>11226.678538740001</v>
      </c>
      <c r="AV37" s="314">
        <f>AX29+AX31+AX32</f>
        <v>407652.07035000005</v>
      </c>
      <c r="AW37" s="318">
        <f>'MO 2023-24'!$C$76</f>
        <v>2.8400000000000002E-2</v>
      </c>
      <c r="AX37" s="314">
        <f>AV37*AW37</f>
        <v>11577.318797940003</v>
      </c>
      <c r="AZ37" s="314">
        <f>BB29+BB31+BB32</f>
        <v>428583.18383999995</v>
      </c>
      <c r="BA37" s="318">
        <f>'MO 2023-24'!$C$76</f>
        <v>2.8400000000000002E-2</v>
      </c>
      <c r="BB37" s="314">
        <f>AZ37*BA37</f>
        <v>12171.762421055999</v>
      </c>
      <c r="BC37" s="391"/>
      <c r="BD37" s="314">
        <f>BF29+BF31+BF32</f>
        <v>428583.18383999995</v>
      </c>
      <c r="BE37" s="318">
        <f>'MO 2023-24'!$C$76</f>
        <v>2.8400000000000002E-2</v>
      </c>
      <c r="BF37" s="314">
        <f>BD37*BE37</f>
        <v>12171.762421055999</v>
      </c>
    </row>
    <row r="38" spans="2:58" x14ac:dyDescent="0.2">
      <c r="B38" s="516"/>
      <c r="C38" s="299" t="s">
        <v>219</v>
      </c>
      <c r="D38" s="300"/>
      <c r="E38" s="300"/>
      <c r="F38" s="319">
        <f>SUM(F35:F37)</f>
        <v>187342.35057458709</v>
      </c>
      <c r="H38" s="300"/>
      <c r="I38" s="300"/>
      <c r="J38" s="319">
        <f>SUM(J35:J37)</f>
        <v>197996.01198112013</v>
      </c>
      <c r="L38" s="300"/>
      <c r="M38" s="300"/>
      <c r="N38" s="319">
        <f>SUM(N35:N37)</f>
        <v>211555.21740761667</v>
      </c>
      <c r="P38" s="300"/>
      <c r="Q38" s="300"/>
      <c r="R38" s="319">
        <f>SUM(R35:R37)</f>
        <v>243863.08495144569</v>
      </c>
      <c r="T38" s="300"/>
      <c r="U38" s="300"/>
      <c r="V38" s="319">
        <f>SUM(V35:V37)</f>
        <v>253548.23168465751</v>
      </c>
      <c r="X38" s="300"/>
      <c r="Y38" s="300"/>
      <c r="Z38" s="319">
        <f>SUM(Z35:Z37)</f>
        <v>260812.09173456638</v>
      </c>
      <c r="AB38" s="300"/>
      <c r="AC38" s="300"/>
      <c r="AD38" s="319">
        <f>SUM(AD35:AD37)</f>
        <v>300224.80472606304</v>
      </c>
      <c r="AF38" s="300"/>
      <c r="AG38" s="300"/>
      <c r="AH38" s="319">
        <f>SUM(AH35:AH37)</f>
        <v>322597.49367978243</v>
      </c>
      <c r="AJ38" s="300"/>
      <c r="AK38" s="300"/>
      <c r="AL38" s="319">
        <f>SUM(AL35:AL37)</f>
        <v>339546.50046290312</v>
      </c>
      <c r="AN38" s="300"/>
      <c r="AO38" s="300"/>
      <c r="AP38" s="319">
        <f>SUM(AP35:AP37)</f>
        <v>435960.72999580402</v>
      </c>
      <c r="AQ38" s="304"/>
      <c r="AR38" s="300"/>
      <c r="AS38" s="300"/>
      <c r="AT38" s="319">
        <f>SUM(AT35:AT37)</f>
        <v>452909.73677892471</v>
      </c>
      <c r="AV38" s="300"/>
      <c r="AW38" s="300"/>
      <c r="AX38" s="319">
        <f>SUM(AX35:AX37)</f>
        <v>462594.88351213653</v>
      </c>
      <c r="AZ38" s="300"/>
      <c r="BA38" s="300"/>
      <c r="BB38" s="319">
        <f>SUM(BB35:BB37)</f>
        <v>530553.53682723059</v>
      </c>
      <c r="BC38" s="304"/>
      <c r="BD38" s="300"/>
      <c r="BE38" s="300"/>
      <c r="BF38" s="319">
        <f>SUM(BF35:BF37)</f>
        <v>530553.53682723059</v>
      </c>
    </row>
    <row r="39" spans="2:58" x14ac:dyDescent="0.2">
      <c r="D39" s="305"/>
      <c r="E39" s="305"/>
      <c r="H39" s="305"/>
      <c r="I39" s="305"/>
      <c r="L39" s="305"/>
      <c r="M39" s="305"/>
      <c r="P39" s="305"/>
      <c r="Q39" s="305"/>
      <c r="T39" s="305"/>
      <c r="U39" s="305"/>
      <c r="X39" s="305"/>
      <c r="Y39" s="305"/>
      <c r="AB39" s="305"/>
      <c r="AC39" s="305"/>
      <c r="AF39" s="305"/>
      <c r="AG39" s="305"/>
      <c r="AJ39" s="305"/>
      <c r="AK39" s="305"/>
      <c r="AN39" s="305"/>
      <c r="AO39" s="305"/>
      <c r="AR39" s="305"/>
      <c r="AS39" s="305"/>
      <c r="AV39" s="305"/>
      <c r="AW39" s="305"/>
      <c r="AZ39" s="305"/>
      <c r="BA39" s="305"/>
      <c r="BC39" s="391"/>
      <c r="BD39" s="305"/>
      <c r="BE39" s="305"/>
    </row>
    <row r="40" spans="2:58" x14ac:dyDescent="0.2">
      <c r="B40" s="320" t="s">
        <v>220</v>
      </c>
      <c r="C40" s="321"/>
      <c r="D40" s="322"/>
      <c r="E40" s="322"/>
      <c r="F40" s="323">
        <f>F25+F33+F38</f>
        <v>787807.74322604726</v>
      </c>
      <c r="H40" s="322"/>
      <c r="I40" s="322"/>
      <c r="J40" s="323">
        <f>J25+J33+J38</f>
        <v>861446.78892424074</v>
      </c>
      <c r="L40" s="322"/>
      <c r="M40" s="322"/>
      <c r="N40" s="323">
        <f>N25+N33+N38</f>
        <v>955169.21072194178</v>
      </c>
      <c r="P40" s="322"/>
      <c r="Q40" s="322"/>
      <c r="R40" s="323">
        <f>R25+R33+R38</f>
        <v>1051704.2660309167</v>
      </c>
      <c r="T40" s="322"/>
      <c r="U40" s="322"/>
      <c r="V40" s="323">
        <f>V25+V33+V38</f>
        <v>1118648.8530292746</v>
      </c>
      <c r="X40" s="322"/>
      <c r="Y40" s="322"/>
      <c r="Z40" s="323">
        <f>Z25+Z33+Z38</f>
        <v>1168857.2932780429</v>
      </c>
      <c r="AB40" s="322"/>
      <c r="AC40" s="322"/>
      <c r="AD40" s="323">
        <f>AD25+AD33+AD38</f>
        <v>1301823.6889172588</v>
      </c>
      <c r="AE40" s="303">
        <f>+AD40/F40</f>
        <v>1.6524636881408816</v>
      </c>
      <c r="AF40" s="322"/>
      <c r="AG40" s="322"/>
      <c r="AH40" s="323">
        <f>AH25+AH33+AH38</f>
        <v>1456465.6848834651</v>
      </c>
      <c r="AJ40" s="322"/>
      <c r="AK40" s="322"/>
      <c r="AL40" s="323">
        <f>AL25+AL33+AL38</f>
        <v>1573618.7121305915</v>
      </c>
      <c r="AN40" s="322"/>
      <c r="AO40" s="322"/>
      <c r="AP40" s="323">
        <f>AP25+AP33+AP38</f>
        <v>1958084.1477655871</v>
      </c>
      <c r="AR40" s="322"/>
      <c r="AS40" s="322"/>
      <c r="AT40" s="323">
        <f>AT25+AT33+AT38</f>
        <v>2075237.1750127135</v>
      </c>
      <c r="AV40" s="322"/>
      <c r="AW40" s="322"/>
      <c r="AX40" s="323">
        <f>AX25+AX33+AX38</f>
        <v>2142181.7620110712</v>
      </c>
      <c r="AZ40" s="322"/>
      <c r="BA40" s="322"/>
      <c r="BB40" s="323">
        <f>BB25+BB33+BB38</f>
        <v>2231071.5288161654</v>
      </c>
      <c r="BC40" s="304"/>
      <c r="BD40" s="322"/>
      <c r="BE40" s="322"/>
      <c r="BF40" s="323">
        <f>BF25+BF33+BF38</f>
        <v>2231071.5288161654</v>
      </c>
    </row>
    <row r="42" spans="2:58" x14ac:dyDescent="0.2">
      <c r="F42" s="324">
        <f>F40/$F$40-1</f>
        <v>0</v>
      </c>
      <c r="J42" s="324">
        <f>J40/F40-1</f>
        <v>9.3473371303313124E-2</v>
      </c>
      <c r="N42" s="324">
        <f>N40/J40-1</f>
        <v>0.10879653044471826</v>
      </c>
      <c r="R42" s="324">
        <f>R40/N40-1</f>
        <v>0.10106592028443973</v>
      </c>
      <c r="V42" s="324">
        <f>V40/R40-1</f>
        <v>6.3653432966477963E-2</v>
      </c>
      <c r="Z42" s="324">
        <f>Z40/V40-1</f>
        <v>4.488311064978534E-2</v>
      </c>
      <c r="AD42" s="324">
        <f>AD40/Z40-1</f>
        <v>0.11375759590489753</v>
      </c>
      <c r="AH42" s="324">
        <f>AH40/AD40-1</f>
        <v>0.11878874019785557</v>
      </c>
      <c r="AL42" s="324">
        <f>AL40/AH40-1</f>
        <v>8.0436517291857967E-2</v>
      </c>
      <c r="AP42" s="324">
        <f>AP40/AL40-1</f>
        <v>0.24431930852833528</v>
      </c>
      <c r="AQ42" s="279">
        <f>(AP40-AL40)/AL40</f>
        <v>0.24431930852833525</v>
      </c>
      <c r="AT42" s="324">
        <f>AT40/AP40-1</f>
        <v>5.9830435469697463E-2</v>
      </c>
      <c r="AX42" s="324">
        <f>AX40/AT40-1</f>
        <v>3.2258764349644808E-2</v>
      </c>
      <c r="BB42" s="324">
        <f>BB40/AX40-1</f>
        <v>4.1494969465917242E-2</v>
      </c>
      <c r="BF42" s="324">
        <f>BF40/BB40-1</f>
        <v>0</v>
      </c>
    </row>
    <row r="44" spans="2:58" x14ac:dyDescent="0.2">
      <c r="F44" s="325">
        <f>F40/$F$40-1</f>
        <v>0</v>
      </c>
      <c r="J44" s="325">
        <f>J40/$F$40-1</f>
        <v>9.3473371303313124E-2</v>
      </c>
      <c r="N44" s="325">
        <f>N40/$F$40-1</f>
        <v>0.21243948023480286</v>
      </c>
      <c r="R44" s="325">
        <f>R40/$F$40-1</f>
        <v>0.33497579209392092</v>
      </c>
      <c r="V44" s="325">
        <f>V40/$F$40-1</f>
        <v>0.41995158418784229</v>
      </c>
      <c r="Z44" s="325">
        <f>Z40/$F$40-1</f>
        <v>0.48368342825828292</v>
      </c>
      <c r="AD44" s="325">
        <f>AD40/$F$40-1</f>
        <v>0.65246368814088163</v>
      </c>
      <c r="AH44" s="325">
        <f>AH40/$F$40-1</f>
        <v>0.8487577678778393</v>
      </c>
      <c r="AL44" s="325">
        <f>AL40/$F$40-1</f>
        <v>0.99746540404220152</v>
      </c>
      <c r="AP44" s="325">
        <f>AP40/$F$40-1</f>
        <v>1.4854847703670639</v>
      </c>
      <c r="AT44" s="325">
        <f>AT40/$F$40-1</f>
        <v>1.6341924065314264</v>
      </c>
      <c r="AX44" s="325">
        <f>AX40/$F$40-1</f>
        <v>1.7191681986253475</v>
      </c>
      <c r="BB44" s="325">
        <f>BB40/$F$40-1</f>
        <v>1.8319999999999994</v>
      </c>
      <c r="BF44" s="325">
        <f>BF40/$F$40-1</f>
        <v>1.8319999999999994</v>
      </c>
    </row>
    <row r="46" spans="2:58" x14ac:dyDescent="0.2">
      <c r="J46" s="312"/>
      <c r="R46" s="312"/>
      <c r="AH46" s="327">
        <f>+AH40/Z40-1</f>
        <v>0.24605945760823267</v>
      </c>
    </row>
    <row r="47" spans="2:58" x14ac:dyDescent="0.2">
      <c r="F47" s="312">
        <f>+F33+F25</f>
        <v>600465.39265146013</v>
      </c>
      <c r="R47" s="312"/>
      <c r="AD47" s="312"/>
      <c r="AH47" s="312"/>
      <c r="AL47" s="312"/>
      <c r="AP47" s="312"/>
      <c r="AR47" s="281"/>
      <c r="AS47" s="281"/>
      <c r="AV47" s="281"/>
      <c r="AW47" s="281"/>
      <c r="AZ47" s="281"/>
      <c r="BA47" s="281"/>
      <c r="BD47" s="281"/>
      <c r="BE47" s="281"/>
    </row>
    <row r="48" spans="2:58" x14ac:dyDescent="0.2">
      <c r="R48" s="312"/>
      <c r="AD48" s="312"/>
      <c r="AH48" s="312"/>
      <c r="AL48" s="312"/>
      <c r="AP48" s="312"/>
    </row>
    <row r="49" spans="2:42" x14ac:dyDescent="0.2">
      <c r="AP49" s="324"/>
    </row>
    <row r="50" spans="2:42" ht="15" x14ac:dyDescent="0.25">
      <c r="B50"/>
      <c r="C50" s="519" t="s">
        <v>221</v>
      </c>
      <c r="D50" s="519"/>
      <c r="E50" s="519"/>
      <c r="F50" s="520"/>
      <c r="G50" s="520"/>
      <c r="H50"/>
      <c r="I50" s="520" t="s">
        <v>222</v>
      </c>
      <c r="J50" s="520"/>
      <c r="K50" s="520"/>
      <c r="L50" s="520"/>
      <c r="M50" s="520"/>
    </row>
    <row r="51" spans="2:42" ht="15" x14ac:dyDescent="0.25">
      <c r="B51"/>
      <c r="C51"/>
      <c r="D51"/>
      <c r="E51"/>
      <c r="F51"/>
      <c r="G51"/>
      <c r="H51"/>
      <c r="I51" s="9"/>
      <c r="J51" s="9"/>
      <c r="K51" s="9"/>
      <c r="L51" s="9"/>
      <c r="M51" s="9"/>
      <c r="P51" s="9"/>
      <c r="Q51" s="9"/>
      <c r="T51" s="9"/>
      <c r="U51" s="9"/>
      <c r="X51" s="9"/>
      <c r="Y51" s="9"/>
      <c r="Z51" s="327">
        <f>+Z40/J40</f>
        <v>1.3568537352582055</v>
      </c>
      <c r="AB51" s="9"/>
      <c r="AC51" s="9"/>
      <c r="AF51" s="9"/>
      <c r="AG51" s="9"/>
      <c r="AJ51" s="9"/>
      <c r="AK51" s="9"/>
      <c r="AN51" s="9"/>
      <c r="AO51" s="9"/>
    </row>
    <row r="52" spans="2:42" ht="15" x14ac:dyDescent="0.25">
      <c r="B52"/>
      <c r="C52"/>
      <c r="D52" s="328" t="s">
        <v>223</v>
      </c>
      <c r="E52"/>
      <c r="F52"/>
      <c r="G52" s="328" t="s">
        <v>224</v>
      </c>
      <c r="H52"/>
      <c r="I52"/>
      <c r="J52" s="328" t="s">
        <v>223</v>
      </c>
      <c r="K52"/>
      <c r="L52"/>
      <c r="M52" s="328" t="s">
        <v>224</v>
      </c>
      <c r="P52"/>
      <c r="Q52" s="329"/>
      <c r="T52"/>
      <c r="U52" s="329"/>
      <c r="X52"/>
      <c r="Y52" s="329"/>
      <c r="AB52"/>
      <c r="AC52" s="329"/>
      <c r="AF52"/>
      <c r="AG52" s="329"/>
      <c r="AJ52"/>
      <c r="AK52" s="329"/>
      <c r="AN52"/>
      <c r="AO52" s="329"/>
    </row>
    <row r="53" spans="2:42" ht="15" x14ac:dyDescent="0.25">
      <c r="B53"/>
      <c r="C53"/>
      <c r="D53" s="330">
        <f>D60+D56</f>
        <v>0.2707</v>
      </c>
      <c r="E53"/>
      <c r="F53"/>
      <c r="G53" s="330">
        <f>G60+G56</f>
        <v>0.2707</v>
      </c>
      <c r="H53"/>
      <c r="I53"/>
      <c r="J53" s="330">
        <f>J60+J56</f>
        <v>9.0400000000000008E-2</v>
      </c>
      <c r="K53"/>
      <c r="L53"/>
      <c r="M53" s="330">
        <f>M60+M56</f>
        <v>9.0400000000000008E-2</v>
      </c>
      <c r="P53"/>
      <c r="Q53" s="331"/>
      <c r="T53"/>
      <c r="U53" s="331"/>
      <c r="X53"/>
      <c r="Y53" s="331"/>
      <c r="AB53"/>
      <c r="AC53" s="331"/>
      <c r="AF53"/>
      <c r="AG53" s="331"/>
      <c r="AJ53"/>
      <c r="AK53" s="331"/>
      <c r="AN53"/>
      <c r="AO53" s="331"/>
    </row>
    <row r="54" spans="2:42" ht="15" x14ac:dyDescent="0.25">
      <c r="B54"/>
      <c r="C54"/>
      <c r="D54"/>
      <c r="E54"/>
      <c r="F54"/>
      <c r="G54"/>
      <c r="H54"/>
      <c r="I54" s="332"/>
      <c r="J54" s="332"/>
      <c r="K54"/>
      <c r="L54"/>
      <c r="M54"/>
      <c r="P54"/>
      <c r="Q54"/>
      <c r="T54"/>
      <c r="U54"/>
      <c r="X54"/>
      <c r="Y54"/>
      <c r="AB54"/>
      <c r="AC54"/>
      <c r="AF54"/>
      <c r="AG54"/>
      <c r="AJ54"/>
      <c r="AK54"/>
      <c r="AN54"/>
      <c r="AO54"/>
    </row>
    <row r="55" spans="2:42" ht="15.75" x14ac:dyDescent="0.25">
      <c r="B55" s="333"/>
      <c r="C55" s="521" t="s">
        <v>225</v>
      </c>
      <c r="D55" s="522"/>
      <c r="E55" s="334"/>
      <c r="F55" s="523" t="s">
        <v>226</v>
      </c>
      <c r="G55" s="524"/>
      <c r="H55"/>
      <c r="I55" s="521" t="s">
        <v>225</v>
      </c>
      <c r="J55" s="522"/>
      <c r="K55"/>
      <c r="L55" s="523" t="s">
        <v>226</v>
      </c>
      <c r="M55" s="524"/>
      <c r="P55" s="513"/>
      <c r="Q55" s="513"/>
      <c r="T55" s="513"/>
      <c r="U55" s="513"/>
      <c r="X55" s="513"/>
      <c r="Y55" s="513"/>
      <c r="AB55" s="513"/>
      <c r="AC55" s="513"/>
      <c r="AF55" s="513"/>
      <c r="AG55" s="513"/>
      <c r="AJ55" s="513"/>
      <c r="AK55" s="513"/>
      <c r="AN55" s="513"/>
      <c r="AO55" s="513"/>
    </row>
    <row r="56" spans="2:42" ht="15.75" x14ac:dyDescent="0.25">
      <c r="B56" s="335" t="s">
        <v>227</v>
      </c>
      <c r="C56" s="336"/>
      <c r="D56" s="337">
        <f>SUM(C57:C58)-C59</f>
        <v>0.20199999999999999</v>
      </c>
      <c r="E56" s="338"/>
      <c r="F56" s="336"/>
      <c r="G56" s="337">
        <f>SUM(F57:F58)-F59</f>
        <v>0.20199999999999999</v>
      </c>
      <c r="H56"/>
      <c r="I56" s="336"/>
      <c r="J56" s="337">
        <f>SUM(I57:I58)-I59</f>
        <v>2.1999999999999999E-2</v>
      </c>
      <c r="K56"/>
      <c r="L56" s="336"/>
      <c r="M56" s="337">
        <f>SUM(L57:L58)-L59</f>
        <v>2.1999999999999999E-2</v>
      </c>
      <c r="P56" s="339"/>
      <c r="Q56" s="339"/>
      <c r="T56" s="339"/>
      <c r="U56" s="339"/>
      <c r="X56" s="339"/>
      <c r="Y56" s="339"/>
      <c r="AB56" s="339"/>
      <c r="AC56" s="339"/>
      <c r="AF56" s="339"/>
      <c r="AG56" s="339"/>
      <c r="AJ56" s="339"/>
      <c r="AK56" s="339"/>
      <c r="AN56" s="339"/>
      <c r="AO56" s="339"/>
    </row>
    <row r="57" spans="2:42" ht="15.75" x14ac:dyDescent="0.25">
      <c r="B57" s="340" t="s">
        <v>228</v>
      </c>
      <c r="C57" s="341">
        <v>0.18</v>
      </c>
      <c r="D57" s="342"/>
      <c r="E57" s="343"/>
      <c r="F57" s="341">
        <v>0.18</v>
      </c>
      <c r="G57" s="342"/>
      <c r="H57"/>
      <c r="I57" s="341"/>
      <c r="J57" s="342"/>
      <c r="K57"/>
      <c r="L57" s="341"/>
      <c r="M57" s="342"/>
      <c r="P57" s="344"/>
      <c r="Q57" s="345"/>
      <c r="T57" s="344"/>
      <c r="U57" s="345"/>
      <c r="X57" s="344"/>
      <c r="Y57" s="345"/>
      <c r="AB57" s="344"/>
      <c r="AC57" s="345"/>
      <c r="AF57" s="344"/>
      <c r="AG57" s="345"/>
      <c r="AJ57" s="344"/>
      <c r="AK57" s="345"/>
      <c r="AN57" s="344"/>
      <c r="AO57" s="345"/>
    </row>
    <row r="58" spans="2:42" ht="15.75" x14ac:dyDescent="0.25">
      <c r="B58" s="346" t="s">
        <v>229</v>
      </c>
      <c r="C58" s="347">
        <v>0.06</v>
      </c>
      <c r="D58" s="348"/>
      <c r="E58" s="343"/>
      <c r="F58" s="347">
        <v>0.06</v>
      </c>
      <c r="G58" s="348"/>
      <c r="H58"/>
      <c r="I58" s="347">
        <v>0.06</v>
      </c>
      <c r="J58" s="348"/>
      <c r="K58"/>
      <c r="L58" s="347">
        <v>0.06</v>
      </c>
      <c r="M58" s="348"/>
      <c r="P58" s="344"/>
      <c r="Q58" s="345"/>
      <c r="T58" s="344"/>
      <c r="U58" s="345"/>
      <c r="X58" s="344"/>
      <c r="Y58" s="345"/>
      <c r="AB58" s="344"/>
      <c r="AC58" s="345"/>
      <c r="AF58" s="344"/>
      <c r="AG58" s="345"/>
      <c r="AJ58" s="344"/>
      <c r="AK58" s="345"/>
      <c r="AN58" s="344"/>
      <c r="AO58" s="345"/>
    </row>
    <row r="59" spans="2:42" ht="15.75" x14ac:dyDescent="0.25">
      <c r="B59" s="349" t="s">
        <v>230</v>
      </c>
      <c r="C59" s="347">
        <v>3.7999999999999999E-2</v>
      </c>
      <c r="D59" s="348"/>
      <c r="E59" s="343"/>
      <c r="F59" s="347">
        <v>3.7999999999999999E-2</v>
      </c>
      <c r="G59" s="348"/>
      <c r="H59"/>
      <c r="I59" s="347">
        <v>3.7999999999999999E-2</v>
      </c>
      <c r="J59" s="348"/>
      <c r="K59"/>
      <c r="L59" s="347">
        <v>3.7999999999999999E-2</v>
      </c>
      <c r="M59" s="348"/>
      <c r="P59" s="344"/>
      <c r="Q59" s="345"/>
      <c r="T59" s="344"/>
      <c r="U59" s="345"/>
      <c r="X59" s="344"/>
      <c r="Y59" s="345"/>
      <c r="AB59" s="344"/>
      <c r="AC59" s="345"/>
      <c r="AF59" s="344"/>
      <c r="AG59" s="345"/>
      <c r="AJ59" s="344"/>
      <c r="AK59" s="345"/>
      <c r="AN59" s="344"/>
      <c r="AO59" s="345"/>
    </row>
    <row r="60" spans="2:42" ht="15.75" x14ac:dyDescent="0.25">
      <c r="B60" s="350" t="s">
        <v>231</v>
      </c>
      <c r="C60" s="351"/>
      <c r="D60" s="352">
        <f>SUM(C61:C66)</f>
        <v>6.8700000000000011E-2</v>
      </c>
      <c r="E60" s="334"/>
      <c r="F60" s="351"/>
      <c r="G60" s="352">
        <f>SUM(F61:F66)</f>
        <v>6.8700000000000011E-2</v>
      </c>
      <c r="H60"/>
      <c r="I60" s="351"/>
      <c r="J60" s="352">
        <f>SUM(I61:I66)</f>
        <v>6.8400000000000002E-2</v>
      </c>
      <c r="K60"/>
      <c r="L60" s="351"/>
      <c r="M60" s="352">
        <f>SUM(L61:L66)</f>
        <v>6.8400000000000002E-2</v>
      </c>
      <c r="P60" s="339"/>
      <c r="Q60" s="339"/>
      <c r="T60" s="339"/>
      <c r="U60" s="339"/>
      <c r="X60" s="339"/>
      <c r="Y60" s="339"/>
      <c r="AB60" s="339"/>
      <c r="AC60" s="339"/>
      <c r="AF60" s="339"/>
      <c r="AG60" s="339"/>
      <c r="AJ60" s="339"/>
      <c r="AK60" s="339"/>
      <c r="AN60" s="339"/>
      <c r="AO60" s="339"/>
    </row>
    <row r="61" spans="2:42" ht="15.75" x14ac:dyDescent="0.25">
      <c r="B61" s="340" t="s">
        <v>232</v>
      </c>
      <c r="C61" s="341">
        <v>2.8400000000000002E-2</v>
      </c>
      <c r="D61" s="342"/>
      <c r="E61" s="345"/>
      <c r="F61" s="341">
        <v>2.8400000000000002E-2</v>
      </c>
      <c r="G61" s="342"/>
      <c r="H61"/>
      <c r="I61" s="341">
        <v>2.8400000000000002E-2</v>
      </c>
      <c r="J61" s="342"/>
      <c r="K61"/>
      <c r="L61" s="341">
        <v>2.8400000000000002E-2</v>
      </c>
      <c r="M61" s="342"/>
      <c r="P61" s="344"/>
      <c r="Q61" s="345"/>
      <c r="T61" s="344"/>
      <c r="U61" s="345"/>
      <c r="X61" s="344"/>
      <c r="Y61" s="345"/>
      <c r="AB61" s="344"/>
      <c r="AC61" s="345"/>
      <c r="AF61" s="344"/>
      <c r="AG61" s="345"/>
      <c r="AJ61" s="344"/>
      <c r="AK61" s="345"/>
      <c r="AN61" s="344"/>
      <c r="AO61" s="345"/>
    </row>
    <row r="62" spans="2:42" ht="15.75" x14ac:dyDescent="0.25">
      <c r="B62" s="346" t="s">
        <v>233</v>
      </c>
      <c r="C62" s="347">
        <v>2.9999999999999997E-4</v>
      </c>
      <c r="D62" s="348"/>
      <c r="E62" s="345"/>
      <c r="F62" s="347">
        <v>2.9999999999999997E-4</v>
      </c>
      <c r="G62" s="348"/>
      <c r="H62"/>
      <c r="I62" s="347"/>
      <c r="J62" s="348"/>
      <c r="K62"/>
      <c r="L62" s="347"/>
      <c r="M62" s="348"/>
      <c r="P62" s="344"/>
      <c r="Q62" s="345"/>
      <c r="T62" s="344"/>
      <c r="U62" s="345"/>
      <c r="X62" s="344"/>
      <c r="Y62" s="345"/>
      <c r="AB62" s="344"/>
      <c r="AC62" s="345"/>
      <c r="AF62" s="344"/>
      <c r="AG62" s="345"/>
      <c r="AJ62" s="344"/>
      <c r="AK62" s="345"/>
      <c r="AN62" s="344"/>
      <c r="AO62" s="345"/>
    </row>
    <row r="63" spans="2:42" ht="15.75" x14ac:dyDescent="0.25">
      <c r="B63" s="346" t="s">
        <v>234</v>
      </c>
      <c r="C63" s="347">
        <v>0.02</v>
      </c>
      <c r="D63" s="348"/>
      <c r="E63" s="345"/>
      <c r="F63" s="347">
        <v>0</v>
      </c>
      <c r="G63" s="348"/>
      <c r="H63"/>
      <c r="I63" s="347">
        <v>0.02</v>
      </c>
      <c r="J63" s="348"/>
      <c r="K63"/>
      <c r="L63" s="347">
        <v>0</v>
      </c>
      <c r="M63" s="348"/>
      <c r="P63" s="344"/>
      <c r="Q63" s="345"/>
      <c r="T63" s="344"/>
      <c r="U63" s="345"/>
      <c r="X63" s="344"/>
      <c r="Y63" s="345"/>
      <c r="AB63" s="344"/>
      <c r="AC63" s="345"/>
      <c r="AF63" s="344"/>
      <c r="AG63" s="345"/>
      <c r="AJ63" s="344"/>
      <c r="AK63" s="345"/>
      <c r="AN63" s="344"/>
      <c r="AO63" s="345"/>
    </row>
    <row r="64" spans="2:42" ht="15.75" x14ac:dyDescent="0.25">
      <c r="B64" s="346" t="s">
        <v>235</v>
      </c>
      <c r="C64" s="347">
        <v>0.02</v>
      </c>
      <c r="D64" s="348"/>
      <c r="E64" s="345"/>
      <c r="F64" s="347">
        <v>0.02</v>
      </c>
      <c r="G64" s="348"/>
      <c r="H64"/>
      <c r="I64" s="347">
        <v>0.02</v>
      </c>
      <c r="J64" s="348"/>
      <c r="K64"/>
      <c r="L64" s="347">
        <v>0.02</v>
      </c>
      <c r="M64" s="348"/>
      <c r="P64" s="344"/>
      <c r="Q64" s="345"/>
      <c r="T64" s="344"/>
      <c r="U64" s="345"/>
      <c r="X64" s="344"/>
      <c r="Y64" s="345"/>
      <c r="AB64" s="344"/>
      <c r="AC64" s="345"/>
      <c r="AF64" s="344"/>
      <c r="AG64" s="345"/>
      <c r="AJ64" s="344"/>
      <c r="AK64" s="345"/>
      <c r="AN64" s="344"/>
      <c r="AO64" s="345"/>
    </row>
    <row r="65" spans="2:41" ht="15.75" x14ac:dyDescent="0.25">
      <c r="B65" s="346" t="s">
        <v>236</v>
      </c>
      <c r="C65" s="347"/>
      <c r="D65" s="348"/>
      <c r="E65" s="345"/>
      <c r="F65" s="347">
        <v>0.02</v>
      </c>
      <c r="G65" s="348"/>
      <c r="H65"/>
      <c r="I65" s="347"/>
      <c r="J65" s="348"/>
      <c r="K65"/>
      <c r="L65" s="347">
        <v>0.02</v>
      </c>
      <c r="M65" s="348"/>
      <c r="P65" s="344"/>
      <c r="Q65" s="345"/>
      <c r="T65" s="344"/>
      <c r="U65" s="345"/>
      <c r="X65" s="344"/>
      <c r="Y65" s="345"/>
      <c r="AB65" s="344"/>
      <c r="AC65" s="345"/>
      <c r="AF65" s="344"/>
      <c r="AG65" s="345"/>
      <c r="AJ65" s="344"/>
      <c r="AK65" s="345"/>
      <c r="AN65" s="344"/>
      <c r="AO65" s="345"/>
    </row>
    <row r="66" spans="2:41" ht="15.75" x14ac:dyDescent="0.25">
      <c r="B66" s="346" t="s">
        <v>237</v>
      </c>
      <c r="C66" s="347">
        <v>0</v>
      </c>
      <c r="D66" s="348"/>
      <c r="E66" s="345"/>
      <c r="F66" s="347">
        <v>0</v>
      </c>
      <c r="G66" s="348"/>
      <c r="H66"/>
      <c r="I66" s="347">
        <v>0</v>
      </c>
      <c r="J66" s="348"/>
      <c r="K66"/>
      <c r="L66" s="347">
        <v>0</v>
      </c>
      <c r="M66" s="348"/>
      <c r="P66" s="344"/>
      <c r="Q66" s="345"/>
      <c r="T66" s="344"/>
      <c r="U66" s="345"/>
      <c r="X66" s="344"/>
      <c r="Y66" s="345"/>
      <c r="AB66" s="344"/>
      <c r="AC66" s="345"/>
      <c r="AF66" s="344"/>
      <c r="AG66" s="345"/>
      <c r="AJ66" s="344"/>
      <c r="AK66" s="345"/>
      <c r="AN66" s="344"/>
      <c r="AO66" s="345"/>
    </row>
    <row r="67" spans="2:41" ht="15.75" x14ac:dyDescent="0.25">
      <c r="B67" s="350" t="s">
        <v>238</v>
      </c>
      <c r="C67" s="351"/>
      <c r="D67" s="352">
        <f>SUM(C68:C73)</f>
        <v>0.13685372923600003</v>
      </c>
      <c r="E67" s="338"/>
      <c r="F67" s="351"/>
      <c r="G67" s="352">
        <f>SUM(F68:F73)</f>
        <v>0.13685372923600003</v>
      </c>
      <c r="H67"/>
      <c r="I67" s="351"/>
      <c r="J67" s="352">
        <f>SUM(I68:I73)</f>
        <v>0.11743551299200002</v>
      </c>
      <c r="K67"/>
      <c r="L67" s="351"/>
      <c r="M67" s="352">
        <f>SUM(L68:L73)</f>
        <v>0.11743551299200002</v>
      </c>
      <c r="P67" s="339"/>
      <c r="Q67" s="339"/>
      <c r="T67" s="339"/>
      <c r="U67" s="339"/>
      <c r="X67" s="339"/>
      <c r="Y67" s="339"/>
      <c r="AB67" s="339"/>
      <c r="AC67" s="339"/>
      <c r="AF67" s="339"/>
      <c r="AG67" s="339"/>
      <c r="AJ67" s="339"/>
      <c r="AK67" s="339"/>
      <c r="AN67" s="339"/>
      <c r="AO67" s="339"/>
    </row>
    <row r="68" spans="2:41" ht="15.75" x14ac:dyDescent="0.25">
      <c r="B68" s="340" t="s">
        <v>239</v>
      </c>
      <c r="C68" s="341">
        <v>8.3299999999999999E-2</v>
      </c>
      <c r="D68" s="342"/>
      <c r="E68" s="345"/>
      <c r="F68" s="341">
        <v>8.3299999999999999E-2</v>
      </c>
      <c r="G68" s="342"/>
      <c r="H68"/>
      <c r="I68" s="341">
        <v>8.3299999999999999E-2</v>
      </c>
      <c r="J68" s="342"/>
      <c r="K68"/>
      <c r="L68" s="341">
        <v>8.3299999999999999E-2</v>
      </c>
      <c r="M68" s="342"/>
      <c r="P68" s="344"/>
      <c r="Q68" s="345"/>
      <c r="T68" s="344"/>
      <c r="U68" s="345"/>
      <c r="X68" s="344"/>
      <c r="Y68" s="345"/>
      <c r="AB68" s="344"/>
      <c r="AC68" s="345"/>
      <c r="AF68" s="344"/>
      <c r="AG68" s="345"/>
      <c r="AJ68" s="344"/>
      <c r="AK68" s="345"/>
      <c r="AN68" s="344"/>
      <c r="AO68" s="345"/>
    </row>
    <row r="69" spans="2:41" ht="15.75" x14ac:dyDescent="0.25">
      <c r="B69" s="346" t="s">
        <v>240</v>
      </c>
      <c r="C69" s="341">
        <v>1.5599999999999999E-2</v>
      </c>
      <c r="D69" s="348"/>
      <c r="E69" s="345"/>
      <c r="F69" s="341">
        <v>1.5599999999999999E-2</v>
      </c>
      <c r="G69" s="348"/>
      <c r="H69"/>
      <c r="I69" s="341">
        <v>1.5599999999999999E-2</v>
      </c>
      <c r="J69" s="348"/>
      <c r="K69"/>
      <c r="L69" s="341">
        <v>1.5599999999999999E-2</v>
      </c>
      <c r="M69" s="348"/>
      <c r="P69" s="344"/>
      <c r="Q69" s="345"/>
      <c r="T69" s="344"/>
      <c r="U69" s="345"/>
      <c r="X69" s="344"/>
      <c r="Y69" s="345"/>
      <c r="AB69" s="344"/>
      <c r="AC69" s="345"/>
      <c r="AF69" s="344"/>
      <c r="AG69" s="345"/>
      <c r="AJ69" s="344"/>
      <c r="AK69" s="345"/>
      <c r="AN69" s="344"/>
      <c r="AO69" s="345"/>
    </row>
    <row r="70" spans="2:41" ht="15.75" x14ac:dyDescent="0.25">
      <c r="B70" s="346" t="s">
        <v>241</v>
      </c>
      <c r="C70" s="341">
        <f>C69*C68</f>
        <v>1.29948E-3</v>
      </c>
      <c r="D70" s="348"/>
      <c r="E70" s="345"/>
      <c r="F70" s="341">
        <f>F69*F68</f>
        <v>1.29948E-3</v>
      </c>
      <c r="G70" s="348"/>
      <c r="H70"/>
      <c r="I70" s="341">
        <f>I69*I68</f>
        <v>1.29948E-3</v>
      </c>
      <c r="J70" s="348"/>
      <c r="K70"/>
      <c r="L70" s="341">
        <f>L69*L68</f>
        <v>1.29948E-3</v>
      </c>
      <c r="M70" s="348"/>
      <c r="P70" s="344"/>
      <c r="Q70" s="345"/>
      <c r="T70" s="344"/>
      <c r="U70" s="345"/>
      <c r="X70" s="344"/>
      <c r="Y70" s="345"/>
      <c r="AB70" s="344"/>
      <c r="AC70" s="345"/>
      <c r="AF70" s="344"/>
      <c r="AG70" s="345"/>
      <c r="AJ70" s="344"/>
      <c r="AK70" s="345"/>
      <c r="AN70" s="344"/>
      <c r="AO70" s="345"/>
    </row>
    <row r="71" spans="2:41" ht="15.75" x14ac:dyDescent="0.25">
      <c r="B71" s="346" t="s">
        <v>242</v>
      </c>
      <c r="C71" s="341">
        <v>0</v>
      </c>
      <c r="D71" s="348"/>
      <c r="E71" s="345"/>
      <c r="F71" s="341">
        <v>0</v>
      </c>
      <c r="G71" s="348"/>
      <c r="H71"/>
      <c r="I71" s="341">
        <v>0</v>
      </c>
      <c r="J71" s="348"/>
      <c r="K71"/>
      <c r="L71" s="341">
        <v>0</v>
      </c>
      <c r="M71" s="348"/>
      <c r="P71" s="344"/>
      <c r="Q71" s="345"/>
      <c r="T71" s="344"/>
      <c r="U71" s="345"/>
      <c r="X71" s="344"/>
      <c r="Y71" s="345"/>
      <c r="AB71" s="344"/>
      <c r="AC71" s="345"/>
      <c r="AF71" s="344"/>
      <c r="AG71" s="345"/>
      <c r="AJ71" s="344"/>
      <c r="AK71" s="345"/>
      <c r="AN71" s="344"/>
      <c r="AO71" s="345"/>
    </row>
    <row r="72" spans="2:41" ht="15.75" x14ac:dyDescent="0.25">
      <c r="B72" s="353" t="s">
        <v>243</v>
      </c>
      <c r="C72" s="341">
        <v>7.4999999999999997E-3</v>
      </c>
      <c r="D72" s="348"/>
      <c r="E72" s="345"/>
      <c r="F72" s="341">
        <v>7.4999999999999997E-3</v>
      </c>
      <c r="G72" s="348"/>
      <c r="H72"/>
      <c r="I72" s="341">
        <v>7.4999999999999997E-3</v>
      </c>
      <c r="J72" s="348"/>
      <c r="K72"/>
      <c r="L72" s="341">
        <v>7.4999999999999997E-3</v>
      </c>
      <c r="M72" s="348"/>
      <c r="P72" s="344"/>
      <c r="Q72" s="345"/>
      <c r="T72" s="344"/>
      <c r="U72" s="345"/>
      <c r="X72" s="344"/>
      <c r="Y72" s="345"/>
      <c r="AB72" s="344"/>
      <c r="AC72" s="345"/>
      <c r="AF72" s="344"/>
      <c r="AG72" s="345"/>
      <c r="AJ72" s="344"/>
      <c r="AK72" s="345"/>
      <c r="AN72" s="344"/>
      <c r="AO72" s="345"/>
    </row>
    <row r="73" spans="2:41" ht="15.75" x14ac:dyDescent="0.25">
      <c r="B73" s="346" t="s">
        <v>244</v>
      </c>
      <c r="C73" s="354">
        <f>SUM(C68:C72)*$D$53</f>
        <v>2.9154249236000004E-2</v>
      </c>
      <c r="D73" s="348"/>
      <c r="E73" s="345"/>
      <c r="F73" s="354">
        <f>SUM(F68:F72)*$G$53</f>
        <v>2.9154249236000004E-2</v>
      </c>
      <c r="G73" s="348"/>
      <c r="H73"/>
      <c r="I73" s="354">
        <f>SUM(I68:I72)*$J$53</f>
        <v>9.7360329920000016E-3</v>
      </c>
      <c r="J73" s="348"/>
      <c r="K73"/>
      <c r="L73" s="354">
        <f>SUM(L68:L72)*$M$53</f>
        <v>9.7360329920000016E-3</v>
      </c>
      <c r="M73" s="348"/>
      <c r="P73" s="344"/>
      <c r="Q73" s="345"/>
      <c r="T73" s="344"/>
      <c r="U73" s="345"/>
      <c r="X73" s="344"/>
      <c r="Y73" s="345"/>
      <c r="AB73" s="344"/>
      <c r="AC73" s="345"/>
      <c r="AF73" s="344"/>
      <c r="AG73" s="345"/>
      <c r="AJ73" s="344"/>
      <c r="AK73" s="345"/>
      <c r="AN73" s="344"/>
      <c r="AO73" s="345"/>
    </row>
    <row r="74" spans="2:41" ht="15.75" x14ac:dyDescent="0.25">
      <c r="B74" s="350" t="s">
        <v>245</v>
      </c>
      <c r="C74" s="351"/>
      <c r="D74" s="352">
        <f>SUM(D56:D73)</f>
        <v>0.40755372923600003</v>
      </c>
      <c r="E74" s="338"/>
      <c r="F74" s="351"/>
      <c r="G74" s="352">
        <f>SUM(G56:G73)</f>
        <v>0.40755372923600003</v>
      </c>
      <c r="H74"/>
      <c r="I74" s="351"/>
      <c r="J74" s="352">
        <f>SUM(J56:J73)</f>
        <v>0.20783551299200004</v>
      </c>
      <c r="K74"/>
      <c r="L74" s="351"/>
      <c r="M74" s="352">
        <f>SUM(M56:M73)</f>
        <v>0.20783551299200004</v>
      </c>
      <c r="P74" s="339"/>
      <c r="Q74" s="339"/>
      <c r="T74" s="339"/>
      <c r="U74" s="339"/>
      <c r="X74" s="339"/>
      <c r="Y74" s="339"/>
      <c r="AB74" s="339"/>
      <c r="AC74" s="339"/>
      <c r="AF74" s="339"/>
      <c r="AG74" s="339"/>
      <c r="AJ74" s="339"/>
      <c r="AK74" s="339"/>
      <c r="AN74" s="339"/>
      <c r="AO74" s="339"/>
    </row>
    <row r="75" spans="2:41" ht="15" x14ac:dyDescent="0.25">
      <c r="B75"/>
      <c r="C75"/>
      <c r="D75"/>
      <c r="E75"/>
      <c r="F75"/>
      <c r="G75"/>
      <c r="H75"/>
      <c r="I75"/>
      <c r="J75"/>
      <c r="K75"/>
      <c r="L75"/>
      <c r="M75"/>
      <c r="P75"/>
      <c r="Q75"/>
      <c r="T75"/>
      <c r="U75"/>
      <c r="X75"/>
      <c r="Y75"/>
      <c r="AB75"/>
      <c r="AC75"/>
      <c r="AF75"/>
      <c r="AG75"/>
      <c r="AJ75"/>
      <c r="AK75"/>
      <c r="AN75"/>
      <c r="AO75"/>
    </row>
    <row r="76" spans="2:41" ht="15.75" x14ac:dyDescent="0.25">
      <c r="B76" s="355" t="s">
        <v>246</v>
      </c>
      <c r="C76" s="356">
        <v>2.8400000000000002E-2</v>
      </c>
      <c r="D76"/>
      <c r="E76"/>
      <c r="F76"/>
      <c r="G76" s="356">
        <v>2.8400000000000002E-2</v>
      </c>
      <c r="H76"/>
      <c r="I76"/>
      <c r="J76" s="356">
        <v>2.8400000000000002E-2</v>
      </c>
      <c r="K76"/>
      <c r="L76"/>
      <c r="M76" s="356">
        <v>2.8400000000000002E-2</v>
      </c>
      <c r="P76"/>
      <c r="Q76" s="344"/>
      <c r="T76"/>
      <c r="U76" s="344"/>
      <c r="X76"/>
      <c r="Y76" s="344"/>
      <c r="AB76"/>
      <c r="AC76" s="344"/>
      <c r="AF76"/>
      <c r="AG76" s="344"/>
      <c r="AJ76"/>
      <c r="AK76" s="344"/>
      <c r="AN76"/>
      <c r="AO76" s="344"/>
    </row>
  </sheetData>
  <mergeCells count="16">
    <mergeCell ref="C55:D55"/>
    <mergeCell ref="F55:G55"/>
    <mergeCell ref="I55:J55"/>
    <mergeCell ref="L55:M55"/>
    <mergeCell ref="B8:B25"/>
    <mergeCell ref="B29:B33"/>
    <mergeCell ref="B35:B38"/>
    <mergeCell ref="C50:G50"/>
    <mergeCell ref="I50:M50"/>
    <mergeCell ref="AN55:AO55"/>
    <mergeCell ref="P55:Q55"/>
    <mergeCell ref="T55:U55"/>
    <mergeCell ref="X55:Y55"/>
    <mergeCell ref="AB55:AC55"/>
    <mergeCell ref="AF55:AG55"/>
    <mergeCell ref="AJ55:AK55"/>
  </mergeCells>
  <dataValidations count="1">
    <dataValidation allowBlank="1" showErrorMessage="1" sqref="P55:Q74 AB55:AC74 T55:U74 X55:Y74 F55:G74 C57:E74 I57:J74 L55:M74 AF55:AG74 AJ55:AK74 AN55:AO74" xr:uid="{E4862888-B7EB-4B28-BCFA-989AADC4C824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372C-5C26-4581-9E1C-E1864AB22B3C}">
  <dimension ref="A2:B6"/>
  <sheetViews>
    <sheetView showGridLines="0" workbookViewId="0">
      <selection activeCell="B7" sqref="B7"/>
    </sheetView>
  </sheetViews>
  <sheetFormatPr baseColWidth="10" defaultRowHeight="15" x14ac:dyDescent="0.25"/>
  <sheetData>
    <row r="2" spans="1:2" x14ac:dyDescent="0.25">
      <c r="A2" s="355" t="s">
        <v>250</v>
      </c>
      <c r="B2" s="355" t="s">
        <v>251</v>
      </c>
    </row>
    <row r="3" spans="1:2" x14ac:dyDescent="0.25">
      <c r="A3" s="369">
        <v>45139</v>
      </c>
      <c r="B3" s="355">
        <v>3284.9</v>
      </c>
    </row>
    <row r="4" spans="1:2" x14ac:dyDescent="0.25">
      <c r="A4" s="369">
        <v>45170</v>
      </c>
      <c r="B4" s="355">
        <v>3587.5</v>
      </c>
    </row>
    <row r="5" spans="1:2" x14ac:dyDescent="0.25">
      <c r="A5" s="369">
        <v>45200</v>
      </c>
      <c r="B5" s="355">
        <v>3858.7</v>
      </c>
    </row>
    <row r="6" spans="1:2" x14ac:dyDescent="0.25">
      <c r="A6" s="369">
        <v>45231</v>
      </c>
      <c r="B6" s="395">
        <v>4287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2FBE-01C0-4D46-BCE5-3C37651EEFEF}">
  <dimension ref="A3:B8"/>
  <sheetViews>
    <sheetView showGridLines="0" workbookViewId="0">
      <selection activeCell="B21" sqref="B21"/>
    </sheetView>
  </sheetViews>
  <sheetFormatPr baseColWidth="10" defaultRowHeight="15" x14ac:dyDescent="0.25"/>
  <cols>
    <col min="2" max="2" width="16.28515625" bestFit="1" customWidth="1"/>
  </cols>
  <sheetData>
    <row r="3" spans="1:2" x14ac:dyDescent="0.25">
      <c r="A3" s="355" t="s">
        <v>250</v>
      </c>
      <c r="B3" s="355" t="s">
        <v>252</v>
      </c>
    </row>
    <row r="4" spans="1:2" x14ac:dyDescent="0.25">
      <c r="A4" s="369">
        <v>45139</v>
      </c>
      <c r="B4" s="355">
        <v>408.6</v>
      </c>
    </row>
    <row r="5" spans="1:2" x14ac:dyDescent="0.25">
      <c r="A5" s="369">
        <v>45170</v>
      </c>
      <c r="B5" s="355">
        <v>408.6</v>
      </c>
    </row>
    <row r="6" spans="1:2" x14ac:dyDescent="0.25">
      <c r="A6" s="369">
        <v>45200</v>
      </c>
      <c r="B6" s="355">
        <v>421</v>
      </c>
    </row>
    <row r="7" spans="1:2" x14ac:dyDescent="0.25">
      <c r="A7" s="369">
        <v>45231</v>
      </c>
      <c r="B7" s="355">
        <v>514</v>
      </c>
    </row>
    <row r="8" spans="1:2" x14ac:dyDescent="0.25">
      <c r="A8" s="369">
        <v>45261</v>
      </c>
      <c r="B8" s="396">
        <v>809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174DF-7A36-4E0F-A98A-82B3A11735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0CBB9-F5E1-4D4B-B484-0E7A2CD4A40F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C4159DE3-5FD7-4CDF-9449-EE105B9EC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Planilla Certificacion </vt:lpstr>
      <vt:lpstr>Monitoreo de Scio</vt:lpstr>
      <vt:lpstr>Monitoreo de PQ</vt:lpstr>
      <vt:lpstr>WPU06</vt:lpstr>
      <vt:lpstr>USD</vt:lpstr>
      <vt:lpstr>Ce-1458</vt:lpstr>
      <vt:lpstr>MO 2023-24</vt:lpstr>
      <vt:lpstr>IPIM</vt:lpstr>
      <vt:lpstr>GO</vt:lpstr>
      <vt:lpstr>Pta Vanson</vt:lpstr>
      <vt:lpstr>Pta Vanson (2)</vt:lpstr>
      <vt:lpstr>Pta Vanson (3)</vt:lpstr>
      <vt:lpstr>R-11</vt:lpstr>
      <vt:lpstr>R-15</vt:lpstr>
      <vt:lpstr>R-1003</vt:lpstr>
      <vt:lpstr>R-1003 (2)</vt:lpstr>
      <vt:lpstr>R-1004</vt:lpstr>
      <vt:lpstr>R-1005</vt:lpstr>
      <vt:lpstr>R-1007</vt:lpstr>
      <vt:lpstr>R-1007 (2)</vt:lpstr>
      <vt:lpstr>R-1009</vt:lpstr>
      <vt:lpstr>R-1010</vt:lpstr>
      <vt:lpstr>R-1011</vt:lpstr>
      <vt:lpstr>R-1011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Tamborini, Walter R</dc:creator>
  <cp:lastModifiedBy>Bergerat, Juan Gabriel</cp:lastModifiedBy>
  <cp:lastPrinted>2018-04-23T19:37:29Z</cp:lastPrinted>
  <dcterms:created xsi:type="dcterms:W3CDTF">2013-04-29T17:53:00Z</dcterms:created>
  <dcterms:modified xsi:type="dcterms:W3CDTF">2024-05-20T14:07:38Z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