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42" documentId="8_{7097E7EA-28B7-44F8-82D1-10DAD0297253}" xr6:coauthVersionLast="47" xr6:coauthVersionMax="47" xr10:uidLastSave="{A7E98745-0019-46A2-9C8E-1D9DAAF80C22}"/>
  <bookViews>
    <workbookView xWindow="-110" yWindow="-110" windowWidth="19420" windowHeight="10420" tabRatio="794" firstSheet="1" activeTab="1" xr2:uid="{00000000-000D-0000-FFFF-FFFF00000000}"/>
  </bookViews>
  <sheets>
    <sheet name="Listas" sheetId="17" state="hidden" r:id="rId1"/>
    <sheet name="PRECIOS ABR24" sheetId="12" r:id="rId2"/>
    <sheet name="MSRV6 " sheetId="13" r:id="rId3"/>
    <sheet name="MO Petroleros" sheetId="16" r:id="rId4"/>
    <sheet name="MO Camioneros." sheetId="20" state="hidden" r:id="rId5"/>
    <sheet name="Base Centralizada de Indices" sheetId="15" r:id="rId6"/>
    <sheet name="DOLAR" sheetId="1" state="hidden" r:id="rId7"/>
    <sheet name="COMBUSTIBLE" sheetId="4" state="hidden" r:id="rId8"/>
    <sheet name="IPIM-Nivel General" sheetId="5" state="hidden" r:id="rId9"/>
    <sheet name="ACARA" sheetId="3" state="hidden" r:id="rId10"/>
    <sheet name="INSTRUCTIVO" sheetId="11" state="hidden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5" hidden="1">'Base Centralizada de Indices'!$A$14:$CO$61</definedName>
    <definedName name="_xlnm._FilterDatabase" localSheetId="2" hidden="1">'MSRV6 '!$A$2:$WXA$61</definedName>
    <definedName name="_xlnm._FilterDatabase" localSheetId="1" hidden="1">'PRECIOS ABR24'!$A$3:$H$52</definedName>
    <definedName name="Contratista">[1]Listas!$D$11:$D$116</definedName>
    <definedName name="PROCESO" localSheetId="4">#REF!</definedName>
    <definedName name="PROCESO" localSheetId="1">#REF!</definedName>
    <definedName name="PROCE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CQ14" i="15" l="1"/>
  <c r="CP35" i="15"/>
  <c r="CP33" i="15"/>
  <c r="CP31" i="15"/>
  <c r="CP29" i="15"/>
  <c r="CP27" i="15"/>
  <c r="CP23" i="15"/>
  <c r="CP22" i="15"/>
  <c r="CP20" i="15"/>
  <c r="CP18" i="15"/>
  <c r="CP14" i="15"/>
  <c r="E81" i="16" l="1"/>
  <c r="F80" i="16"/>
  <c r="F79" i="16"/>
  <c r="B79" i="16"/>
  <c r="E78" i="16"/>
  <c r="CO14" i="15" l="1"/>
  <c r="M26" i="12" l="1"/>
  <c r="CN14" i="15" l="1"/>
  <c r="CM14" i="15"/>
  <c r="CL14" i="15"/>
  <c r="F77" i="16" l="1"/>
  <c r="F76" i="16"/>
  <c r="F75" i="16"/>
  <c r="E75" i="16"/>
  <c r="F74" i="16"/>
  <c r="F73" i="16"/>
  <c r="F72" i="16"/>
  <c r="F71" i="16"/>
  <c r="E71" i="16"/>
  <c r="A72" i="16" s="1"/>
  <c r="F70" i="16"/>
  <c r="G70" i="16" s="1"/>
  <c r="H70" i="16" s="1"/>
  <c r="J70" i="16" s="1"/>
  <c r="K70" i="16" s="1"/>
  <c r="L70" i="16" s="1"/>
  <c r="G72" i="16" l="1"/>
  <c r="A75" i="16"/>
  <c r="A78" i="16" s="1"/>
  <c r="G73" i="16"/>
  <c r="H73" i="16" s="1"/>
  <c r="J73" i="16" s="1"/>
  <c r="K73" i="16" s="1"/>
  <c r="G71" i="16"/>
  <c r="H71" i="16" s="1"/>
  <c r="J71" i="16" s="1"/>
  <c r="K71" i="16" s="1"/>
  <c r="L71" i="16" s="1"/>
  <c r="E72" i="16"/>
  <c r="H72" i="16" l="1"/>
  <c r="J72" i="16" s="1"/>
  <c r="K72" i="16" s="1"/>
  <c r="L72" i="16" s="1"/>
  <c r="G78" i="16"/>
  <c r="A79" i="16"/>
  <c r="A80" i="16" s="1"/>
  <c r="A81" i="16" s="1"/>
  <c r="G81" i="16" s="1"/>
  <c r="G74" i="16"/>
  <c r="H74" i="16" s="1"/>
  <c r="J74" i="16" s="1"/>
  <c r="K74" i="16" s="1"/>
  <c r="G75" i="16"/>
  <c r="H75" i="16" s="1"/>
  <c r="J75" i="16" s="1"/>
  <c r="K75" i="16" s="1"/>
  <c r="L73" i="16"/>
  <c r="L74" i="16" s="1"/>
  <c r="G84" i="16"/>
  <c r="G79" i="16" l="1"/>
  <c r="L75" i="16"/>
  <c r="G76" i="16"/>
  <c r="H76" i="16" s="1"/>
  <c r="J76" i="16" s="1"/>
  <c r="K76" i="16" s="1"/>
  <c r="L76" i="16" s="1"/>
  <c r="H79" i="16" l="1"/>
  <c r="J79" i="16" s="1"/>
  <c r="K79" i="16" s="1"/>
  <c r="G80" i="16"/>
  <c r="G77" i="16"/>
  <c r="H77" i="16" l="1"/>
  <c r="J77" i="16" s="1"/>
  <c r="K77" i="16" s="1"/>
  <c r="L77" i="16" s="1"/>
  <c r="H78" i="16"/>
  <c r="J78" i="16" s="1"/>
  <c r="K78" i="16" s="1"/>
  <c r="L78" i="16" s="1"/>
  <c r="H80" i="16"/>
  <c r="J80" i="16" s="1"/>
  <c r="K80" i="16" s="1"/>
  <c r="H81" i="16"/>
  <c r="J81" i="16" s="1"/>
  <c r="K81" i="16" s="1"/>
  <c r="L79" i="16"/>
  <c r="Q21" i="12"/>
  <c r="Q26" i="12" s="1"/>
  <c r="M21" i="12"/>
  <c r="L80" i="16" l="1"/>
  <c r="L81" i="16" s="1"/>
  <c r="N81" i="16" s="1"/>
  <c r="L35" i="15"/>
  <c r="M35" i="15" s="1"/>
  <c r="N35" i="15" s="1"/>
  <c r="O35" i="15" s="1"/>
  <c r="P35" i="15" s="1"/>
  <c r="Q35" i="15" s="1"/>
  <c r="R35" i="15" s="1"/>
  <c r="S35" i="15" s="1"/>
  <c r="T35" i="15" s="1"/>
  <c r="U35" i="15" s="1"/>
  <c r="V35" i="15" s="1"/>
  <c r="W35" i="15" s="1"/>
  <c r="X35" i="15" s="1"/>
  <c r="Y35" i="15" s="1"/>
  <c r="Z35" i="15" s="1"/>
  <c r="AA35" i="15" s="1"/>
  <c r="AB35" i="15" s="1"/>
  <c r="AC35" i="15" s="1"/>
  <c r="AD35" i="15" s="1"/>
  <c r="AE35" i="15" s="1"/>
  <c r="AF35" i="15" s="1"/>
  <c r="AG35" i="15" s="1"/>
  <c r="AH35" i="15" s="1"/>
  <c r="AI35" i="15" s="1"/>
  <c r="AJ35" i="15" s="1"/>
  <c r="AK35" i="15" s="1"/>
  <c r="AL35" i="15" s="1"/>
  <c r="AM35" i="15" s="1"/>
  <c r="AN35" i="15" s="1"/>
  <c r="AO35" i="15" s="1"/>
  <c r="AP35" i="15" s="1"/>
  <c r="AQ35" i="15" s="1"/>
  <c r="AR35" i="15" s="1"/>
  <c r="AS35" i="15" s="1"/>
  <c r="AT35" i="15" s="1"/>
  <c r="AU35" i="15" s="1"/>
  <c r="AV35" i="15" s="1"/>
  <c r="AW35" i="15" s="1"/>
  <c r="AX35" i="15" s="1"/>
  <c r="AY35" i="15" s="1"/>
  <c r="AZ35" i="15" s="1"/>
  <c r="BA35" i="15" s="1"/>
  <c r="BB35" i="15" s="1"/>
  <c r="BC35" i="15" s="1"/>
  <c r="BD35" i="15" s="1"/>
  <c r="BE35" i="15" s="1"/>
  <c r="BF35" i="15" s="1"/>
  <c r="BG35" i="15" s="1"/>
  <c r="BH35" i="15" s="1"/>
  <c r="BI35" i="15" s="1"/>
  <c r="BJ35" i="15" s="1"/>
  <c r="BK35" i="15" s="1"/>
  <c r="BL35" i="15" s="1"/>
  <c r="BM35" i="15" s="1"/>
  <c r="BN35" i="15" s="1"/>
  <c r="BO35" i="15" s="1"/>
  <c r="BP35" i="15" s="1"/>
  <c r="BQ35" i="15" s="1"/>
  <c r="BR35" i="15" s="1"/>
  <c r="BS35" i="15" s="1"/>
  <c r="BT35" i="15" s="1"/>
  <c r="BU35" i="15" s="1"/>
  <c r="BV35" i="15" s="1"/>
  <c r="BW35" i="15" s="1"/>
  <c r="BX35" i="15" s="1"/>
  <c r="BY35" i="15" s="1"/>
  <c r="BZ35" i="15" s="1"/>
  <c r="CA35" i="15" s="1"/>
  <c r="CB35" i="15" s="1"/>
  <c r="CC35" i="15" s="1"/>
  <c r="CD35" i="15" s="1"/>
  <c r="CE35" i="15" s="1"/>
  <c r="CF35" i="15" s="1"/>
  <c r="CG35" i="15" s="1"/>
  <c r="CH35" i="15" s="1"/>
  <c r="CI35" i="15" s="1"/>
  <c r="CJ35" i="15" s="1"/>
  <c r="CK35" i="15" s="1"/>
  <c r="CL35" i="15" s="1"/>
  <c r="CM35" i="15" s="1"/>
  <c r="CN35" i="15" s="1"/>
  <c r="CO35" i="15" s="1"/>
  <c r="CQ35" i="15" s="1"/>
  <c r="L33" i="15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AB33" i="15" s="1"/>
  <c r="AC33" i="15" s="1"/>
  <c r="AD33" i="15" s="1"/>
  <c r="AE33" i="15" s="1"/>
  <c r="AF33" i="15" s="1"/>
  <c r="AG33" i="15" s="1"/>
  <c r="AH33" i="15" s="1"/>
  <c r="AI33" i="15" s="1"/>
  <c r="AJ33" i="15" s="1"/>
  <c r="AK33" i="15" s="1"/>
  <c r="AL33" i="15" s="1"/>
  <c r="AM33" i="15" s="1"/>
  <c r="AN33" i="15" s="1"/>
  <c r="AO33" i="15" s="1"/>
  <c r="AP33" i="15" s="1"/>
  <c r="AQ33" i="15" s="1"/>
  <c r="AR33" i="15" s="1"/>
  <c r="AS33" i="15" s="1"/>
  <c r="AT33" i="15" s="1"/>
  <c r="AU33" i="15" s="1"/>
  <c r="AV33" i="15" s="1"/>
  <c r="AW33" i="15" s="1"/>
  <c r="AX33" i="15" s="1"/>
  <c r="AY33" i="15" s="1"/>
  <c r="AZ33" i="15" s="1"/>
  <c r="BA33" i="15" s="1"/>
  <c r="BB33" i="15" s="1"/>
  <c r="BC33" i="15" s="1"/>
  <c r="BD33" i="15" s="1"/>
  <c r="BE33" i="15" s="1"/>
  <c r="BF33" i="15" s="1"/>
  <c r="BG33" i="15" s="1"/>
  <c r="BH33" i="15" s="1"/>
  <c r="BI33" i="15" s="1"/>
  <c r="BJ33" i="15" s="1"/>
  <c r="BK33" i="15" s="1"/>
  <c r="BL33" i="15" s="1"/>
  <c r="BM33" i="15" s="1"/>
  <c r="BN33" i="15" s="1"/>
  <c r="BO33" i="15" s="1"/>
  <c r="BP33" i="15" s="1"/>
  <c r="BQ33" i="15" s="1"/>
  <c r="BR33" i="15" s="1"/>
  <c r="BS33" i="15" s="1"/>
  <c r="BT33" i="15" s="1"/>
  <c r="BU33" i="15" s="1"/>
  <c r="BV33" i="15" s="1"/>
  <c r="BW33" i="15" s="1"/>
  <c r="BX33" i="15" s="1"/>
  <c r="BY33" i="15" s="1"/>
  <c r="BZ33" i="15" s="1"/>
  <c r="CA33" i="15" s="1"/>
  <c r="CB33" i="15" s="1"/>
  <c r="CC33" i="15" s="1"/>
  <c r="CD33" i="15" s="1"/>
  <c r="CE33" i="15" s="1"/>
  <c r="CF33" i="15" s="1"/>
  <c r="CG33" i="15" s="1"/>
  <c r="CH33" i="15" s="1"/>
  <c r="CI33" i="15" s="1"/>
  <c r="CJ33" i="15" s="1"/>
  <c r="CK33" i="15" s="1"/>
  <c r="CL33" i="15" s="1"/>
  <c r="CM33" i="15" s="1"/>
  <c r="CN33" i="15" s="1"/>
  <c r="CO33" i="15" s="1"/>
  <c r="CQ33" i="15" s="1"/>
  <c r="L31" i="15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Z31" i="15" s="1"/>
  <c r="AA31" i="15" s="1"/>
  <c r="AB31" i="15" s="1"/>
  <c r="AC31" i="15" s="1"/>
  <c r="AD31" i="15" s="1"/>
  <c r="AE31" i="15" s="1"/>
  <c r="AF31" i="15" s="1"/>
  <c r="AG31" i="15" s="1"/>
  <c r="AH31" i="15" s="1"/>
  <c r="AI31" i="15" s="1"/>
  <c r="AJ31" i="15" s="1"/>
  <c r="AK31" i="15" s="1"/>
  <c r="AL31" i="15" s="1"/>
  <c r="AM31" i="15" s="1"/>
  <c r="AN31" i="15" s="1"/>
  <c r="AO31" i="15" s="1"/>
  <c r="AP31" i="15" s="1"/>
  <c r="AQ31" i="15" s="1"/>
  <c r="AR31" i="15" s="1"/>
  <c r="AS31" i="15" s="1"/>
  <c r="AT31" i="15" s="1"/>
  <c r="AU31" i="15" s="1"/>
  <c r="AV31" i="15" s="1"/>
  <c r="AW31" i="15" s="1"/>
  <c r="AX31" i="15" s="1"/>
  <c r="AY31" i="15" s="1"/>
  <c r="AZ31" i="15" s="1"/>
  <c r="BA31" i="15" s="1"/>
  <c r="BB31" i="15" s="1"/>
  <c r="BC31" i="15" s="1"/>
  <c r="BD31" i="15" s="1"/>
  <c r="BE31" i="15" s="1"/>
  <c r="BF31" i="15" s="1"/>
  <c r="BG31" i="15" s="1"/>
  <c r="BH31" i="15" s="1"/>
  <c r="BI31" i="15" s="1"/>
  <c r="BJ31" i="15" s="1"/>
  <c r="BK31" i="15" s="1"/>
  <c r="BL31" i="15" s="1"/>
  <c r="BM31" i="15" s="1"/>
  <c r="BN31" i="15" s="1"/>
  <c r="BO31" i="15" s="1"/>
  <c r="BP31" i="15" s="1"/>
  <c r="BQ31" i="15" s="1"/>
  <c r="BR31" i="15" s="1"/>
  <c r="BS31" i="15" s="1"/>
  <c r="BT31" i="15" s="1"/>
  <c r="BU31" i="15" s="1"/>
  <c r="BV31" i="15" s="1"/>
  <c r="BW31" i="15" s="1"/>
  <c r="BX31" i="15" s="1"/>
  <c r="BY31" i="15" s="1"/>
  <c r="BZ31" i="15" s="1"/>
  <c r="CA31" i="15" s="1"/>
  <c r="CB31" i="15" s="1"/>
  <c r="CC31" i="15" s="1"/>
  <c r="CD31" i="15" s="1"/>
  <c r="CE31" i="15" s="1"/>
  <c r="CF31" i="15" s="1"/>
  <c r="CG31" i="15" s="1"/>
  <c r="CH31" i="15" s="1"/>
  <c r="CI31" i="15" s="1"/>
  <c r="CJ31" i="15" s="1"/>
  <c r="CK31" i="15" s="1"/>
  <c r="CL31" i="15" s="1"/>
  <c r="CM31" i="15" s="1"/>
  <c r="CN31" i="15" s="1"/>
  <c r="CO31" i="15" s="1"/>
  <c r="CQ31" i="15" s="1"/>
  <c r="L29" i="15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AB29" i="15" s="1"/>
  <c r="AC29" i="15" s="1"/>
  <c r="AD29" i="15" s="1"/>
  <c r="AE29" i="15" s="1"/>
  <c r="AF29" i="15" s="1"/>
  <c r="AG29" i="15" s="1"/>
  <c r="AH29" i="15" s="1"/>
  <c r="AI29" i="15" s="1"/>
  <c r="AJ29" i="15" s="1"/>
  <c r="AK29" i="15" s="1"/>
  <c r="AL29" i="15" s="1"/>
  <c r="AM29" i="15" s="1"/>
  <c r="AN29" i="15" s="1"/>
  <c r="AO29" i="15" s="1"/>
  <c r="AP29" i="15" s="1"/>
  <c r="AQ29" i="15" s="1"/>
  <c r="AR29" i="15" s="1"/>
  <c r="AS29" i="15" s="1"/>
  <c r="AT29" i="15" s="1"/>
  <c r="AU29" i="15" s="1"/>
  <c r="AV29" i="15" s="1"/>
  <c r="AW29" i="15" s="1"/>
  <c r="AX29" i="15" s="1"/>
  <c r="AY29" i="15" s="1"/>
  <c r="AZ29" i="15" s="1"/>
  <c r="BA29" i="15" s="1"/>
  <c r="BB29" i="15" s="1"/>
  <c r="BC29" i="15" s="1"/>
  <c r="BD29" i="15" s="1"/>
  <c r="BE29" i="15" s="1"/>
  <c r="BF29" i="15" s="1"/>
  <c r="BG29" i="15" s="1"/>
  <c r="BH29" i="15" s="1"/>
  <c r="BI29" i="15" s="1"/>
  <c r="BJ29" i="15" s="1"/>
  <c r="BK29" i="15" s="1"/>
  <c r="BL29" i="15" s="1"/>
  <c r="BM29" i="15" s="1"/>
  <c r="BN29" i="15" s="1"/>
  <c r="BO29" i="15" s="1"/>
  <c r="BP29" i="15" s="1"/>
  <c r="BQ29" i="15" s="1"/>
  <c r="BR29" i="15" s="1"/>
  <c r="BS29" i="15" s="1"/>
  <c r="BT29" i="15" s="1"/>
  <c r="BU29" i="15" s="1"/>
  <c r="BV29" i="15" s="1"/>
  <c r="BW29" i="15" s="1"/>
  <c r="BX29" i="15" s="1"/>
  <c r="BY29" i="15" s="1"/>
  <c r="BZ29" i="15" s="1"/>
  <c r="CA29" i="15" s="1"/>
  <c r="CB29" i="15" s="1"/>
  <c r="CC29" i="15" s="1"/>
  <c r="CD29" i="15" s="1"/>
  <c r="CE29" i="15" s="1"/>
  <c r="CF29" i="15" s="1"/>
  <c r="CG29" i="15" s="1"/>
  <c r="CH29" i="15" s="1"/>
  <c r="CI29" i="15" s="1"/>
  <c r="CJ29" i="15" s="1"/>
  <c r="CK29" i="15" s="1"/>
  <c r="CL29" i="15" s="1"/>
  <c r="CM29" i="15" s="1"/>
  <c r="CN29" i="15" s="1"/>
  <c r="CO29" i="15" s="1"/>
  <c r="CQ29" i="15" s="1"/>
  <c r="U27" i="15"/>
  <c r="V27" i="15" s="1"/>
  <c r="W27" i="15" s="1"/>
  <c r="X27" i="15" s="1"/>
  <c r="Y27" i="15" s="1"/>
  <c r="Z27" i="15" s="1"/>
  <c r="AA27" i="15" s="1"/>
  <c r="AB27" i="15" s="1"/>
  <c r="AC27" i="15" s="1"/>
  <c r="AD27" i="15" s="1"/>
  <c r="AE27" i="15" s="1"/>
  <c r="AF27" i="15" s="1"/>
  <c r="AG27" i="15" s="1"/>
  <c r="AH27" i="15" s="1"/>
  <c r="AI27" i="15" s="1"/>
  <c r="AJ27" i="15" s="1"/>
  <c r="AK27" i="15" s="1"/>
  <c r="AL27" i="15" s="1"/>
  <c r="AM27" i="15" s="1"/>
  <c r="AN27" i="15" s="1"/>
  <c r="AO27" i="15" s="1"/>
  <c r="AP27" i="15" s="1"/>
  <c r="AQ27" i="15" s="1"/>
  <c r="AR27" i="15" s="1"/>
  <c r="AS27" i="15" s="1"/>
  <c r="AT27" i="15" s="1"/>
  <c r="AU27" i="15" s="1"/>
  <c r="AV27" i="15" s="1"/>
  <c r="AW27" i="15" s="1"/>
  <c r="AX27" i="15" s="1"/>
  <c r="AY27" i="15" s="1"/>
  <c r="AZ27" i="15" s="1"/>
  <c r="BA27" i="15" s="1"/>
  <c r="BB27" i="15" s="1"/>
  <c r="BC27" i="15" s="1"/>
  <c r="BD27" i="15" s="1"/>
  <c r="BE27" i="15" s="1"/>
  <c r="BF27" i="15" s="1"/>
  <c r="BG27" i="15" s="1"/>
  <c r="BH27" i="15" s="1"/>
  <c r="BI27" i="15" s="1"/>
  <c r="BJ27" i="15" s="1"/>
  <c r="BK27" i="15" s="1"/>
  <c r="BL27" i="15" s="1"/>
  <c r="BM27" i="15" s="1"/>
  <c r="BN27" i="15" s="1"/>
  <c r="BO27" i="15" s="1"/>
  <c r="BP27" i="15" s="1"/>
  <c r="BQ27" i="15" s="1"/>
  <c r="BR27" i="15" s="1"/>
  <c r="BS27" i="15" s="1"/>
  <c r="BT27" i="15" s="1"/>
  <c r="BU27" i="15" s="1"/>
  <c r="BV27" i="15" s="1"/>
  <c r="BW27" i="15" s="1"/>
  <c r="BX27" i="15" s="1"/>
  <c r="BY27" i="15" s="1"/>
  <c r="BZ27" i="15" s="1"/>
  <c r="CA27" i="15" s="1"/>
  <c r="CB27" i="15" s="1"/>
  <c r="CC27" i="15" s="1"/>
  <c r="CD27" i="15" s="1"/>
  <c r="CE27" i="15" s="1"/>
  <c r="CF27" i="15" s="1"/>
  <c r="CG27" i="15" s="1"/>
  <c r="AF23" i="15"/>
  <c r="AG23" i="15" s="1"/>
  <c r="AH23" i="15" s="1"/>
  <c r="AI23" i="15" s="1"/>
  <c r="AJ23" i="15" s="1"/>
  <c r="AK23" i="15" s="1"/>
  <c r="AL23" i="15" s="1"/>
  <c r="AM23" i="15" s="1"/>
  <c r="AN23" i="15" s="1"/>
  <c r="AO23" i="15" s="1"/>
  <c r="AP23" i="15" s="1"/>
  <c r="AQ23" i="15" s="1"/>
  <c r="AR23" i="15" s="1"/>
  <c r="AS23" i="15" s="1"/>
  <c r="AT23" i="15" s="1"/>
  <c r="AU23" i="15" s="1"/>
  <c r="AV23" i="15" s="1"/>
  <c r="AW23" i="15" s="1"/>
  <c r="AX23" i="15" s="1"/>
  <c r="AY23" i="15" s="1"/>
  <c r="AZ23" i="15" s="1"/>
  <c r="BA23" i="15" s="1"/>
  <c r="BB23" i="15" s="1"/>
  <c r="BC23" i="15" s="1"/>
  <c r="BD23" i="15" s="1"/>
  <c r="BE23" i="15" s="1"/>
  <c r="BF23" i="15" s="1"/>
  <c r="BG23" i="15" s="1"/>
  <c r="BH23" i="15" s="1"/>
  <c r="BI23" i="15" s="1"/>
  <c r="BJ23" i="15" s="1"/>
  <c r="BK23" i="15" s="1"/>
  <c r="BL23" i="15" s="1"/>
  <c r="BM23" i="15" s="1"/>
  <c r="BN23" i="15" s="1"/>
  <c r="BO23" i="15" s="1"/>
  <c r="BP23" i="15" s="1"/>
  <c r="BQ23" i="15" s="1"/>
  <c r="BR23" i="15" s="1"/>
  <c r="BS23" i="15" s="1"/>
  <c r="BT23" i="15" s="1"/>
  <c r="BU23" i="15" s="1"/>
  <c r="BV23" i="15" s="1"/>
  <c r="BW23" i="15" s="1"/>
  <c r="BX23" i="15" s="1"/>
  <c r="BY23" i="15" s="1"/>
  <c r="BZ23" i="15" s="1"/>
  <c r="CA23" i="15" s="1"/>
  <c r="CB23" i="15" s="1"/>
  <c r="CC23" i="15" s="1"/>
  <c r="CD23" i="15" s="1"/>
  <c r="CE23" i="15" s="1"/>
  <c r="CF23" i="15" s="1"/>
  <c r="CG23" i="15" s="1"/>
  <c r="CH23" i="15" s="1"/>
  <c r="CI23" i="15" s="1"/>
  <c r="CJ23" i="15" s="1"/>
  <c r="CK23" i="15" s="1"/>
  <c r="CL23" i="15" s="1"/>
  <c r="CM23" i="15" s="1"/>
  <c r="CN23" i="15" s="1"/>
  <c r="CO23" i="15" s="1"/>
  <c r="CQ23" i="15" s="1"/>
  <c r="AF22" i="15"/>
  <c r="AG22" i="15" s="1"/>
  <c r="AH22" i="15" s="1"/>
  <c r="AI22" i="15" s="1"/>
  <c r="AJ22" i="15" s="1"/>
  <c r="AK22" i="15" s="1"/>
  <c r="AL22" i="15" s="1"/>
  <c r="AM22" i="15" s="1"/>
  <c r="AN22" i="15" s="1"/>
  <c r="AO22" i="15" s="1"/>
  <c r="AP22" i="15" s="1"/>
  <c r="AQ22" i="15" s="1"/>
  <c r="AR22" i="15" s="1"/>
  <c r="AS22" i="15" s="1"/>
  <c r="AT22" i="15" s="1"/>
  <c r="AU22" i="15" s="1"/>
  <c r="AV22" i="15" s="1"/>
  <c r="AW22" i="15" s="1"/>
  <c r="AX22" i="15" s="1"/>
  <c r="AY22" i="15" s="1"/>
  <c r="AZ22" i="15" s="1"/>
  <c r="BA22" i="15" s="1"/>
  <c r="BB22" i="15" s="1"/>
  <c r="BC22" i="15" s="1"/>
  <c r="BD22" i="15" s="1"/>
  <c r="BE22" i="15" s="1"/>
  <c r="BF22" i="15" s="1"/>
  <c r="BG22" i="15" s="1"/>
  <c r="BH22" i="15" s="1"/>
  <c r="BI22" i="15" s="1"/>
  <c r="BJ22" i="15" s="1"/>
  <c r="BK22" i="15" s="1"/>
  <c r="BL22" i="15" s="1"/>
  <c r="BM22" i="15" s="1"/>
  <c r="BN22" i="15" s="1"/>
  <c r="BO22" i="15" s="1"/>
  <c r="BP22" i="15" s="1"/>
  <c r="BQ22" i="15" s="1"/>
  <c r="BR22" i="15" s="1"/>
  <c r="BS22" i="15" s="1"/>
  <c r="BT22" i="15" s="1"/>
  <c r="BU22" i="15" s="1"/>
  <c r="BV22" i="15" s="1"/>
  <c r="BW22" i="15" s="1"/>
  <c r="BX22" i="15" s="1"/>
  <c r="BY22" i="15" s="1"/>
  <c r="BZ22" i="15" s="1"/>
  <c r="CA22" i="15" s="1"/>
  <c r="CB22" i="15" s="1"/>
  <c r="CC22" i="15" s="1"/>
  <c r="CD22" i="15" s="1"/>
  <c r="CE22" i="15" s="1"/>
  <c r="CF22" i="15" s="1"/>
  <c r="CG22" i="15" s="1"/>
  <c r="CH22" i="15" s="1"/>
  <c r="CI22" i="15" s="1"/>
  <c r="CJ22" i="15" s="1"/>
  <c r="CK22" i="15" s="1"/>
  <c r="CL22" i="15" s="1"/>
  <c r="CM22" i="15" s="1"/>
  <c r="CN22" i="15" s="1"/>
  <c r="CO22" i="15" s="1"/>
  <c r="CQ22" i="15" s="1"/>
  <c r="I20" i="15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AB20" i="15" s="1"/>
  <c r="AC20" i="15" s="1"/>
  <c r="AD20" i="15" s="1"/>
  <c r="AE20" i="15" s="1"/>
  <c r="AF20" i="15" s="1"/>
  <c r="AG20" i="15" s="1"/>
  <c r="AH20" i="15" s="1"/>
  <c r="AI20" i="15" s="1"/>
  <c r="AJ20" i="15" s="1"/>
  <c r="AK20" i="15" s="1"/>
  <c r="AL20" i="15" s="1"/>
  <c r="AM20" i="15" s="1"/>
  <c r="AN20" i="15" s="1"/>
  <c r="AO20" i="15" s="1"/>
  <c r="AP20" i="15" s="1"/>
  <c r="AQ20" i="15" s="1"/>
  <c r="AR20" i="15" s="1"/>
  <c r="AS20" i="15" s="1"/>
  <c r="AT20" i="15" s="1"/>
  <c r="AU20" i="15" s="1"/>
  <c r="AV20" i="15" s="1"/>
  <c r="AW20" i="15" s="1"/>
  <c r="AX20" i="15" s="1"/>
  <c r="AY20" i="15" s="1"/>
  <c r="AZ20" i="15" s="1"/>
  <c r="BA20" i="15" s="1"/>
  <c r="BB20" i="15" s="1"/>
  <c r="BC20" i="15" s="1"/>
  <c r="BD20" i="15" s="1"/>
  <c r="BE20" i="15" s="1"/>
  <c r="BF20" i="15" s="1"/>
  <c r="BG20" i="15" s="1"/>
  <c r="BH20" i="15" s="1"/>
  <c r="BI20" i="15" s="1"/>
  <c r="BJ20" i="15" s="1"/>
  <c r="BK20" i="15" s="1"/>
  <c r="BL20" i="15" s="1"/>
  <c r="BM20" i="15" s="1"/>
  <c r="BN20" i="15" s="1"/>
  <c r="BO20" i="15" s="1"/>
  <c r="BP20" i="15" s="1"/>
  <c r="BQ20" i="15" s="1"/>
  <c r="BR20" i="15" s="1"/>
  <c r="BS20" i="15" s="1"/>
  <c r="BT20" i="15" s="1"/>
  <c r="BU20" i="15" s="1"/>
  <c r="BV20" i="15" s="1"/>
  <c r="BW20" i="15" s="1"/>
  <c r="BX20" i="15" s="1"/>
  <c r="BY20" i="15" s="1"/>
  <c r="BZ20" i="15" s="1"/>
  <c r="CA20" i="15" s="1"/>
  <c r="CB20" i="15" s="1"/>
  <c r="CC20" i="15" s="1"/>
  <c r="CD20" i="15" s="1"/>
  <c r="CE20" i="15" s="1"/>
  <c r="CF20" i="15" s="1"/>
  <c r="CG20" i="15" s="1"/>
  <c r="CH20" i="15" s="1"/>
  <c r="CI20" i="15" s="1"/>
  <c r="CJ20" i="15" s="1"/>
  <c r="CK20" i="15" s="1"/>
  <c r="CL20" i="15" s="1"/>
  <c r="CM20" i="15" s="1"/>
  <c r="CN20" i="15" s="1"/>
  <c r="CO20" i="15" s="1"/>
  <c r="CQ20" i="15" s="1"/>
  <c r="I18" i="15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Y18" i="15" s="1"/>
  <c r="Z18" i="15" s="1"/>
  <c r="AA18" i="15" s="1"/>
  <c r="AB18" i="15" s="1"/>
  <c r="AC18" i="15" s="1"/>
  <c r="AD18" i="15" s="1"/>
  <c r="AE18" i="15" s="1"/>
  <c r="AF18" i="15" s="1"/>
  <c r="AG18" i="15" s="1"/>
  <c r="AH18" i="15" s="1"/>
  <c r="AI18" i="15" s="1"/>
  <c r="AJ18" i="15" s="1"/>
  <c r="AK18" i="15" s="1"/>
  <c r="AL18" i="15" s="1"/>
  <c r="AM18" i="15" s="1"/>
  <c r="AN18" i="15" s="1"/>
  <c r="AO18" i="15" s="1"/>
  <c r="AP18" i="15" s="1"/>
  <c r="AQ18" i="15" s="1"/>
  <c r="AR18" i="15" s="1"/>
  <c r="AS18" i="15" s="1"/>
  <c r="AT18" i="15" s="1"/>
  <c r="AU18" i="15" s="1"/>
  <c r="AV18" i="15" s="1"/>
  <c r="AW18" i="15" s="1"/>
  <c r="AX18" i="15" s="1"/>
  <c r="AY18" i="15" s="1"/>
  <c r="AZ18" i="15" s="1"/>
  <c r="BA18" i="15" s="1"/>
  <c r="BB18" i="15" s="1"/>
  <c r="BC18" i="15" s="1"/>
  <c r="BD18" i="15" s="1"/>
  <c r="BE18" i="15" s="1"/>
  <c r="BF18" i="15" s="1"/>
  <c r="BG18" i="15" s="1"/>
  <c r="BH18" i="15" s="1"/>
  <c r="BI18" i="15" s="1"/>
  <c r="BJ18" i="15" s="1"/>
  <c r="BK18" i="15" s="1"/>
  <c r="BL18" i="15" s="1"/>
  <c r="BM18" i="15" s="1"/>
  <c r="BN18" i="15" s="1"/>
  <c r="BO18" i="15" s="1"/>
  <c r="BP18" i="15" s="1"/>
  <c r="BQ18" i="15" s="1"/>
  <c r="BR18" i="15" s="1"/>
  <c r="BS18" i="15" s="1"/>
  <c r="BT18" i="15" s="1"/>
  <c r="BU18" i="15" s="1"/>
  <c r="BV18" i="15" s="1"/>
  <c r="BW18" i="15" s="1"/>
  <c r="BX18" i="15" s="1"/>
  <c r="BY18" i="15" s="1"/>
  <c r="BZ18" i="15" s="1"/>
  <c r="CA18" i="15" s="1"/>
  <c r="CB18" i="15" s="1"/>
  <c r="CC18" i="15" s="1"/>
  <c r="CD18" i="15" s="1"/>
  <c r="CE18" i="15" s="1"/>
  <c r="CF18" i="15" s="1"/>
  <c r="CG18" i="15" s="1"/>
  <c r="CH18" i="15" s="1"/>
  <c r="CI18" i="15" s="1"/>
  <c r="CJ18" i="15" s="1"/>
  <c r="CK18" i="15" s="1"/>
  <c r="CL18" i="15" s="1"/>
  <c r="CM18" i="15" s="1"/>
  <c r="CN18" i="15" s="1"/>
  <c r="CO18" i="15" s="1"/>
  <c r="CQ18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CK14" i="15"/>
  <c r="CJ14" i="15"/>
  <c r="CI14" i="15"/>
  <c r="CH14" i="15"/>
  <c r="CG14" i="15"/>
  <c r="CF14" i="15"/>
  <c r="CE14" i="15"/>
  <c r="CD14" i="15"/>
  <c r="CC14" i="15"/>
  <c r="CB14" i="15"/>
  <c r="CA14" i="15"/>
  <c r="BZ14" i="15"/>
  <c r="BY14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O19" i="12" s="1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J14" i="15"/>
  <c r="I14" i="15"/>
  <c r="H14" i="15"/>
  <c r="O20" i="12" s="1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G14" i="15"/>
  <c r="G8" i="15"/>
  <c r="P3" i="13"/>
  <c r="G5" i="13"/>
  <c r="G4" i="13"/>
  <c r="G3" i="13"/>
  <c r="N19" i="12" l="1"/>
  <c r="R3" i="13" s="1"/>
  <c r="R4" i="13" s="1"/>
  <c r="R5" i="13" s="1"/>
  <c r="R6" i="13" s="1"/>
  <c r="N13" i="12"/>
  <c r="Q3" i="13" s="1"/>
  <c r="O13" i="12"/>
  <c r="W3" i="13" s="1"/>
  <c r="W4" i="13" s="1"/>
  <c r="W5" i="13" s="1"/>
  <c r="N20" i="12"/>
  <c r="S3" i="13" s="1"/>
  <c r="S4" i="13" s="1"/>
  <c r="S5" i="13" s="1"/>
  <c r="M70" i="16"/>
  <c r="CH27" i="15"/>
  <c r="CI27" i="15" s="1"/>
  <c r="CJ27" i="15" s="1"/>
  <c r="CK27" i="15" s="1"/>
  <c r="CL27" i="15" s="1"/>
  <c r="N14" i="12"/>
  <c r="T3" i="13" s="1"/>
  <c r="T4" i="13" s="1"/>
  <c r="N25" i="12"/>
  <c r="T5" i="13" s="1"/>
  <c r="G57" i="15"/>
  <c r="G33" i="15"/>
  <c r="G60" i="15"/>
  <c r="G56" i="15"/>
  <c r="G52" i="15"/>
  <c r="G48" i="15"/>
  <c r="G44" i="15"/>
  <c r="G40" i="15"/>
  <c r="G36" i="15"/>
  <c r="G32" i="15"/>
  <c r="G28" i="15"/>
  <c r="G59" i="15"/>
  <c r="G55" i="15"/>
  <c r="G51" i="15"/>
  <c r="G47" i="15"/>
  <c r="G43" i="15"/>
  <c r="G39" i="15"/>
  <c r="G35" i="15"/>
  <c r="G31" i="15"/>
  <c r="G26" i="15"/>
  <c r="G22" i="15"/>
  <c r="G58" i="15"/>
  <c r="G54" i="15"/>
  <c r="G50" i="15"/>
  <c r="G46" i="15"/>
  <c r="G42" i="15"/>
  <c r="G38" i="15"/>
  <c r="G34" i="15"/>
  <c r="G30" i="15"/>
  <c r="G53" i="15"/>
  <c r="G25" i="15"/>
  <c r="G41" i="15"/>
  <c r="G21" i="15"/>
  <c r="G61" i="15"/>
  <c r="G24" i="15"/>
  <c r="G23" i="15"/>
  <c r="G16" i="15"/>
  <c r="G45" i="15"/>
  <c r="G15" i="15"/>
  <c r="G17" i="15"/>
  <c r="G37" i="15"/>
  <c r="G18" i="15"/>
  <c r="G19" i="15"/>
  <c r="G49" i="15"/>
  <c r="G20" i="15"/>
  <c r="G27" i="15"/>
  <c r="G29" i="15"/>
  <c r="AD5" i="13" l="1"/>
  <c r="AJ5" i="13" s="1"/>
  <c r="AE4" i="13"/>
  <c r="AK4" i="13" s="1"/>
  <c r="AD4" i="13"/>
  <c r="AJ4" i="13" s="1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CM27" i="15"/>
  <c r="W6" i="13"/>
  <c r="S6" i="13"/>
  <c r="AE5" i="13"/>
  <c r="AK5" i="13" s="1"/>
  <c r="R7" i="13"/>
  <c r="AD6" i="13"/>
  <c r="AJ6" i="13" s="1"/>
  <c r="CN27" i="15" l="1"/>
  <c r="CO27" i="15" s="1"/>
  <c r="O14" i="12"/>
  <c r="Z3" i="13" s="1"/>
  <c r="Z4" i="13" s="1"/>
  <c r="AF4" i="13" s="1"/>
  <c r="AL4" i="13" s="1"/>
  <c r="W7" i="13"/>
  <c r="S7" i="13"/>
  <c r="AE6" i="13"/>
  <c r="AK6" i="13" s="1"/>
  <c r="R8" i="13"/>
  <c r="AD7" i="13"/>
  <c r="AJ7" i="13" s="1"/>
  <c r="CQ27" i="15" l="1"/>
  <c r="O25" i="12"/>
  <c r="W8" i="13"/>
  <c r="S8" i="13"/>
  <c r="AE7" i="13"/>
  <c r="AK7" i="13" s="1"/>
  <c r="R9" i="13"/>
  <c r="AD8" i="13"/>
  <c r="AJ8" i="13" s="1"/>
  <c r="Z5" i="13" l="1"/>
  <c r="P25" i="12"/>
  <c r="R25" i="12" s="1"/>
  <c r="W9" i="13"/>
  <c r="S9" i="13"/>
  <c r="AE8" i="13"/>
  <c r="AK8" i="13" s="1"/>
  <c r="R10" i="13"/>
  <c r="AD9" i="13"/>
  <c r="AJ9" i="13" s="1"/>
  <c r="AF5" i="13" l="1"/>
  <c r="AL5" i="13" s="1"/>
  <c r="Z6" i="13"/>
  <c r="W10" i="13"/>
  <c r="S10" i="13"/>
  <c r="AE9" i="13"/>
  <c r="AK9" i="13" s="1"/>
  <c r="R11" i="13"/>
  <c r="AD10" i="13"/>
  <c r="AJ10" i="13" s="1"/>
  <c r="Z7" i="13" l="1"/>
  <c r="AF6" i="13"/>
  <c r="AL6" i="13" s="1"/>
  <c r="W11" i="13"/>
  <c r="S11" i="13"/>
  <c r="AE10" i="13"/>
  <c r="AK10" i="13" s="1"/>
  <c r="R12" i="13"/>
  <c r="AD11" i="13"/>
  <c r="AJ11" i="13" s="1"/>
  <c r="Z8" i="13" l="1"/>
  <c r="AF7" i="13"/>
  <c r="AL7" i="13" s="1"/>
  <c r="W12" i="13"/>
  <c r="S12" i="13"/>
  <c r="AE11" i="13"/>
  <c r="AK11" i="13" s="1"/>
  <c r="R13" i="13"/>
  <c r="AD12" i="13"/>
  <c r="AJ12" i="13" s="1"/>
  <c r="AF8" i="13" l="1"/>
  <c r="AL8" i="13" s="1"/>
  <c r="Z9" i="13"/>
  <c r="W13" i="13"/>
  <c r="S13" i="13"/>
  <c r="AE12" i="13"/>
  <c r="AK12" i="13" s="1"/>
  <c r="R14" i="13"/>
  <c r="AD13" i="13"/>
  <c r="AJ13" i="13" s="1"/>
  <c r="Z10" i="13" l="1"/>
  <c r="AF9" i="13"/>
  <c r="AL9" i="13" s="1"/>
  <c r="W14" i="13"/>
  <c r="S14" i="13"/>
  <c r="AE13" i="13"/>
  <c r="AK13" i="13" s="1"/>
  <c r="R15" i="13"/>
  <c r="AD14" i="13"/>
  <c r="AJ14" i="13" s="1"/>
  <c r="Z11" i="13" l="1"/>
  <c r="AF10" i="13"/>
  <c r="AL10" i="13" s="1"/>
  <c r="W15" i="13"/>
  <c r="S15" i="13"/>
  <c r="AE14" i="13"/>
  <c r="AK14" i="13" s="1"/>
  <c r="R16" i="13"/>
  <c r="AD15" i="13"/>
  <c r="AJ15" i="13" s="1"/>
  <c r="AF11" i="13" l="1"/>
  <c r="AL11" i="13" s="1"/>
  <c r="Z12" i="13"/>
  <c r="W16" i="13"/>
  <c r="S16" i="13"/>
  <c r="AE15" i="13"/>
  <c r="AK15" i="13" s="1"/>
  <c r="R17" i="13"/>
  <c r="AD16" i="13"/>
  <c r="AJ16" i="13" s="1"/>
  <c r="Z13" i="13" l="1"/>
  <c r="AF12" i="13"/>
  <c r="AL12" i="13" s="1"/>
  <c r="W17" i="13"/>
  <c r="S17" i="13"/>
  <c r="AE16" i="13"/>
  <c r="AK16" i="13" s="1"/>
  <c r="R18" i="13"/>
  <c r="AD17" i="13"/>
  <c r="AJ17" i="13" s="1"/>
  <c r="AF13" i="13" l="1"/>
  <c r="AL13" i="13" s="1"/>
  <c r="Z14" i="13"/>
  <c r="W18" i="13"/>
  <c r="S18" i="13"/>
  <c r="AE17" i="13"/>
  <c r="AK17" i="13" s="1"/>
  <c r="R19" i="13"/>
  <c r="AD18" i="13"/>
  <c r="AJ18" i="13" s="1"/>
  <c r="AF14" i="13" l="1"/>
  <c r="AL14" i="13" s="1"/>
  <c r="Z15" i="13"/>
  <c r="W19" i="13"/>
  <c r="S19" i="13"/>
  <c r="AE18" i="13"/>
  <c r="AK18" i="13" s="1"/>
  <c r="R20" i="13"/>
  <c r="AD19" i="13"/>
  <c r="AJ19" i="13" s="1"/>
  <c r="AF15" i="13" l="1"/>
  <c r="AL15" i="13" s="1"/>
  <c r="Z16" i="13"/>
  <c r="W20" i="13"/>
  <c r="S20" i="13"/>
  <c r="AE19" i="13"/>
  <c r="AK19" i="13" s="1"/>
  <c r="R21" i="13"/>
  <c r="AD20" i="13"/>
  <c r="AJ20" i="13" s="1"/>
  <c r="Z17" i="13" l="1"/>
  <c r="AF16" i="13"/>
  <c r="AL16" i="13" s="1"/>
  <c r="W21" i="13"/>
  <c r="S21" i="13"/>
  <c r="AE20" i="13"/>
  <c r="AK20" i="13" s="1"/>
  <c r="R22" i="13"/>
  <c r="AD21" i="13"/>
  <c r="AJ21" i="13" s="1"/>
  <c r="AF17" i="13" l="1"/>
  <c r="AL17" i="13" s="1"/>
  <c r="Z18" i="13"/>
  <c r="W22" i="13"/>
  <c r="S22" i="13"/>
  <c r="AE21" i="13"/>
  <c r="AK21" i="13" s="1"/>
  <c r="R23" i="13"/>
  <c r="AD22" i="13"/>
  <c r="AJ22" i="13" s="1"/>
  <c r="AF18" i="13" l="1"/>
  <c r="AL18" i="13" s="1"/>
  <c r="Z19" i="13"/>
  <c r="W23" i="13"/>
  <c r="S23" i="13"/>
  <c r="AE22" i="13"/>
  <c r="AK22" i="13" s="1"/>
  <c r="R24" i="13"/>
  <c r="AD23" i="13"/>
  <c r="AJ23" i="13" s="1"/>
  <c r="Z20" i="13" l="1"/>
  <c r="AF19" i="13"/>
  <c r="AL19" i="13" s="1"/>
  <c r="W24" i="13"/>
  <c r="S24" i="13"/>
  <c r="AE23" i="13"/>
  <c r="AK23" i="13" s="1"/>
  <c r="R25" i="13"/>
  <c r="AD24" i="13"/>
  <c r="AJ24" i="13" s="1"/>
  <c r="Z21" i="13" l="1"/>
  <c r="AF20" i="13"/>
  <c r="AL20" i="13" s="1"/>
  <c r="W25" i="13"/>
  <c r="S25" i="13"/>
  <c r="AE24" i="13"/>
  <c r="AK24" i="13" s="1"/>
  <c r="R26" i="13"/>
  <c r="AD25" i="13"/>
  <c r="AJ25" i="13" s="1"/>
  <c r="AF21" i="13" l="1"/>
  <c r="AL21" i="13" s="1"/>
  <c r="Z22" i="13"/>
  <c r="W26" i="13"/>
  <c r="S26" i="13"/>
  <c r="AE25" i="13"/>
  <c r="AK25" i="13" s="1"/>
  <c r="R27" i="13"/>
  <c r="AD26" i="13"/>
  <c r="AJ26" i="13" s="1"/>
  <c r="Z23" i="13" l="1"/>
  <c r="AF22" i="13"/>
  <c r="AL22" i="13" s="1"/>
  <c r="W27" i="13"/>
  <c r="S27" i="13"/>
  <c r="AE26" i="13"/>
  <c r="AK26" i="13" s="1"/>
  <c r="R28" i="13"/>
  <c r="AD27" i="13"/>
  <c r="AJ27" i="13" s="1"/>
  <c r="Z24" i="13" l="1"/>
  <c r="AF23" i="13"/>
  <c r="AL23" i="13" s="1"/>
  <c r="W28" i="13"/>
  <c r="S28" i="13"/>
  <c r="AE27" i="13"/>
  <c r="AK27" i="13" s="1"/>
  <c r="R29" i="13"/>
  <c r="AD28" i="13"/>
  <c r="AJ28" i="13" s="1"/>
  <c r="Z25" i="13" l="1"/>
  <c r="AF24" i="13"/>
  <c r="AL24" i="13" s="1"/>
  <c r="W29" i="13"/>
  <c r="S29" i="13"/>
  <c r="AE28" i="13"/>
  <c r="AK28" i="13" s="1"/>
  <c r="R30" i="13"/>
  <c r="AD29" i="13"/>
  <c r="AJ29" i="13" s="1"/>
  <c r="Z26" i="13" l="1"/>
  <c r="AF25" i="13"/>
  <c r="AL25" i="13" s="1"/>
  <c r="W30" i="13"/>
  <c r="S30" i="13"/>
  <c r="AE29" i="13"/>
  <c r="AK29" i="13" s="1"/>
  <c r="R31" i="13"/>
  <c r="AD30" i="13"/>
  <c r="AJ30" i="13" s="1"/>
  <c r="Z27" i="13" l="1"/>
  <c r="AF26" i="13"/>
  <c r="AL26" i="13" s="1"/>
  <c r="W31" i="13"/>
  <c r="S31" i="13"/>
  <c r="AE30" i="13"/>
  <c r="AK30" i="13" s="1"/>
  <c r="R32" i="13"/>
  <c r="AD31" i="13"/>
  <c r="AJ31" i="13" s="1"/>
  <c r="AF27" i="13" l="1"/>
  <c r="AL27" i="13" s="1"/>
  <c r="Z28" i="13"/>
  <c r="W32" i="13"/>
  <c r="S32" i="13"/>
  <c r="AE31" i="13"/>
  <c r="AK31" i="13" s="1"/>
  <c r="R33" i="13"/>
  <c r="AD32" i="13"/>
  <c r="AJ32" i="13" s="1"/>
  <c r="Z29" i="13" l="1"/>
  <c r="AF28" i="13"/>
  <c r="AL28" i="13" s="1"/>
  <c r="W33" i="13"/>
  <c r="S33" i="13"/>
  <c r="AE32" i="13"/>
  <c r="AK32" i="13" s="1"/>
  <c r="R34" i="13"/>
  <c r="AD33" i="13"/>
  <c r="AJ33" i="13" s="1"/>
  <c r="AF29" i="13" l="1"/>
  <c r="AL29" i="13" s="1"/>
  <c r="Z30" i="13"/>
  <c r="W34" i="13"/>
  <c r="S34" i="13"/>
  <c r="AE33" i="13"/>
  <c r="AK33" i="13" s="1"/>
  <c r="R35" i="13"/>
  <c r="AD34" i="13"/>
  <c r="AJ34" i="13" s="1"/>
  <c r="Z31" i="13" l="1"/>
  <c r="AF30" i="13"/>
  <c r="AL30" i="13" s="1"/>
  <c r="W35" i="13"/>
  <c r="S35" i="13"/>
  <c r="AE34" i="13"/>
  <c r="AK34" i="13" s="1"/>
  <c r="R36" i="13"/>
  <c r="AD35" i="13"/>
  <c r="AJ35" i="13" s="1"/>
  <c r="AF31" i="13" l="1"/>
  <c r="AL31" i="13" s="1"/>
  <c r="Z32" i="13"/>
  <c r="W36" i="13"/>
  <c r="S36" i="13"/>
  <c r="AE35" i="13"/>
  <c r="AK35" i="13" s="1"/>
  <c r="R37" i="13"/>
  <c r="AD36" i="13"/>
  <c r="AJ36" i="13" s="1"/>
  <c r="Z33" i="13" l="1"/>
  <c r="AF32" i="13"/>
  <c r="AL32" i="13" s="1"/>
  <c r="W37" i="13"/>
  <c r="S37" i="13"/>
  <c r="AE36" i="13"/>
  <c r="AK36" i="13" s="1"/>
  <c r="R38" i="13"/>
  <c r="AD37" i="13"/>
  <c r="AJ37" i="13" s="1"/>
  <c r="AF33" i="13" l="1"/>
  <c r="AL33" i="13" s="1"/>
  <c r="Z34" i="13"/>
  <c r="W38" i="13"/>
  <c r="S38" i="13"/>
  <c r="AE37" i="13"/>
  <c r="AK37" i="13" s="1"/>
  <c r="R39" i="13"/>
  <c r="AD38" i="13"/>
  <c r="AJ38" i="13" s="1"/>
  <c r="Z35" i="13" l="1"/>
  <c r="AF34" i="13"/>
  <c r="AL34" i="13" s="1"/>
  <c r="W39" i="13"/>
  <c r="S39" i="13"/>
  <c r="AE38" i="13"/>
  <c r="AK38" i="13" s="1"/>
  <c r="R40" i="13"/>
  <c r="AD39" i="13"/>
  <c r="AJ39" i="13" s="1"/>
  <c r="Z36" i="13" l="1"/>
  <c r="AF35" i="13"/>
  <c r="AL35" i="13" s="1"/>
  <c r="W40" i="13"/>
  <c r="S40" i="13"/>
  <c r="AE39" i="13"/>
  <c r="AK39" i="13" s="1"/>
  <c r="R41" i="13"/>
  <c r="AD40" i="13"/>
  <c r="AJ40" i="13" s="1"/>
  <c r="Z37" i="13" l="1"/>
  <c r="AF36" i="13"/>
  <c r="AL36" i="13" s="1"/>
  <c r="W41" i="13"/>
  <c r="S41" i="13"/>
  <c r="AE40" i="13"/>
  <c r="AK40" i="13" s="1"/>
  <c r="R42" i="13"/>
  <c r="AD41" i="13"/>
  <c r="AJ41" i="13" s="1"/>
  <c r="AF37" i="13" l="1"/>
  <c r="AL37" i="13" s="1"/>
  <c r="Z38" i="13"/>
  <c r="W42" i="13"/>
  <c r="S42" i="13"/>
  <c r="AE41" i="13"/>
  <c r="AK41" i="13" s="1"/>
  <c r="R43" i="13"/>
  <c r="AD42" i="13"/>
  <c r="AJ42" i="13" s="1"/>
  <c r="Z39" i="13" l="1"/>
  <c r="AF38" i="13"/>
  <c r="AL38" i="13" s="1"/>
  <c r="W43" i="13"/>
  <c r="S43" i="13"/>
  <c r="AE42" i="13"/>
  <c r="AK42" i="13" s="1"/>
  <c r="R44" i="13"/>
  <c r="AD43" i="13"/>
  <c r="AJ43" i="13" s="1"/>
  <c r="AF39" i="13" l="1"/>
  <c r="AL39" i="13" s="1"/>
  <c r="Z40" i="13"/>
  <c r="W44" i="13"/>
  <c r="S44" i="13"/>
  <c r="AE43" i="13"/>
  <c r="AK43" i="13" s="1"/>
  <c r="R45" i="13"/>
  <c r="AD44" i="13"/>
  <c r="AJ44" i="13" s="1"/>
  <c r="AF40" i="13" l="1"/>
  <c r="AL40" i="13" s="1"/>
  <c r="Z41" i="13"/>
  <c r="W45" i="13"/>
  <c r="S45" i="13"/>
  <c r="AE44" i="13"/>
  <c r="AK44" i="13" s="1"/>
  <c r="R46" i="13"/>
  <c r="AD45" i="13"/>
  <c r="AJ45" i="13" s="1"/>
  <c r="AF41" i="13" l="1"/>
  <c r="AL41" i="13" s="1"/>
  <c r="Z42" i="13"/>
  <c r="W46" i="13"/>
  <c r="S46" i="13"/>
  <c r="AE45" i="13"/>
  <c r="AK45" i="13" s="1"/>
  <c r="R47" i="13"/>
  <c r="AD46" i="13"/>
  <c r="AJ46" i="13" s="1"/>
  <c r="AF42" i="13" l="1"/>
  <c r="AL42" i="13" s="1"/>
  <c r="Z43" i="13"/>
  <c r="W47" i="13"/>
  <c r="S47" i="13"/>
  <c r="AE46" i="13"/>
  <c r="AK46" i="13" s="1"/>
  <c r="R48" i="13"/>
  <c r="AD47" i="13"/>
  <c r="AJ47" i="13" s="1"/>
  <c r="Z44" i="13" l="1"/>
  <c r="AF43" i="13"/>
  <c r="AL43" i="13" s="1"/>
  <c r="W48" i="13"/>
  <c r="S48" i="13"/>
  <c r="AE47" i="13"/>
  <c r="AK47" i="13" s="1"/>
  <c r="R49" i="13"/>
  <c r="AD48" i="13"/>
  <c r="AJ48" i="13" s="1"/>
  <c r="AF44" i="13" l="1"/>
  <c r="AL44" i="13" s="1"/>
  <c r="Z45" i="13"/>
  <c r="W49" i="13"/>
  <c r="S49" i="13"/>
  <c r="AE48" i="13"/>
  <c r="AK48" i="13" s="1"/>
  <c r="R50" i="13"/>
  <c r="AD49" i="13"/>
  <c r="AJ49" i="13" s="1"/>
  <c r="Z46" i="13" l="1"/>
  <c r="AF45" i="13"/>
  <c r="AL45" i="13" s="1"/>
  <c r="W50" i="13"/>
  <c r="S50" i="13"/>
  <c r="AE49" i="13"/>
  <c r="AK49" i="13" s="1"/>
  <c r="R51" i="13"/>
  <c r="AD50" i="13"/>
  <c r="AJ50" i="13" s="1"/>
  <c r="Z47" i="13" l="1"/>
  <c r="AF46" i="13"/>
  <c r="AL46" i="13" s="1"/>
  <c r="W51" i="13"/>
  <c r="S51" i="13"/>
  <c r="AE50" i="13"/>
  <c r="AK50" i="13" s="1"/>
  <c r="R52" i="13"/>
  <c r="AD51" i="13"/>
  <c r="AJ51" i="13" s="1"/>
  <c r="Z48" i="13" l="1"/>
  <c r="AF47" i="13"/>
  <c r="AL47" i="13" s="1"/>
  <c r="W52" i="13"/>
  <c r="S52" i="13"/>
  <c r="AE51" i="13"/>
  <c r="AK51" i="13" s="1"/>
  <c r="R53" i="13"/>
  <c r="AD52" i="13"/>
  <c r="AJ52" i="13" s="1"/>
  <c r="Z49" i="13" l="1"/>
  <c r="AF48" i="13"/>
  <c r="AL48" i="13" s="1"/>
  <c r="W53" i="13"/>
  <c r="S53" i="13"/>
  <c r="AE52" i="13"/>
  <c r="AK52" i="13" s="1"/>
  <c r="R54" i="13"/>
  <c r="AD53" i="13"/>
  <c r="AJ53" i="13" s="1"/>
  <c r="Z50" i="13" l="1"/>
  <c r="AF49" i="13"/>
  <c r="AL49" i="13" s="1"/>
  <c r="W54" i="13"/>
  <c r="S54" i="13"/>
  <c r="AE53" i="13"/>
  <c r="AK53" i="13" s="1"/>
  <c r="R55" i="13"/>
  <c r="AD54" i="13"/>
  <c r="AJ54" i="13" s="1"/>
  <c r="Z51" i="13" l="1"/>
  <c r="AF50" i="13"/>
  <c r="AL50" i="13" s="1"/>
  <c r="W55" i="13"/>
  <c r="S55" i="13"/>
  <c r="AE54" i="13"/>
  <c r="AK54" i="13" s="1"/>
  <c r="R56" i="13"/>
  <c r="AD55" i="13"/>
  <c r="AJ55" i="13" s="1"/>
  <c r="Z52" i="13" l="1"/>
  <c r="AF51" i="13"/>
  <c r="AL51" i="13" s="1"/>
  <c r="W56" i="13"/>
  <c r="S56" i="13"/>
  <c r="AE55" i="13"/>
  <c r="AK55" i="13" s="1"/>
  <c r="R57" i="13"/>
  <c r="AD56" i="13"/>
  <c r="AJ56" i="13" s="1"/>
  <c r="Z53" i="13" l="1"/>
  <c r="AF52" i="13"/>
  <c r="AL52" i="13" s="1"/>
  <c r="W57" i="13"/>
  <c r="S57" i="13"/>
  <c r="AE56" i="13"/>
  <c r="AK56" i="13" s="1"/>
  <c r="R58" i="13"/>
  <c r="AD57" i="13"/>
  <c r="AJ57" i="13" s="1"/>
  <c r="Z54" i="13" l="1"/>
  <c r="AF53" i="13"/>
  <c r="AL53" i="13" s="1"/>
  <c r="W58" i="13"/>
  <c r="S58" i="13"/>
  <c r="AE57" i="13"/>
  <c r="AK57" i="13" s="1"/>
  <c r="R59" i="13"/>
  <c r="AD58" i="13"/>
  <c r="AJ58" i="13" s="1"/>
  <c r="Z55" i="13" l="1"/>
  <c r="AF54" i="13"/>
  <c r="AL54" i="13" s="1"/>
  <c r="W59" i="13"/>
  <c r="S59" i="13"/>
  <c r="AE58" i="13"/>
  <c r="AK58" i="13" s="1"/>
  <c r="R60" i="13"/>
  <c r="AD60" i="13" s="1"/>
  <c r="AJ60" i="13" s="1"/>
  <c r="AD59" i="13"/>
  <c r="AJ59" i="13" s="1"/>
  <c r="AF55" i="13" l="1"/>
  <c r="AL55" i="13" s="1"/>
  <c r="Z56" i="13"/>
  <c r="W60" i="13"/>
  <c r="S60" i="13"/>
  <c r="AE60" i="13" s="1"/>
  <c r="AK60" i="13" s="1"/>
  <c r="AE59" i="13"/>
  <c r="AK59" i="13" s="1"/>
  <c r="AF56" i="13" l="1"/>
  <c r="AL56" i="13" s="1"/>
  <c r="Z57" i="13"/>
  <c r="A3" i="11"/>
  <c r="A4" i="11" s="1"/>
  <c r="A5" i="11" s="1"/>
  <c r="A6" i="11" s="1"/>
  <c r="A7" i="11" s="1"/>
  <c r="A8" i="11" s="1"/>
  <c r="A9" i="11" s="1"/>
  <c r="A10" i="11" s="1"/>
  <c r="A11" i="11" s="1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C29" i="5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C38" i="4"/>
  <c r="D39" i="4" s="1"/>
  <c r="D37" i="4"/>
  <c r="D36" i="4"/>
  <c r="D35" i="4"/>
  <c r="D34" i="4"/>
  <c r="D33" i="4"/>
  <c r="D32" i="4"/>
  <c r="D31" i="4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H24" i="20"/>
  <c r="H23" i="20"/>
  <c r="H22" i="20"/>
  <c r="H21" i="20"/>
  <c r="O20" i="20"/>
  <c r="O21" i="20" s="1"/>
  <c r="H17" i="20" s="1"/>
  <c r="N20" i="20"/>
  <c r="L20" i="20"/>
  <c r="Q19" i="20"/>
  <c r="F19" i="20"/>
  <c r="C19" i="20"/>
  <c r="H18" i="20"/>
  <c r="H19" i="20" s="1"/>
  <c r="C18" i="20"/>
  <c r="C17" i="20"/>
  <c r="H16" i="20"/>
  <c r="C16" i="20"/>
  <c r="L14" i="20"/>
  <c r="M14" i="20" s="1"/>
  <c r="P13" i="20"/>
  <c r="J11" i="20"/>
  <c r="D6" i="20"/>
  <c r="H5" i="20"/>
  <c r="N4" i="20"/>
  <c r="M4" i="20"/>
  <c r="D4" i="20"/>
  <c r="D5" i="20" s="1"/>
  <c r="T3" i="20"/>
  <c r="AQ60" i="13"/>
  <c r="H60" i="13"/>
  <c r="AQ59" i="13"/>
  <c r="H59" i="13"/>
  <c r="AQ58" i="13"/>
  <c r="H58" i="13"/>
  <c r="AQ57" i="13"/>
  <c r="H57" i="13"/>
  <c r="AQ56" i="13"/>
  <c r="H56" i="13"/>
  <c r="AQ55" i="13"/>
  <c r="H55" i="13"/>
  <c r="AQ54" i="13"/>
  <c r="H54" i="13"/>
  <c r="AQ53" i="13"/>
  <c r="H53" i="13"/>
  <c r="AQ52" i="13"/>
  <c r="H52" i="13"/>
  <c r="AQ51" i="13"/>
  <c r="H51" i="13"/>
  <c r="AQ50" i="13"/>
  <c r="H50" i="13"/>
  <c r="AQ49" i="13"/>
  <c r="H49" i="13"/>
  <c r="AQ48" i="13"/>
  <c r="H48" i="13"/>
  <c r="AQ47" i="13"/>
  <c r="H47" i="13"/>
  <c r="AQ46" i="13"/>
  <c r="H46" i="13"/>
  <c r="AQ45" i="13"/>
  <c r="H45" i="13"/>
  <c r="AQ44" i="13"/>
  <c r="H44" i="13"/>
  <c r="AQ43" i="13"/>
  <c r="H43" i="13"/>
  <c r="AQ42" i="13"/>
  <c r="H42" i="13"/>
  <c r="AQ41" i="13"/>
  <c r="H41" i="13"/>
  <c r="AQ40" i="13"/>
  <c r="H40" i="13"/>
  <c r="AQ39" i="13"/>
  <c r="H39" i="13"/>
  <c r="AQ38" i="13"/>
  <c r="H38" i="13"/>
  <c r="AQ37" i="13"/>
  <c r="H37" i="13"/>
  <c r="AQ36" i="13"/>
  <c r="H36" i="13"/>
  <c r="AQ35" i="13"/>
  <c r="H35" i="13"/>
  <c r="AQ34" i="13"/>
  <c r="H34" i="13"/>
  <c r="AQ33" i="13"/>
  <c r="H33" i="13"/>
  <c r="AQ32" i="13"/>
  <c r="H32" i="13"/>
  <c r="AQ31" i="13"/>
  <c r="H31" i="13"/>
  <c r="AQ30" i="13"/>
  <c r="H30" i="13"/>
  <c r="AQ29" i="13"/>
  <c r="H29" i="13"/>
  <c r="AQ28" i="13"/>
  <c r="H28" i="13"/>
  <c r="AQ27" i="13"/>
  <c r="H27" i="13"/>
  <c r="AQ26" i="13"/>
  <c r="H26" i="13"/>
  <c r="AQ25" i="13"/>
  <c r="H25" i="13"/>
  <c r="AQ24" i="13"/>
  <c r="H24" i="13"/>
  <c r="AQ23" i="13"/>
  <c r="H23" i="13"/>
  <c r="AQ22" i="13"/>
  <c r="H22" i="13"/>
  <c r="AQ21" i="13"/>
  <c r="H21" i="13"/>
  <c r="AQ20" i="13"/>
  <c r="H20" i="13"/>
  <c r="AQ19" i="13"/>
  <c r="H19" i="13"/>
  <c r="AQ18" i="13"/>
  <c r="H18" i="13"/>
  <c r="AQ17" i="13"/>
  <c r="H17" i="13"/>
  <c r="AQ16" i="13"/>
  <c r="H16" i="13"/>
  <c r="AQ15" i="13"/>
  <c r="H15" i="13"/>
  <c r="AQ14" i="13"/>
  <c r="H14" i="13"/>
  <c r="AQ13" i="13"/>
  <c r="H13" i="13"/>
  <c r="AQ12" i="13"/>
  <c r="H12" i="13"/>
  <c r="AQ11" i="13"/>
  <c r="H11" i="13"/>
  <c r="AQ10" i="13"/>
  <c r="H10" i="13"/>
  <c r="AQ9" i="13"/>
  <c r="H9" i="13"/>
  <c r="AQ8" i="13"/>
  <c r="H8" i="13"/>
  <c r="AQ7" i="13"/>
  <c r="H7" i="13"/>
  <c r="AQ6" i="13"/>
  <c r="H6" i="13"/>
  <c r="AQ5" i="13"/>
  <c r="H5" i="13"/>
  <c r="AQ4" i="13"/>
  <c r="H4" i="13"/>
  <c r="AQ3" i="13"/>
  <c r="H3" i="13"/>
  <c r="AY2" i="13"/>
  <c r="AX2" i="13"/>
  <c r="AW2" i="13"/>
  <c r="AV2" i="13"/>
  <c r="AU2" i="13"/>
  <c r="AL2" i="13"/>
  <c r="AK2" i="13"/>
  <c r="AJ2" i="13"/>
  <c r="AI2" i="13"/>
  <c r="AH2" i="13"/>
  <c r="AF2" i="13"/>
  <c r="AE2" i="13"/>
  <c r="AD2" i="13"/>
  <c r="AC2" i="13"/>
  <c r="AB2" i="13"/>
  <c r="Z2" i="13"/>
  <c r="Y2" i="13"/>
  <c r="X2" i="13"/>
  <c r="W2" i="13"/>
  <c r="V2" i="13"/>
  <c r="T2" i="13"/>
  <c r="S2" i="13"/>
  <c r="R2" i="13"/>
  <c r="Q2" i="13"/>
  <c r="P2" i="13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M15" i="12"/>
  <c r="M22" i="12" s="1"/>
  <c r="V3" i="13"/>
  <c r="V4" i="13" s="1"/>
  <c r="E6" i="12"/>
  <c r="D6" i="12"/>
  <c r="C6" i="12"/>
  <c r="B6" i="12"/>
  <c r="A6" i="12"/>
  <c r="E5" i="12"/>
  <c r="D5" i="12"/>
  <c r="C5" i="12"/>
  <c r="B5" i="12"/>
  <c r="A5" i="12"/>
  <c r="E4" i="12"/>
  <c r="D4" i="12"/>
  <c r="C4" i="12"/>
  <c r="B4" i="12"/>
  <c r="A4" i="12"/>
  <c r="E3" i="12"/>
  <c r="D7" i="20" l="1"/>
  <c r="D8" i="20"/>
  <c r="D38" i="4"/>
  <c r="N5" i="20"/>
  <c r="N21" i="20"/>
  <c r="H20" i="20" s="1"/>
  <c r="Z58" i="13"/>
  <c r="AF57" i="13"/>
  <c r="AL57" i="13" s="1"/>
  <c r="V5" i="13"/>
  <c r="AB4" i="13"/>
  <c r="AH4" i="13" s="1"/>
  <c r="Q4" i="13"/>
  <c r="H61" i="13"/>
  <c r="AQ61" i="13"/>
  <c r="AT12" i="13" s="1"/>
  <c r="P19" i="12"/>
  <c r="R19" i="12" s="1"/>
  <c r="P13" i="12"/>
  <c r="R13" i="12" s="1"/>
  <c r="AF3" i="13"/>
  <c r="AL3" i="13" s="1"/>
  <c r="AE3" i="13"/>
  <c r="AK3" i="13" s="1"/>
  <c r="P20" i="12"/>
  <c r="R20" i="12" s="1"/>
  <c r="P8" i="12"/>
  <c r="Q8" i="12" s="1"/>
  <c r="Q15" i="12" s="1"/>
  <c r="P14" i="12"/>
  <c r="R14" i="12" s="1"/>
  <c r="N14" i="20"/>
  <c r="M15" i="20"/>
  <c r="H13" i="20" s="1"/>
  <c r="O4" i="20"/>
  <c r="D11" i="20"/>
  <c r="D9" i="20"/>
  <c r="AF58" i="13" l="1"/>
  <c r="AL58" i="13" s="1"/>
  <c r="Z59" i="13"/>
  <c r="D12" i="20"/>
  <c r="D13" i="20" s="1"/>
  <c r="D14" i="20" s="1"/>
  <c r="D10" i="20"/>
  <c r="E11" i="20" s="1"/>
  <c r="AT30" i="13"/>
  <c r="AT50" i="13"/>
  <c r="AT11" i="13"/>
  <c r="AT15" i="13"/>
  <c r="AT54" i="13"/>
  <c r="AT59" i="13"/>
  <c r="AT43" i="13"/>
  <c r="AY43" i="13" s="1"/>
  <c r="AT26" i="13"/>
  <c r="AT7" i="13"/>
  <c r="AT23" i="13"/>
  <c r="AT53" i="13"/>
  <c r="AT58" i="13"/>
  <c r="AT42" i="13"/>
  <c r="AT33" i="13"/>
  <c r="AT3" i="13"/>
  <c r="AU3" i="13" s="1"/>
  <c r="AT13" i="13"/>
  <c r="AT57" i="13"/>
  <c r="AT29" i="13"/>
  <c r="AT22" i="13"/>
  <c r="AT46" i="13"/>
  <c r="AW46" i="13" s="1"/>
  <c r="AT35" i="13"/>
  <c r="AT37" i="13"/>
  <c r="AT31" i="13"/>
  <c r="AT32" i="13"/>
  <c r="AT6" i="13"/>
  <c r="AT36" i="13"/>
  <c r="AT48" i="13"/>
  <c r="AT25" i="13"/>
  <c r="AT56" i="13"/>
  <c r="AT27" i="13"/>
  <c r="AT28" i="13"/>
  <c r="AT10" i="13"/>
  <c r="AT49" i="13"/>
  <c r="AT38" i="13"/>
  <c r="AT52" i="13"/>
  <c r="AT14" i="13"/>
  <c r="AT55" i="13"/>
  <c r="AT51" i="13"/>
  <c r="AT34" i="13"/>
  <c r="AT19" i="13"/>
  <c r="AT18" i="13"/>
  <c r="AT40" i="13"/>
  <c r="R21" i="12"/>
  <c r="R26" i="12" s="1"/>
  <c r="S26" i="12" s="1"/>
  <c r="V6" i="13"/>
  <c r="AB5" i="13"/>
  <c r="AH5" i="13" s="1"/>
  <c r="Q5" i="13"/>
  <c r="AC4" i="13"/>
  <c r="AI4" i="13" s="1"/>
  <c r="AM4" i="13" s="1"/>
  <c r="AT60" i="13"/>
  <c r="AT44" i="13"/>
  <c r="AW44" i="13" s="1"/>
  <c r="AT41" i="13"/>
  <c r="AT45" i="13"/>
  <c r="AW45" i="13" s="1"/>
  <c r="AT47" i="13"/>
  <c r="AT24" i="13"/>
  <c r="AT8" i="13"/>
  <c r="AT61" i="13"/>
  <c r="AT39" i="13"/>
  <c r="AT21" i="13"/>
  <c r="AT20" i="13"/>
  <c r="AT5" i="13"/>
  <c r="AX5" i="13" s="1"/>
  <c r="AT17" i="13"/>
  <c r="AT16" i="13"/>
  <c r="AT4" i="13"/>
  <c r="AY4" i="13" s="1"/>
  <c r="AT9" i="13"/>
  <c r="R15" i="12"/>
  <c r="S15" i="12" s="1"/>
  <c r="D24" i="20"/>
  <c r="D15" i="20"/>
  <c r="AY48" i="13"/>
  <c r="AD3" i="13"/>
  <c r="AJ3" i="13" s="1"/>
  <c r="E12" i="20"/>
  <c r="O14" i="20"/>
  <c r="O15" i="20" s="1"/>
  <c r="H15" i="20" s="1"/>
  <c r="N15" i="20"/>
  <c r="H14" i="20" s="1"/>
  <c r="O5" i="20"/>
  <c r="P4" i="20"/>
  <c r="AY44" i="13"/>
  <c r="AC3" i="13"/>
  <c r="AI3" i="13" s="1"/>
  <c r="AX44" i="13" l="1"/>
  <c r="AF59" i="13"/>
  <c r="AL59" i="13" s="1"/>
  <c r="Z60" i="13"/>
  <c r="AF60" i="13" s="1"/>
  <c r="AL60" i="13" s="1"/>
  <c r="AU4" i="13"/>
  <c r="AX3" i="13"/>
  <c r="AY3" i="13"/>
  <c r="AW43" i="13"/>
  <c r="AX43" i="13"/>
  <c r="AW3" i="13"/>
  <c r="AV3" i="13"/>
  <c r="V7" i="13"/>
  <c r="AB6" i="13"/>
  <c r="AH6" i="13" s="1"/>
  <c r="Q6" i="13"/>
  <c r="AC5" i="13"/>
  <c r="AI5" i="13" s="1"/>
  <c r="AM5" i="13" s="1"/>
  <c r="AW5" i="13"/>
  <c r="AW4" i="13"/>
  <c r="AX4" i="13"/>
  <c r="AV4" i="13"/>
  <c r="AV5" i="13"/>
  <c r="AW6" i="13"/>
  <c r="AY49" i="13"/>
  <c r="AY58" i="13"/>
  <c r="AY53" i="13"/>
  <c r="F15" i="20"/>
  <c r="D16" i="20"/>
  <c r="AY5" i="13"/>
  <c r="AU5" i="13"/>
  <c r="AX6" i="13"/>
  <c r="AY45" i="13"/>
  <c r="P5" i="20"/>
  <c r="Q4" i="20"/>
  <c r="AX46" i="13"/>
  <c r="AX45" i="13"/>
  <c r="V8" i="13" l="1"/>
  <c r="AB7" i="13"/>
  <c r="AH7" i="13" s="1"/>
  <c r="Q7" i="13"/>
  <c r="AC6" i="13"/>
  <c r="AI6" i="13" s="1"/>
  <c r="AM6" i="13" s="1"/>
  <c r="AX7" i="13"/>
  <c r="AU6" i="13"/>
  <c r="N6" i="13"/>
  <c r="AW7" i="13"/>
  <c r="AY54" i="13"/>
  <c r="AY59" i="13"/>
  <c r="AY46" i="13"/>
  <c r="AY50" i="13"/>
  <c r="D17" i="20"/>
  <c r="AV6" i="13"/>
  <c r="AY6" i="13"/>
  <c r="Q5" i="20"/>
  <c r="R4" i="20"/>
  <c r="V9" i="13" l="1"/>
  <c r="AB8" i="13"/>
  <c r="AH8" i="13" s="1"/>
  <c r="Q8" i="13"/>
  <c r="AC7" i="13"/>
  <c r="AI7" i="13" s="1"/>
  <c r="AM7" i="13" s="1"/>
  <c r="AY7" i="13"/>
  <c r="AU7" i="13"/>
  <c r="N7" i="13"/>
  <c r="AY60" i="13"/>
  <c r="AY55" i="13"/>
  <c r="AY56" i="13"/>
  <c r="AY51" i="13"/>
  <c r="AX8" i="13"/>
  <c r="AV7" i="13"/>
  <c r="R5" i="20"/>
  <c r="S4" i="20"/>
  <c r="S5" i="20" s="1"/>
  <c r="H3" i="20" s="1"/>
  <c r="I3" i="20" s="1"/>
  <c r="AW8" i="13"/>
  <c r="D18" i="20"/>
  <c r="D19" i="20" s="1"/>
  <c r="E17" i="20"/>
  <c r="V10" i="13" l="1"/>
  <c r="AB9" i="13"/>
  <c r="AH9" i="13" s="1"/>
  <c r="Q9" i="13"/>
  <c r="AC8" i="13"/>
  <c r="AI8" i="13" s="1"/>
  <c r="AM8" i="13" s="1"/>
  <c r="AU43" i="13"/>
  <c r="E19" i="20"/>
  <c r="D20" i="20"/>
  <c r="AU8" i="13"/>
  <c r="N8" i="13"/>
  <c r="AV8" i="13"/>
  <c r="AW9" i="13"/>
  <c r="AY8" i="13"/>
  <c r="I7" i="20"/>
  <c r="I8" i="20" s="1"/>
  <c r="I9" i="20" s="1"/>
  <c r="I10" i="20" s="1"/>
  <c r="I11" i="20" s="1"/>
  <c r="I12" i="20" s="1"/>
  <c r="I13" i="20" s="1"/>
  <c r="I14" i="20" s="1"/>
  <c r="I6" i="20"/>
  <c r="I5" i="20"/>
  <c r="I4" i="20"/>
  <c r="AX9" i="13"/>
  <c r="V11" i="13" l="1"/>
  <c r="AB10" i="13"/>
  <c r="AH10" i="13" s="1"/>
  <c r="Q10" i="13"/>
  <c r="AC9" i="13"/>
  <c r="AI9" i="13" s="1"/>
  <c r="AM9" i="13" s="1"/>
  <c r="AU44" i="13"/>
  <c r="AU9" i="13"/>
  <c r="N9" i="13"/>
  <c r="AY9" i="13"/>
  <c r="AV9" i="13"/>
  <c r="A20" i="20"/>
  <c r="D21" i="20"/>
  <c r="I25" i="20"/>
  <c r="I15" i="20"/>
  <c r="AW10" i="13"/>
  <c r="AX10" i="13"/>
  <c r="V12" i="13" l="1"/>
  <c r="AB11" i="13"/>
  <c r="AH11" i="13" s="1"/>
  <c r="Q11" i="13"/>
  <c r="AC10" i="13"/>
  <c r="AI10" i="13" s="1"/>
  <c r="AM10" i="13" s="1"/>
  <c r="AU45" i="13"/>
  <c r="AY10" i="13"/>
  <c r="I20" i="20"/>
  <c r="I19" i="20"/>
  <c r="I18" i="20"/>
  <c r="I16" i="20"/>
  <c r="I17" i="20"/>
  <c r="J17" i="20" s="1"/>
  <c r="AX11" i="13"/>
  <c r="N10" i="13"/>
  <c r="AU10" i="13"/>
  <c r="A21" i="20"/>
  <c r="D22" i="20"/>
  <c r="D23" i="20" s="1"/>
  <c r="AV10" i="13"/>
  <c r="AW11" i="13"/>
  <c r="V13" i="13" l="1"/>
  <c r="AB12" i="13"/>
  <c r="AH12" i="13" s="1"/>
  <c r="Q12" i="13"/>
  <c r="AC11" i="13"/>
  <c r="AI11" i="13" s="1"/>
  <c r="AM11" i="13" s="1"/>
  <c r="AU46" i="13"/>
  <c r="K20" i="20"/>
  <c r="J19" i="20"/>
  <c r="AX12" i="13"/>
  <c r="AW12" i="13"/>
  <c r="AY11" i="13"/>
  <c r="AV11" i="13"/>
  <c r="F20" i="20"/>
  <c r="E20" i="20" s="1"/>
  <c r="I21" i="20"/>
  <c r="I22" i="20" s="1"/>
  <c r="I23" i="20" s="1"/>
  <c r="I24" i="20" s="1"/>
  <c r="J20" i="20"/>
  <c r="AU11" i="13"/>
  <c r="N11" i="13"/>
  <c r="V14" i="13" l="1"/>
  <c r="AB13" i="13"/>
  <c r="AH13" i="13" s="1"/>
  <c r="Q13" i="13"/>
  <c r="AC12" i="13"/>
  <c r="AI12" i="13" s="1"/>
  <c r="AM12" i="13" s="1"/>
  <c r="AU48" i="13"/>
  <c r="AY12" i="13"/>
  <c r="AX13" i="13"/>
  <c r="AV12" i="13"/>
  <c r="AW13" i="13"/>
  <c r="AU12" i="13"/>
  <c r="N12" i="13"/>
  <c r="S21" i="12"/>
  <c r="V15" i="13" l="1"/>
  <c r="AB14" i="13"/>
  <c r="AH14" i="13" s="1"/>
  <c r="Q14" i="13"/>
  <c r="AC13" i="13"/>
  <c r="AI13" i="13" s="1"/>
  <c r="AM13" i="13" s="1"/>
  <c r="AU49" i="13"/>
  <c r="AW14" i="13"/>
  <c r="AV13" i="13"/>
  <c r="AB3" i="13"/>
  <c r="AH3" i="13" s="1"/>
  <c r="AM3" i="13" s="1"/>
  <c r="AO3" i="13" s="1"/>
  <c r="AX14" i="13"/>
  <c r="AY13" i="13"/>
  <c r="N13" i="13"/>
  <c r="AU13" i="13"/>
  <c r="V16" i="13" l="1"/>
  <c r="AB15" i="13"/>
  <c r="AH15" i="13" s="1"/>
  <c r="Q15" i="13"/>
  <c r="AC14" i="13"/>
  <c r="AI14" i="13" s="1"/>
  <c r="AM14" i="13" s="1"/>
  <c r="AU50" i="13"/>
  <c r="AY14" i="13"/>
  <c r="AX15" i="13"/>
  <c r="F4" i="12"/>
  <c r="K4" i="12" s="1"/>
  <c r="AR3" i="13"/>
  <c r="AV14" i="13"/>
  <c r="AU14" i="13"/>
  <c r="N14" i="13"/>
  <c r="AO4" i="13"/>
  <c r="AW15" i="13"/>
  <c r="H4" i="12" l="1"/>
  <c r="V17" i="13"/>
  <c r="AB16" i="13"/>
  <c r="AH16" i="13" s="1"/>
  <c r="Q16" i="13"/>
  <c r="AC15" i="13"/>
  <c r="AI15" i="13" s="1"/>
  <c r="AM15" i="13" s="1"/>
  <c r="AU51" i="13"/>
  <c r="AU15" i="13"/>
  <c r="N15" i="13"/>
  <c r="AX16" i="13"/>
  <c r="AW16" i="13"/>
  <c r="AV15" i="13"/>
  <c r="F5" i="12"/>
  <c r="K5" i="12" s="1"/>
  <c r="AR4" i="13"/>
  <c r="G4" i="12"/>
  <c r="AO5" i="13"/>
  <c r="AY15" i="13"/>
  <c r="H5" i="12" l="1"/>
  <c r="V18" i="13"/>
  <c r="AB17" i="13"/>
  <c r="AH17" i="13" s="1"/>
  <c r="Q17" i="13"/>
  <c r="AC16" i="13"/>
  <c r="AI16" i="13" s="1"/>
  <c r="AM16" i="13" s="1"/>
  <c r="AU53" i="13"/>
  <c r="F6" i="12"/>
  <c r="H6" i="12" s="1"/>
  <c r="AR5" i="13"/>
  <c r="AW17" i="13"/>
  <c r="AO6" i="13"/>
  <c r="AX17" i="13"/>
  <c r="AY16" i="13"/>
  <c r="AU16" i="13"/>
  <c r="N16" i="13"/>
  <c r="G5" i="12"/>
  <c r="AV16" i="13"/>
  <c r="V19" i="13" l="1"/>
  <c r="AB18" i="13"/>
  <c r="AH18" i="13" s="1"/>
  <c r="Q18" i="13"/>
  <c r="AC17" i="13"/>
  <c r="AI17" i="13" s="1"/>
  <c r="AM17" i="13" s="1"/>
  <c r="AU54" i="13"/>
  <c r="AX18" i="13"/>
  <c r="AV17" i="13"/>
  <c r="AY17" i="13"/>
  <c r="G6" i="12"/>
  <c r="AR6" i="13"/>
  <c r="AO7" i="13"/>
  <c r="AW18" i="13"/>
  <c r="AU17" i="13"/>
  <c r="N17" i="13"/>
  <c r="V20" i="13" l="1"/>
  <c r="AB19" i="13"/>
  <c r="AH19" i="13" s="1"/>
  <c r="Q19" i="13"/>
  <c r="AC18" i="13"/>
  <c r="AI18" i="13" s="1"/>
  <c r="AM18" i="13" s="1"/>
  <c r="AU55" i="13"/>
  <c r="AY18" i="13"/>
  <c r="N18" i="13"/>
  <c r="AU18" i="13"/>
  <c r="AV18" i="13"/>
  <c r="AR7" i="13"/>
  <c r="AO8" i="13"/>
  <c r="AX19" i="13"/>
  <c r="AW19" i="13"/>
  <c r="AB20" i="13" l="1"/>
  <c r="AH20" i="13" s="1"/>
  <c r="V21" i="13"/>
  <c r="Q20" i="13"/>
  <c r="AC19" i="13"/>
  <c r="AI19" i="13" s="1"/>
  <c r="AM19" i="13" s="1"/>
  <c r="AU56" i="13"/>
  <c r="AR8" i="13"/>
  <c r="AW20" i="13"/>
  <c r="AO9" i="13"/>
  <c r="AU19" i="13"/>
  <c r="N19" i="13"/>
  <c r="AV19" i="13"/>
  <c r="AY19" i="13"/>
  <c r="AX20" i="13"/>
  <c r="AB21" i="13" l="1"/>
  <c r="AH21" i="13" s="1"/>
  <c r="V22" i="13"/>
  <c r="Q21" i="13"/>
  <c r="AC20" i="13"/>
  <c r="AI20" i="13" s="1"/>
  <c r="AM20" i="13" s="1"/>
  <c r="AU58" i="13"/>
  <c r="AX21" i="13"/>
  <c r="AV20" i="13"/>
  <c r="AR9" i="13"/>
  <c r="AO10" i="13"/>
  <c r="AU20" i="13"/>
  <c r="N20" i="13"/>
  <c r="AY20" i="13"/>
  <c r="AW21" i="13"/>
  <c r="V23" i="13" l="1"/>
  <c r="AB22" i="13"/>
  <c r="AH22" i="13" s="1"/>
  <c r="Q22" i="13"/>
  <c r="AC21" i="13"/>
  <c r="AI21" i="13" s="1"/>
  <c r="AM21" i="13" s="1"/>
  <c r="AU60" i="13"/>
  <c r="AU59" i="13"/>
  <c r="AV21" i="13"/>
  <c r="AX22" i="13"/>
  <c r="AY21" i="13"/>
  <c r="AW22" i="13"/>
  <c r="AR10" i="13"/>
  <c r="N21" i="13"/>
  <c r="AU21" i="13"/>
  <c r="AO11" i="13"/>
  <c r="V24" i="13" l="1"/>
  <c r="AB23" i="13"/>
  <c r="AH23" i="13" s="1"/>
  <c r="Q23" i="13"/>
  <c r="AC22" i="13"/>
  <c r="AI22" i="13" s="1"/>
  <c r="AM22" i="13" s="1"/>
  <c r="AR11" i="13"/>
  <c r="AO12" i="13"/>
  <c r="AX23" i="13"/>
  <c r="AV22" i="13"/>
  <c r="AW23" i="13"/>
  <c r="AU22" i="13"/>
  <c r="N22" i="13"/>
  <c r="AY22" i="13"/>
  <c r="V25" i="13" l="1"/>
  <c r="AB24" i="13"/>
  <c r="AH24" i="13" s="1"/>
  <c r="Q24" i="13"/>
  <c r="AC23" i="13"/>
  <c r="AI23" i="13" s="1"/>
  <c r="AM23" i="13" s="1"/>
  <c r="AW24" i="13"/>
  <c r="AY23" i="13"/>
  <c r="AV23" i="13"/>
  <c r="AO13" i="13"/>
  <c r="AU23" i="13"/>
  <c r="N23" i="13"/>
  <c r="AX24" i="13"/>
  <c r="AR12" i="13"/>
  <c r="V26" i="13" l="1"/>
  <c r="AB25" i="13"/>
  <c r="AH25" i="13" s="1"/>
  <c r="Q25" i="13"/>
  <c r="AC24" i="13"/>
  <c r="AI24" i="13" s="1"/>
  <c r="AM24" i="13" s="1"/>
  <c r="AY24" i="13"/>
  <c r="AR13" i="13"/>
  <c r="AW25" i="13"/>
  <c r="AO14" i="13"/>
  <c r="AV24" i="13"/>
  <c r="AU24" i="13"/>
  <c r="N24" i="13"/>
  <c r="AX25" i="13"/>
  <c r="V27" i="13" l="1"/>
  <c r="AB26" i="13"/>
  <c r="AH26" i="13" s="1"/>
  <c r="Q26" i="13"/>
  <c r="AC25" i="13"/>
  <c r="AI25" i="13" s="1"/>
  <c r="AM25" i="13" s="1"/>
  <c r="AW26" i="13"/>
  <c r="AU25" i="13"/>
  <c r="N25" i="13"/>
  <c r="AX26" i="13"/>
  <c r="AR14" i="13"/>
  <c r="AV25" i="13"/>
  <c r="AO15" i="13"/>
  <c r="AY25" i="13"/>
  <c r="V28" i="13" l="1"/>
  <c r="AB27" i="13"/>
  <c r="AH27" i="13" s="1"/>
  <c r="Q27" i="13"/>
  <c r="AC26" i="13"/>
  <c r="AI26" i="13" s="1"/>
  <c r="AM26" i="13" s="1"/>
  <c r="AO16" i="13"/>
  <c r="AW27" i="13"/>
  <c r="AR15" i="13"/>
  <c r="AX27" i="13"/>
  <c r="AU26" i="13"/>
  <c r="N26" i="13"/>
  <c r="AV26" i="13"/>
  <c r="AY26" i="13"/>
  <c r="AB28" i="13" l="1"/>
  <c r="AH28" i="13" s="1"/>
  <c r="V29" i="13"/>
  <c r="Q28" i="13"/>
  <c r="AC27" i="13"/>
  <c r="AI27" i="13" s="1"/>
  <c r="AM27" i="13" s="1"/>
  <c r="AW28" i="13"/>
  <c r="AY27" i="13"/>
  <c r="AR16" i="13"/>
  <c r="AU27" i="13"/>
  <c r="N27" i="13"/>
  <c r="AX28" i="13"/>
  <c r="AO17" i="13"/>
  <c r="AV27" i="13"/>
  <c r="V30" i="13" l="1"/>
  <c r="AB29" i="13"/>
  <c r="AH29" i="13" s="1"/>
  <c r="Q29" i="13"/>
  <c r="AC28" i="13"/>
  <c r="AI28" i="13" s="1"/>
  <c r="AM28" i="13" s="1"/>
  <c r="AV28" i="13"/>
  <c r="AY28" i="13"/>
  <c r="AR17" i="13"/>
  <c r="AW29" i="13"/>
  <c r="AO18" i="13"/>
  <c r="AU28" i="13"/>
  <c r="N28" i="13"/>
  <c r="AX29" i="13"/>
  <c r="V31" i="13" l="1"/>
  <c r="AB30" i="13"/>
  <c r="AH30" i="13" s="1"/>
  <c r="Q30" i="13"/>
  <c r="AC29" i="13"/>
  <c r="AI29" i="13" s="1"/>
  <c r="AM29" i="13" s="1"/>
  <c r="AU29" i="13"/>
  <c r="N29" i="13"/>
  <c r="AY29" i="13"/>
  <c r="AR18" i="13"/>
  <c r="AV29" i="13"/>
  <c r="AO19" i="13"/>
  <c r="AW30" i="13"/>
  <c r="AX30" i="13"/>
  <c r="V32" i="13" l="1"/>
  <c r="AB31" i="13"/>
  <c r="AH31" i="13" s="1"/>
  <c r="Q31" i="13"/>
  <c r="AC30" i="13"/>
  <c r="AI30" i="13" s="1"/>
  <c r="AM30" i="13" s="1"/>
  <c r="AY30" i="13"/>
  <c r="N30" i="13"/>
  <c r="AU30" i="13"/>
  <c r="AR19" i="13"/>
  <c r="AO20" i="13"/>
  <c r="AX31" i="13"/>
  <c r="AW31" i="13"/>
  <c r="AV30" i="13"/>
  <c r="V33" i="13" l="1"/>
  <c r="AB32" i="13"/>
  <c r="AH32" i="13" s="1"/>
  <c r="Q32" i="13"/>
  <c r="AC31" i="13"/>
  <c r="AI31" i="13" s="1"/>
  <c r="AM31" i="13" s="1"/>
  <c r="AV31" i="13"/>
  <c r="AX32" i="13"/>
  <c r="AU31" i="13"/>
  <c r="N31" i="13"/>
  <c r="AW32" i="13"/>
  <c r="AO21" i="13"/>
  <c r="AY31" i="13"/>
  <c r="AR20" i="13"/>
  <c r="V34" i="13" l="1"/>
  <c r="AB33" i="13"/>
  <c r="AH33" i="13" s="1"/>
  <c r="Q33" i="13"/>
  <c r="AC32" i="13"/>
  <c r="AI32" i="13" s="1"/>
  <c r="AM32" i="13" s="1"/>
  <c r="AX33" i="13"/>
  <c r="AV32" i="13"/>
  <c r="AW33" i="13"/>
  <c r="AR21" i="13"/>
  <c r="AO22" i="13"/>
  <c r="AU32" i="13"/>
  <c r="N32" i="13"/>
  <c r="AY32" i="13"/>
  <c r="V35" i="13" l="1"/>
  <c r="AB34" i="13"/>
  <c r="AH34" i="13" s="1"/>
  <c r="Q34" i="13"/>
  <c r="AC33" i="13"/>
  <c r="AI33" i="13" s="1"/>
  <c r="AM33" i="13" s="1"/>
  <c r="AW34" i="13"/>
  <c r="AR22" i="13"/>
  <c r="AV33" i="13"/>
  <c r="AY33" i="13"/>
  <c r="AO23" i="13"/>
  <c r="N33" i="13"/>
  <c r="AU33" i="13"/>
  <c r="AX34" i="13"/>
  <c r="AB35" i="13" l="1"/>
  <c r="AH35" i="13" s="1"/>
  <c r="V36" i="13"/>
  <c r="Q35" i="13"/>
  <c r="AC34" i="13"/>
  <c r="AI34" i="13" s="1"/>
  <c r="AM34" i="13" s="1"/>
  <c r="AX35" i="13"/>
  <c r="AV34" i="13"/>
  <c r="AO24" i="13"/>
  <c r="AW35" i="13"/>
  <c r="AR23" i="13"/>
  <c r="AY34" i="13"/>
  <c r="AU34" i="13"/>
  <c r="N34" i="13"/>
  <c r="V37" i="13" l="1"/>
  <c r="AB36" i="13"/>
  <c r="AH36" i="13" s="1"/>
  <c r="Q36" i="13"/>
  <c r="AC35" i="13"/>
  <c r="AI35" i="13" s="1"/>
  <c r="AM35" i="13" s="1"/>
  <c r="AU35" i="13"/>
  <c r="N35" i="13"/>
  <c r="AY35" i="13"/>
  <c r="AW36" i="13"/>
  <c r="AR24" i="13"/>
  <c r="AX36" i="13"/>
  <c r="AV35" i="13"/>
  <c r="AO25" i="13"/>
  <c r="V38" i="13" l="1"/>
  <c r="AB37" i="13"/>
  <c r="AH37" i="13" s="1"/>
  <c r="Q37" i="13"/>
  <c r="AC36" i="13"/>
  <c r="AI36" i="13" s="1"/>
  <c r="AM36" i="13" s="1"/>
  <c r="AO26" i="13"/>
  <c r="AW37" i="13"/>
  <c r="AV36" i="13"/>
  <c r="AX37" i="13"/>
  <c r="N36" i="13"/>
  <c r="AU36" i="13"/>
  <c r="AR25" i="13"/>
  <c r="AY36" i="13"/>
  <c r="AB38" i="13" l="1"/>
  <c r="AH38" i="13" s="1"/>
  <c r="V39" i="13"/>
  <c r="Q38" i="13"/>
  <c r="AC37" i="13"/>
  <c r="AI37" i="13" s="1"/>
  <c r="AM37" i="13" s="1"/>
  <c r="AY37" i="13"/>
  <c r="AX38" i="13"/>
  <c r="AW38" i="13"/>
  <c r="AU37" i="13"/>
  <c r="N37" i="13"/>
  <c r="AO27" i="13"/>
  <c r="AV37" i="13"/>
  <c r="AR26" i="13"/>
  <c r="V40" i="13" l="1"/>
  <c r="AB39" i="13"/>
  <c r="AH39" i="13" s="1"/>
  <c r="Q39" i="13"/>
  <c r="AC38" i="13"/>
  <c r="AI38" i="13" s="1"/>
  <c r="AM38" i="13" s="1"/>
  <c r="AU38" i="13"/>
  <c r="N38" i="13"/>
  <c r="AV38" i="13"/>
  <c r="AR27" i="13"/>
  <c r="AO28" i="13"/>
  <c r="AY38" i="13"/>
  <c r="AX39" i="13"/>
  <c r="AW39" i="13"/>
  <c r="V41" i="13" l="1"/>
  <c r="AB40" i="13"/>
  <c r="AH40" i="13" s="1"/>
  <c r="Q40" i="13"/>
  <c r="AC39" i="13"/>
  <c r="AI39" i="13" s="1"/>
  <c r="AM39" i="13" s="1"/>
  <c r="AV39" i="13"/>
  <c r="AY39" i="13"/>
  <c r="AX40" i="13"/>
  <c r="N39" i="13"/>
  <c r="AU39" i="13"/>
  <c r="AO29" i="13"/>
  <c r="AR28" i="13"/>
  <c r="AW40" i="13"/>
  <c r="V42" i="13" l="1"/>
  <c r="AB41" i="13"/>
  <c r="AH41" i="13" s="1"/>
  <c r="Q41" i="13"/>
  <c r="AC40" i="13"/>
  <c r="AI40" i="13" s="1"/>
  <c r="AM40" i="13" s="1"/>
  <c r="N40" i="13"/>
  <c r="AU40" i="13"/>
  <c r="AW41" i="13"/>
  <c r="AX41" i="13"/>
  <c r="AY40" i="13"/>
  <c r="AR29" i="13"/>
  <c r="AO30" i="13"/>
  <c r="AV40" i="13"/>
  <c r="V43" i="13" l="1"/>
  <c r="AB42" i="13"/>
  <c r="AH42" i="13" s="1"/>
  <c r="Q42" i="13"/>
  <c r="AC41" i="13"/>
  <c r="AI41" i="13" s="1"/>
  <c r="AM41" i="13" s="1"/>
  <c r="AX42" i="13"/>
  <c r="AR30" i="13"/>
  <c r="AW42" i="13"/>
  <c r="AY41" i="13"/>
  <c r="AO31" i="13"/>
  <c r="AV41" i="13"/>
  <c r="AU41" i="13"/>
  <c r="N41" i="13"/>
  <c r="AB43" i="13" l="1"/>
  <c r="AH43" i="13" s="1"/>
  <c r="V44" i="13"/>
  <c r="Q43" i="13"/>
  <c r="AC42" i="13"/>
  <c r="AI42" i="13" s="1"/>
  <c r="AM42" i="13" s="1"/>
  <c r="AR31" i="13"/>
  <c r="AO32" i="13"/>
  <c r="AV42" i="13"/>
  <c r="AW47" i="13"/>
  <c r="AX47" i="13"/>
  <c r="AY42" i="13"/>
  <c r="AU42" i="13"/>
  <c r="N42" i="13"/>
  <c r="AB44" i="13" l="1"/>
  <c r="AH44" i="13" s="1"/>
  <c r="V45" i="13"/>
  <c r="Q44" i="13"/>
  <c r="AC43" i="13"/>
  <c r="AI43" i="13" s="1"/>
  <c r="AM43" i="13" s="1"/>
  <c r="AW48" i="13"/>
  <c r="AR32" i="13"/>
  <c r="N43" i="13"/>
  <c r="AV43" i="13"/>
  <c r="AO33" i="13"/>
  <c r="AU47" i="13"/>
  <c r="AX48" i="13"/>
  <c r="AY47" i="13"/>
  <c r="V46" i="13" l="1"/>
  <c r="AB45" i="13"/>
  <c r="AH45" i="13" s="1"/>
  <c r="Q45" i="13"/>
  <c r="AC44" i="13"/>
  <c r="AI44" i="13" s="1"/>
  <c r="AM44" i="13" s="1"/>
  <c r="AY57" i="13"/>
  <c r="AY61" i="13" s="1"/>
  <c r="AY52" i="13"/>
  <c r="AR33" i="13"/>
  <c r="AO34" i="13"/>
  <c r="AO43" i="13"/>
  <c r="AX49" i="13"/>
  <c r="AW49" i="13"/>
  <c r="AU52" i="13"/>
  <c r="AV44" i="13"/>
  <c r="N44" i="13"/>
  <c r="V47" i="13" l="1"/>
  <c r="AB46" i="13"/>
  <c r="AH46" i="13" s="1"/>
  <c r="Q46" i="13"/>
  <c r="AC45" i="13"/>
  <c r="AI45" i="13" s="1"/>
  <c r="AM45" i="13" s="1"/>
  <c r="AR43" i="13"/>
  <c r="AU57" i="13"/>
  <c r="AU61" i="13" s="1"/>
  <c r="AR34" i="13"/>
  <c r="AX50" i="13"/>
  <c r="AO44" i="13"/>
  <c r="AO35" i="13"/>
  <c r="AV45" i="13"/>
  <c r="N45" i="13"/>
  <c r="AW50" i="13"/>
  <c r="V48" i="13" l="1"/>
  <c r="AB47" i="13"/>
  <c r="AH47" i="13" s="1"/>
  <c r="Q47" i="13"/>
  <c r="AC46" i="13"/>
  <c r="AI46" i="13" s="1"/>
  <c r="AM46" i="13" s="1"/>
  <c r="AR35" i="13"/>
  <c r="AW51" i="13"/>
  <c r="AR44" i="13"/>
  <c r="AO45" i="13"/>
  <c r="AV46" i="13"/>
  <c r="N46" i="13"/>
  <c r="AX51" i="13"/>
  <c r="AO36" i="13"/>
  <c r="V49" i="13" l="1"/>
  <c r="AB48" i="13"/>
  <c r="AH48" i="13" s="1"/>
  <c r="Q48" i="13"/>
  <c r="AC47" i="13"/>
  <c r="AI47" i="13" s="1"/>
  <c r="AM47" i="13" s="1"/>
  <c r="AW52" i="13"/>
  <c r="AV47" i="13"/>
  <c r="N47" i="13"/>
  <c r="AR36" i="13"/>
  <c r="AO37" i="13"/>
  <c r="AO46" i="13"/>
  <c r="AR45" i="13"/>
  <c r="AX52" i="13"/>
  <c r="V50" i="13" l="1"/>
  <c r="AB49" i="13"/>
  <c r="AH49" i="13" s="1"/>
  <c r="Q49" i="13"/>
  <c r="AC48" i="13"/>
  <c r="AI48" i="13" s="1"/>
  <c r="AM48" i="13" s="1"/>
  <c r="AX53" i="13"/>
  <c r="AR37" i="13"/>
  <c r="AV48" i="13"/>
  <c r="N48" i="13"/>
  <c r="AR46" i="13"/>
  <c r="AO38" i="13"/>
  <c r="AW53" i="13"/>
  <c r="AB50" i="13" l="1"/>
  <c r="AH50" i="13" s="1"/>
  <c r="V51" i="13"/>
  <c r="Q50" i="13"/>
  <c r="AC49" i="13"/>
  <c r="AI49" i="13" s="1"/>
  <c r="AM49" i="13" s="1"/>
  <c r="AX54" i="13"/>
  <c r="AX59" i="13"/>
  <c r="AW54" i="13"/>
  <c r="AV49" i="13"/>
  <c r="N49" i="13"/>
  <c r="AO39" i="13"/>
  <c r="AR38" i="13"/>
  <c r="V52" i="13" l="1"/>
  <c r="AB51" i="13"/>
  <c r="AH51" i="13" s="1"/>
  <c r="Q51" i="13"/>
  <c r="AC50" i="13"/>
  <c r="AI50" i="13" s="1"/>
  <c r="AM50" i="13" s="1"/>
  <c r="AX60" i="13"/>
  <c r="AX55" i="13"/>
  <c r="AO40" i="13"/>
  <c r="AR39" i="13"/>
  <c r="AV50" i="13"/>
  <c r="N50" i="13"/>
  <c r="AW55" i="13"/>
  <c r="V53" i="13" l="1"/>
  <c r="AB52" i="13"/>
  <c r="AH52" i="13" s="1"/>
  <c r="Q52" i="13"/>
  <c r="AC51" i="13"/>
  <c r="AI51" i="13" s="1"/>
  <c r="AM51" i="13" s="1"/>
  <c r="AO41" i="13"/>
  <c r="AR40" i="13"/>
  <c r="AW56" i="13"/>
  <c r="AX56" i="13"/>
  <c r="AV51" i="13"/>
  <c r="N51" i="13"/>
  <c r="V54" i="13" l="1"/>
  <c r="AB53" i="13"/>
  <c r="AH53" i="13" s="1"/>
  <c r="Q53" i="13"/>
  <c r="AC52" i="13"/>
  <c r="AI52" i="13" s="1"/>
  <c r="AM52" i="13" s="1"/>
  <c r="AX57" i="13"/>
  <c r="AX58" i="13"/>
  <c r="AO42" i="13"/>
  <c r="AW57" i="13"/>
  <c r="AR41" i="13"/>
  <c r="AV52" i="13"/>
  <c r="N52" i="13"/>
  <c r="AB54" i="13" l="1"/>
  <c r="AH54" i="13" s="1"/>
  <c r="V55" i="13"/>
  <c r="Q54" i="13"/>
  <c r="AC53" i="13"/>
  <c r="AI53" i="13" s="1"/>
  <c r="AM53" i="13" s="1"/>
  <c r="AW58" i="13"/>
  <c r="AR42" i="13"/>
  <c r="AO47" i="13"/>
  <c r="AV53" i="13"/>
  <c r="N53" i="13"/>
  <c r="AX61" i="13"/>
  <c r="V56" i="13" l="1"/>
  <c r="AB55" i="13"/>
  <c r="AH55" i="13" s="1"/>
  <c r="Q55" i="13"/>
  <c r="AC54" i="13"/>
  <c r="AI54" i="13" s="1"/>
  <c r="AM54" i="13" s="1"/>
  <c r="AR47" i="13"/>
  <c r="AV54" i="13"/>
  <c r="N54" i="13"/>
  <c r="AO48" i="13"/>
  <c r="AW59" i="13"/>
  <c r="AW60" i="13"/>
  <c r="AW61" i="13" s="1"/>
  <c r="V57" i="13" l="1"/>
  <c r="AB56" i="13"/>
  <c r="AH56" i="13" s="1"/>
  <c r="Q56" i="13"/>
  <c r="AC55" i="13"/>
  <c r="AI55" i="13" s="1"/>
  <c r="AM55" i="13" s="1"/>
  <c r="AR48" i="13"/>
  <c r="AO49" i="13"/>
  <c r="AV55" i="13"/>
  <c r="N55" i="13"/>
  <c r="V58" i="13" l="1"/>
  <c r="AB57" i="13"/>
  <c r="AH57" i="13" s="1"/>
  <c r="Q57" i="13"/>
  <c r="AC56" i="13"/>
  <c r="AI56" i="13" s="1"/>
  <c r="AM56" i="13" s="1"/>
  <c r="AR49" i="13"/>
  <c r="AO50" i="13"/>
  <c r="AV56" i="13"/>
  <c r="N56" i="13"/>
  <c r="V59" i="13" l="1"/>
  <c r="AB58" i="13"/>
  <c r="AH58" i="13" s="1"/>
  <c r="Q58" i="13"/>
  <c r="AC57" i="13"/>
  <c r="AI57" i="13" s="1"/>
  <c r="AM57" i="13" s="1"/>
  <c r="AR50" i="13"/>
  <c r="AV57" i="13"/>
  <c r="N57" i="13"/>
  <c r="AO51" i="13"/>
  <c r="V60" i="13" l="1"/>
  <c r="AB60" i="13" s="1"/>
  <c r="AH60" i="13" s="1"/>
  <c r="AB59" i="13"/>
  <c r="AH59" i="13" s="1"/>
  <c r="Q59" i="13"/>
  <c r="AC58" i="13"/>
  <c r="AI58" i="13" s="1"/>
  <c r="AM58" i="13" s="1"/>
  <c r="AV58" i="13"/>
  <c r="N58" i="13"/>
  <c r="AR51" i="13"/>
  <c r="AO52" i="13"/>
  <c r="Q60" i="13" l="1"/>
  <c r="AC60" i="13" s="1"/>
  <c r="AI60" i="13" s="1"/>
  <c r="AM60" i="13" s="1"/>
  <c r="AC59" i="13"/>
  <c r="AI59" i="13" s="1"/>
  <c r="AM59" i="13" s="1"/>
  <c r="AO53" i="13"/>
  <c r="AV59" i="13"/>
  <c r="N59" i="13"/>
  <c r="AR52" i="13"/>
  <c r="AV60" i="13" l="1"/>
  <c r="AV61" i="13" s="1"/>
  <c r="N60" i="13"/>
  <c r="AO54" i="13"/>
  <c r="AR53" i="13"/>
  <c r="AR54" i="13" l="1"/>
  <c r="AO55" i="13"/>
  <c r="AR55" i="13" l="1"/>
  <c r="AO56" i="13"/>
  <c r="AR56" i="13" l="1"/>
  <c r="AO57" i="13"/>
  <c r="AR57" i="13" l="1"/>
  <c r="AO58" i="13"/>
  <c r="AR58" i="13" l="1"/>
  <c r="AO60" i="13"/>
  <c r="AO59" i="13"/>
  <c r="AR59" i="13" l="1"/>
  <c r="AR60" i="13"/>
  <c r="AR61" i="13" l="1"/>
  <c r="AS61" i="13" s="1"/>
  <c r="BP7" i="15"/>
</calcChain>
</file>

<file path=xl/sharedStrings.xml><?xml version="1.0" encoding="utf-8"?>
<sst xmlns="http://schemas.openxmlformats.org/spreadsheetml/2006/main" count="1112" uniqueCount="345">
  <si>
    <t>Fecha</t>
  </si>
  <si>
    <t>Precio de Venta</t>
  </si>
  <si>
    <t>Precio Final</t>
  </si>
  <si>
    <t>http://res1104.se.gob.ar/consultaprecios.eess.php</t>
  </si>
  <si>
    <t>YPF</t>
  </si>
  <si>
    <t>Gas Oil Grado 2</t>
  </si>
  <si>
    <t>NEUQUEN</t>
  </si>
  <si>
    <t>Bandera</t>
  </si>
  <si>
    <t>Dirección</t>
  </si>
  <si>
    <t>Boca de expendio</t>
  </si>
  <si>
    <t>Derivado</t>
  </si>
  <si>
    <t>Localidad</t>
  </si>
  <si>
    <t xml:space="preserve">RESOLUCIÓN S.E. 1104/2004  CONSULTA DE PRECIOS DE EESS </t>
  </si>
  <si>
    <t>Indice de Precios Internos al por Mayor (IPIM).</t>
  </si>
  <si>
    <t>Periodo</t>
  </si>
  <si>
    <t>IPIM                                                                    Nivel General</t>
  </si>
  <si>
    <t>% de Variación</t>
  </si>
  <si>
    <t>mensual</t>
  </si>
  <si>
    <t>UM</t>
  </si>
  <si>
    <t>MO</t>
  </si>
  <si>
    <t>OTROS</t>
  </si>
  <si>
    <t>COMBUSTIBLE</t>
  </si>
  <si>
    <t>IPIM</t>
  </si>
  <si>
    <t>ACARA</t>
  </si>
  <si>
    <t>MODELO</t>
  </si>
  <si>
    <t>MARCA</t>
  </si>
  <si>
    <t>TOYOTA</t>
  </si>
  <si>
    <t>HILUX</t>
  </si>
  <si>
    <t>VERSION</t>
  </si>
  <si>
    <t>4x4 CD DX 2.4 TDI 6MT (150cv) (L16)</t>
  </si>
  <si>
    <t>Estimados</t>
  </si>
  <si>
    <t>http://www.acara.org.ar/guiaprecios/precios.php</t>
  </si>
  <si>
    <t>MANO DE OBRA</t>
  </si>
  <si>
    <t>N° SERVICIO</t>
  </si>
  <si>
    <t>TEXTO BREVE</t>
  </si>
  <si>
    <t>CANTIDAD</t>
  </si>
  <si>
    <t>TOTAL</t>
  </si>
  <si>
    <t>CONCEPTO</t>
  </si>
  <si>
    <t>AFECTACION</t>
  </si>
  <si>
    <t>VARIACION</t>
  </si>
  <si>
    <t>CCT</t>
  </si>
  <si>
    <t>EQUIPOS</t>
  </si>
  <si>
    <t>USD</t>
  </si>
  <si>
    <t>IMPACTO</t>
  </si>
  <si>
    <t>PRECIO UNITARIO</t>
  </si>
  <si>
    <t>% SOBRE TOTAL</t>
  </si>
  <si>
    <t>AJUSTE MO</t>
  </si>
  <si>
    <t>AJUSTE OTROS</t>
  </si>
  <si>
    <t>TOTAL AJUSTADO</t>
  </si>
  <si>
    <t xml:space="preserve">BASE </t>
  </si>
  <si>
    <t>AJUSTADO</t>
  </si>
  <si>
    <t xml:space="preserve">TOTAL ACTUAL </t>
  </si>
  <si>
    <t>EQUIPOS ACARA</t>
  </si>
  <si>
    <t>EQUIPOS USD</t>
  </si>
  <si>
    <t>DESCARGAR REPORTE MSRV DE PEDIDO ABIERTO</t>
  </si>
  <si>
    <t>INDICAR % DE APERTURA DE COLUMNAS H-I-J-K-L PARA CADA ITEM</t>
  </si>
  <si>
    <t>HOJA</t>
  </si>
  <si>
    <t>COMENTARIOS</t>
  </si>
  <si>
    <t>MSRV6</t>
  </si>
  <si>
    <t>PEGAR LOS DATOS INDICADOS EN COLUMNAS B-C-D-E-F</t>
  </si>
  <si>
    <t>DÓLAR</t>
  </si>
  <si>
    <t>IPIM-Nivel General</t>
  </si>
  <si>
    <t>ACTUALIZAR VALORES</t>
  </si>
  <si>
    <t>RESUMEN</t>
  </si>
  <si>
    <t>CELDA B1 INDICAR AÑOS DEL CONTRATO</t>
  </si>
  <si>
    <t>CELDA N7 INDICAR FECHA BASE AJUSTE Y CELDA O7 INDICAR FECHA ACTUAL DE AJUSTE</t>
  </si>
  <si>
    <t>CELDA O8 INDICAR VARIACION DE MANO DE OBRA</t>
  </si>
  <si>
    <t>http://www.indec.gob.ar/nivel4_default.asp?id_tema_1=3&amp;id_tema_2=5&amp;id_tema_3=32</t>
  </si>
  <si>
    <t>http://www.bna.com.ar/</t>
  </si>
  <si>
    <t>COTIZACION DOLAR HISTORICO (Tomado el día 15 de cada mes)</t>
  </si>
  <si>
    <t>IPC</t>
  </si>
  <si>
    <t>Se toma el valor del dólar del último día de cada mes</t>
  </si>
  <si>
    <t>NEUQUEN PETRO ESTE SRL</t>
  </si>
  <si>
    <t>SAN MARTIN Y SOLALIQUE</t>
  </si>
  <si>
    <t>PROCUREMENT SUPPLY CHAIN MANAGEMENT</t>
  </si>
  <si>
    <t>BASE CENTRALIZADA DE INDICADORES</t>
  </si>
  <si>
    <t>Calculo de Variación</t>
  </si>
  <si>
    <t>Referencias</t>
  </si>
  <si>
    <t>Año Fin</t>
  </si>
  <si>
    <t>Mes Fin</t>
  </si>
  <si>
    <t>Abril</t>
  </si>
  <si>
    <t>Año de Referencia (inicio)</t>
  </si>
  <si>
    <t>Mes de Referencia (incio)</t>
  </si>
  <si>
    <t>Enero</t>
  </si>
  <si>
    <t>Tipo de Indicador</t>
  </si>
  <si>
    <t>Nombre del Indicador</t>
  </si>
  <si>
    <t>Ítem Indicador</t>
  </si>
  <si>
    <t>Fuente</t>
  </si>
  <si>
    <t>Comentarios</t>
  </si>
  <si>
    <t>Variación del indicador en el intervalo Referencia - Actual</t>
  </si>
  <si>
    <t>ID Línea</t>
  </si>
  <si>
    <t>Febrero</t>
  </si>
  <si>
    <t>Marzo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</si>
  <si>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</si>
  <si>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</si>
  <si>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</si>
  <si>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</si>
  <si>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</si>
  <si>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</si>
  <si>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</si>
  <si>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</si>
  <si>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-</t>
  </si>
  <si>
    <t>Construcción</t>
  </si>
  <si>
    <t>CAC
(Cámara de  construcción)</t>
  </si>
  <si>
    <t>Costo Materiales
(CAC)</t>
  </si>
  <si>
    <t>Camarco</t>
  </si>
  <si>
    <t>% de Variación del Mes</t>
  </si>
  <si>
    <t>3,60%</t>
  </si>
  <si>
    <t>ICC
(Índice de materiales de la construcción)</t>
  </si>
  <si>
    <t>ICC Nivel General
(% de variación respecto al mes anterior)</t>
  </si>
  <si>
    <t>INDEC</t>
  </si>
  <si>
    <t>ICC Nivel General
(Índice)</t>
  </si>
  <si>
    <t>Se define como base (a nivel interno PAE), Enero 2017 = 100</t>
  </si>
  <si>
    <t>Materiales
(% de variación respecto al mes anterior) - ICC</t>
  </si>
  <si>
    <t>Materiales
(Índice) - ICC</t>
  </si>
  <si>
    <t>Hormigón
(Índice - ICC)</t>
  </si>
  <si>
    <t>Base Dic 2015 = 100
Se toma de "Información para cada inciso del artículo 15 del Anexo Metodológico (ICC e IPIB), índices de los capítulos materiales, mano de obra, gastos generales, equipos y servicios para la construcción, a marzo de 2022"</t>
  </si>
  <si>
    <t>934.4</t>
  </si>
  <si>
    <t>Indicadores Logísticos</t>
  </si>
  <si>
    <t>FADEEAC - ICT
(Índice de Costos del Transporte)</t>
  </si>
  <si>
    <t>FADEEAC Nivel General</t>
  </si>
  <si>
    <t>FADEEAC</t>
  </si>
  <si>
    <t>FADEEAC Combustible</t>
  </si>
  <si>
    <t>CEDOL</t>
  </si>
  <si>
    <t>CEDOL Costos Logísticos con transporte</t>
  </si>
  <si>
    <t>CEDOL Costos Logísticos sin transporte</t>
  </si>
  <si>
    <t>General</t>
  </si>
  <si>
    <t>IPIM General
(% Respecto al Mes Anterior)</t>
  </si>
  <si>
    <t>IPIM General
(Índice)</t>
  </si>
  <si>
    <t>IPIM Productos Nacionales
(%)</t>
  </si>
  <si>
    <t>Los valores corresponden a la variación mensual</t>
  </si>
  <si>
    <t>IPIM Productos Nacionales
(Índice)</t>
  </si>
  <si>
    <t>Se estableció una base propia por falta de disponibilidad de valores teniendo en cuenta como base 100 = Mayo 2017</t>
  </si>
  <si>
    <t>IPIM Productos Importados
(%)</t>
  </si>
  <si>
    <t>IPIM Productos Importados
(Índice)</t>
  </si>
  <si>
    <t>Maquinaria Y Equipos</t>
  </si>
  <si>
    <t>IPIM Maquinas y Equipos
(%)</t>
  </si>
  <si>
    <t>Los valores corresponden a la variación mensual publicada en el informe mensual</t>
  </si>
  <si>
    <t>IPIM Maquinas y Equipos
(Índice)</t>
  </si>
  <si>
    <t>Automotor</t>
  </si>
  <si>
    <t>IPIM Vehículos Automotores, Carrocerías y Repuestos
(%)</t>
  </si>
  <si>
    <t>IPIM Vehículos Automotores, Carrocerías y Repuestos
(Índices)</t>
  </si>
  <si>
    <t>IPC Nacional</t>
  </si>
  <si>
    <t>Período de referencia: Diciembre 2016=100</t>
  </si>
  <si>
    <t>IPC GBA</t>
  </si>
  <si>
    <t>IPC Alimentos y Bebidas GBA</t>
  </si>
  <si>
    <t>Hilux 4x4 CD DX 2.4 TDI 6MT (150cv) (L16/18/20)</t>
  </si>
  <si>
    <t>DISCONTINUADO, se reemplaza modelo  (ver debajo).</t>
  </si>
  <si>
    <t>Hilux 4x4 CD SR 2.8 TDI 6MT (177cv) (L19)</t>
  </si>
  <si>
    <t>Hilux 4x4 CD SR 2.8 TDI 6MT (204 cv) (L20)</t>
  </si>
  <si>
    <t>Combustible</t>
  </si>
  <si>
    <t>Combustible Minorista
Gas oíl Grado 2</t>
  </si>
  <si>
    <t>Combustible Salta - Salta
($) (G2)</t>
  </si>
  <si>
    <t>Secretaría de Energía</t>
  </si>
  <si>
    <t>El precio indicado es el precio final medio del combustible para todas las estaciones de servicio de la localidad mencionada considerando todas las banderas y que el precio es el de venta al publico</t>
  </si>
  <si>
    <t>Combustible Neuquén - Neuquén
($) (G2)</t>
  </si>
  <si>
    <t>Combustible Chubut - Comodoro Rivadavia
($) (G2)</t>
  </si>
  <si>
    <t>Combustible Santa Cruz - Caleta Olivia
($) (G2)</t>
  </si>
  <si>
    <t>Combustible Minorista
Gas oíl Grado 3</t>
  </si>
  <si>
    <t>Combustible Salta - Salta
($) (G3)</t>
  </si>
  <si>
    <t>Combustible Neuquén - Neuquén
($) (G3)</t>
  </si>
  <si>
    <t>Combustible Chubut - Comodoro Rivadavia
($)  (G3)</t>
  </si>
  <si>
    <t>Combustible Santa Cruz - Caleta Olivia
($) (G3)</t>
  </si>
  <si>
    <t>Combustible Buenos Aires - Campana
($) (G2)</t>
  </si>
  <si>
    <t>Combustible Buenos Aires - Campana
($) (G3)</t>
  </si>
  <si>
    <t>Combustible EESS PETROSAR
($) (G2)</t>
  </si>
  <si>
    <t>Combustible EESS PETROSAR
($) (G3)</t>
  </si>
  <si>
    <t>120.1</t>
  </si>
  <si>
    <t>Otros</t>
  </si>
  <si>
    <t>Tasa BADLAR</t>
  </si>
  <si>
    <t>BCRA</t>
  </si>
  <si>
    <t>Tasa media del mes (desde el 1er día disponible al último del mes)</t>
  </si>
  <si>
    <t>Mano de Obra</t>
  </si>
  <si>
    <t>Coeficiente de Variación Salarial (CVS/ IVS)</t>
  </si>
  <si>
    <t>Sector Privado Registrado
(Índice CVS)</t>
  </si>
  <si>
    <t>Valor aún no disponible</t>
  </si>
  <si>
    <t>Sector Publico Registrado
(Índice CVS)</t>
  </si>
  <si>
    <t>Total Registrado
(Índice CVS)</t>
  </si>
  <si>
    <t>Sector Privado no Registrado
(Índice CVS)</t>
  </si>
  <si>
    <t>Coeficiente de Variación Salarial General
(Índice CVS)</t>
  </si>
  <si>
    <t>Drilling</t>
  </si>
  <si>
    <t>Oil and gas field machinery and equipment 
(Indice)</t>
  </si>
  <si>
    <t>Bureau of Labor Stadistics</t>
  </si>
  <si>
    <t>Cotización del USD (Mayorista Vendedor)</t>
  </si>
  <si>
    <t>Cotización del USD BNA
(Divisa - Vendedor - Último día del mes)</t>
  </si>
  <si>
    <t>BNA</t>
  </si>
  <si>
    <t>mzo-22</t>
  </si>
  <si>
    <t>CBC 18-19</t>
  </si>
  <si>
    <t>PP 644-12 637-11</t>
  </si>
  <si>
    <t>ESQUEMA</t>
  </si>
  <si>
    <t>CBC 20-22</t>
  </si>
  <si>
    <t>A presentar</t>
  </si>
  <si>
    <t>MES</t>
  </si>
  <si>
    <t>NO REM</t>
  </si>
  <si>
    <t>ACUMULADO</t>
  </si>
  <si>
    <t>IMPACTO S/ MES ANTERIOR</t>
  </si>
  <si>
    <t>AFECTACION MUP</t>
  </si>
  <si>
    <t>IMPACTO S/ MES ANTERIOR SIN MUP</t>
  </si>
  <si>
    <t>CBC N°20-22</t>
  </si>
  <si>
    <t>CBC N°34-22</t>
  </si>
  <si>
    <t>APROBACION</t>
  </si>
  <si>
    <t>REMUNERATIVO</t>
  </si>
  <si>
    <t>NO REMUNERATIVO</t>
  </si>
  <si>
    <t>%</t>
  </si>
  <si>
    <t>Petroleros</t>
  </si>
  <si>
    <t xml:space="preserve">Camioneros </t>
  </si>
  <si>
    <t>UOCRA</t>
  </si>
  <si>
    <t>ACARA - Hilux 4x4 CD DX 2.4 TDI 6MT (150cv) (L16/18/20)</t>
  </si>
  <si>
    <t>ACARA -  Hilux 4x4 CD SR 2.8 TDI 6MT (204 cv) (L20)</t>
  </si>
  <si>
    <t>OTRO</t>
  </si>
  <si>
    <t>Enero-2022</t>
  </si>
  <si>
    <t>Febrero-2022</t>
  </si>
  <si>
    <t>Marzo-2022</t>
  </si>
  <si>
    <t>Abril-2022</t>
  </si>
  <si>
    <t>Mayo-2022</t>
  </si>
  <si>
    <t>Junio-2022</t>
  </si>
  <si>
    <t>Enero-2023</t>
  </si>
  <si>
    <t>Febrero-2023</t>
  </si>
  <si>
    <t>Marzo-2023</t>
  </si>
  <si>
    <t>Abril-2023</t>
  </si>
  <si>
    <t>Mayo-2023</t>
  </si>
  <si>
    <t>Enero-2021</t>
  </si>
  <si>
    <t>Febrero-2021</t>
  </si>
  <si>
    <t>Marzo-2021</t>
  </si>
  <si>
    <t>Abril-2021</t>
  </si>
  <si>
    <t>Mayo-2021</t>
  </si>
  <si>
    <t>Junio-2021</t>
  </si>
  <si>
    <t>Julio-2021</t>
  </si>
  <si>
    <t>Agosto-2021</t>
  </si>
  <si>
    <t>Septiembre-2021</t>
  </si>
  <si>
    <t>Octubre-2021</t>
  </si>
  <si>
    <t>Noviembre-2021</t>
  </si>
  <si>
    <t>Diciembre-2021</t>
  </si>
  <si>
    <t>Julio-2022</t>
  </si>
  <si>
    <t>Agosto-2022</t>
  </si>
  <si>
    <t>Septiembre-2022</t>
  </si>
  <si>
    <t>Octubre-2022</t>
  </si>
  <si>
    <t>Noviembre-2022</t>
  </si>
  <si>
    <t>Diciembre-2022</t>
  </si>
  <si>
    <t>Cotización del USD BNA</t>
  </si>
  <si>
    <t xml:space="preserve">MODIFICAR </t>
  </si>
  <si>
    <t>FECHA</t>
  </si>
  <si>
    <t>Combustible Neuquén - Neuquén ($) (G2)</t>
  </si>
  <si>
    <t xml:space="preserve">Combustible Neuquén - Neuquén ($) (G3) </t>
  </si>
  <si>
    <t>IPIM General (Índice)</t>
  </si>
  <si>
    <t>IPIM Productos Nacionales (Índice)</t>
  </si>
  <si>
    <t>IPIM Productos Importados (Índice)</t>
  </si>
  <si>
    <t>IPIM Maquinas y Equipos (Índice)</t>
  </si>
  <si>
    <t>IPIM Vehículos Automotores, Carrocerías y Repuestos (Índices)</t>
  </si>
  <si>
    <t>C/U</t>
  </si>
  <si>
    <t xml:space="preserve">INDICE </t>
  </si>
  <si>
    <t>IMPACTO ACUMULADO</t>
  </si>
  <si>
    <t>IMPACTO S/ MES ANTERIOR A APLICAR</t>
  </si>
  <si>
    <t>VARIACION PAUTA</t>
  </si>
  <si>
    <t>TOTAL PAUTA</t>
  </si>
  <si>
    <t>Enero-2020</t>
  </si>
  <si>
    <t>Febrero-2020</t>
  </si>
  <si>
    <t>Marzo-2020</t>
  </si>
  <si>
    <t>Abril-2020</t>
  </si>
  <si>
    <t>Mayo-2020</t>
  </si>
  <si>
    <t>Junio-2020</t>
  </si>
  <si>
    <t>Julio-2020</t>
  </si>
  <si>
    <t>Agosto-2020</t>
  </si>
  <si>
    <t>Septiembre-2020</t>
  </si>
  <si>
    <t>Octubre-2020</t>
  </si>
  <si>
    <t>Noviembre-2020</t>
  </si>
  <si>
    <t>Diciembre-2020</t>
  </si>
  <si>
    <t>Junio-2023</t>
  </si>
  <si>
    <t>Julio-2023</t>
  </si>
  <si>
    <t>Agosto-2023</t>
  </si>
  <si>
    <t>Septiembre-2023</t>
  </si>
  <si>
    <t>Octubre-2023</t>
  </si>
  <si>
    <t>Noviembre-2023</t>
  </si>
  <si>
    <t>Diciembre-2023</t>
  </si>
  <si>
    <t>Enero-2019</t>
  </si>
  <si>
    <t>Febrero-2019</t>
  </si>
  <si>
    <t>Marzo-2019</t>
  </si>
  <si>
    <t>Abril-2019</t>
  </si>
  <si>
    <t>Mayo-2019</t>
  </si>
  <si>
    <t>Junio-2019</t>
  </si>
  <si>
    <t>Julio-2019</t>
  </si>
  <si>
    <t>Agosto-2019</t>
  </si>
  <si>
    <t>Septiembre-2019</t>
  </si>
  <si>
    <t>Octubre-2019</t>
  </si>
  <si>
    <t>Noviembre-2019</t>
  </si>
  <si>
    <t>Diciembre-2019</t>
  </si>
  <si>
    <t>MODO DE APLICACIÓN DE OTROS CONCEPTOS (N-1? N-2?)</t>
  </si>
  <si>
    <t>PERIODICIDAD DE OC:</t>
  </si>
  <si>
    <t>2245,60 </t>
  </si>
  <si>
    <t>CAMBIO ZONA CBC</t>
  </si>
  <si>
    <t>CBC N°34-22 - CBC N°50-22</t>
  </si>
  <si>
    <t>MON</t>
  </si>
  <si>
    <t>CAMIONEROS</t>
  </si>
  <si>
    <t>A APLICAR</t>
  </si>
  <si>
    <t>BASE MAR19</t>
  </si>
  <si>
    <t xml:space="preserve">Período </t>
  </si>
  <si>
    <t xml:space="preserve">Concepto </t>
  </si>
  <si>
    <t xml:space="preserve"> sobre base Abril 22</t>
  </si>
  <si>
    <t xml:space="preserve">variacion </t>
  </si>
  <si>
    <t>ANTES 
(mzo21)</t>
  </si>
  <si>
    <t>7.40%</t>
  </si>
  <si>
    <t>CBC N°18-23</t>
  </si>
  <si>
    <t>CBC N°18-23 - CBC N°28-23</t>
  </si>
  <si>
    <t>CBC N°28-23</t>
  </si>
  <si>
    <t>Enero-2024</t>
  </si>
  <si>
    <t>Febrero-2024</t>
  </si>
  <si>
    <t>Marzo-2024</t>
  </si>
  <si>
    <t>Abril-2024</t>
  </si>
  <si>
    <t>L</t>
  </si>
  <si>
    <t>Tasa BADLAR (%) en n.a</t>
  </si>
  <si>
    <t>CBC N°12-23 - CBC N°18-23</t>
  </si>
  <si>
    <t>CBC N°28-23 - CBC N°44-23</t>
  </si>
  <si>
    <t>Mayo-2024</t>
  </si>
  <si>
    <t>Junio-2024</t>
  </si>
  <si>
    <t>Julio-2024</t>
  </si>
  <si>
    <t>Agosto-2024</t>
  </si>
  <si>
    <t>Septiembre-2024</t>
  </si>
  <si>
    <t>Octubre-2024</t>
  </si>
  <si>
    <t>Noviembre-2024</t>
  </si>
  <si>
    <t>Diciembre-2024</t>
  </si>
  <si>
    <t>PETROLEROS</t>
  </si>
  <si>
    <t>VARIACION PETROLEROS/JERARQUICOS</t>
  </si>
  <si>
    <t>APLICAR DE VARIACION</t>
  </si>
  <si>
    <t>mzo-21</t>
  </si>
  <si>
    <t>PP 2022</t>
  </si>
  <si>
    <t>PP</t>
  </si>
  <si>
    <t>BASE</t>
  </si>
  <si>
    <t xml:space="preserve">AJUSTE </t>
  </si>
  <si>
    <t>REM</t>
  </si>
  <si>
    <t>PARITARIA</t>
  </si>
  <si>
    <t>CCSS</t>
  </si>
  <si>
    <t>TOTAL PAE (incluye CCSS)</t>
  </si>
  <si>
    <t xml:space="preserve">309,2000	</t>
  </si>
  <si>
    <t>CBC N°28-23 - CBC N°49-23</t>
  </si>
  <si>
    <t>VARIACION SOBRE ÚLTIMO AJUSTE</t>
  </si>
  <si>
    <t>VARIACION SOBRE BASE</t>
  </si>
  <si>
    <t>MTTO PREVENT-CORRECT BBA DOSIF PROD QCO</t>
  </si>
  <si>
    <t>DOSIF QUIM CONEX PTO DOSIF</t>
  </si>
  <si>
    <t>TRAILER</t>
  </si>
  <si>
    <t>ESTRUCTURA 1: OC N-2</t>
  </si>
  <si>
    <t>CBC N°28-23 - CBC N°49-23 - CBC N°04-24</t>
  </si>
  <si>
    <t>ESTRUCTURA 1: OC N-1</t>
  </si>
  <si>
    <t>ESTRUCTURA 2 TRAILER: OC N-2 - TRIMESTRAL</t>
  </si>
  <si>
    <t>CBC N°28-23 - CBC N°04-24 - CBC N°10-24 - CBC N°17-24</t>
  </si>
  <si>
    <t>CBC N°28-23 - CBC N°04-24 - CBC N°10-24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</si>
</sst>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&quot;$&quot;\ * #,##0.000_ ;_ &quot;$&quot;\ * \-#,##0.000_ ;_ &quot;$&quot;\ * &quot;-&quot;??_ ;_ @_ "/>
    <numFmt numFmtId="167" formatCode="0.00_)"/>
    <numFmt numFmtId="168" formatCode="0.0_)"/>
    <numFmt numFmtId="169" formatCode="0.0%"/>
    <numFmt numFmtId="170" formatCode="_ &quot;$&quot;\ * #,##0_ ;_ &quot;$&quot;\ * \-#,##0_ ;_ &quot;$&quot;\ * &quot;-&quot;??_ ;_ @_ "/>
    <numFmt numFmtId="171" formatCode="0.0"/>
    <numFmt numFmtId="172" formatCode="_ [$€]\ * #,##0.00_ ;_ [$€]\ * \-#,##0.00_ ;_ [$€]\ * &quot;-&quot;??_ ;_ @_ "/>
    <numFmt numFmtId="173" formatCode="0.000"/>
    <numFmt numFmtId="174" formatCode="_(* #,##0.00_);_(* \(#,##0.00\);_(* &quot;-&quot;??_);_(@_)"/>
    <numFmt numFmtId="175" formatCode="#,##0.0000"/>
    <numFmt numFmtId="176" formatCode="_-[$$-2C0A]\ * #,##0.00_-;\-[$$-2C0A]\ * #,##0.00_-;_-[$$-2C0A]\ * &quot;-&quot;??_-;_-@_-"/>
    <numFmt numFmtId="177" formatCode="0.00000"/>
    <numFmt numFmtId="178" formatCode="0.00000%"/>
    <numFmt numFmtId="179" formatCode="[$$-2C0A]\ #,##0"/>
    <numFmt numFmtId="180" formatCode="_ * #,##0_ ;_ * \-#,##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color indexed="30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63"/>
      <name val="Calibri"/>
      <family val="2"/>
      <scheme val="minor"/>
    </font>
    <font>
      <b/>
      <sz val="9"/>
      <color indexed="63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6"/>
      <color theme="1"/>
      <name val="Cambria"/>
      <family val="1"/>
    </font>
    <font>
      <i/>
      <sz val="14"/>
      <color theme="1"/>
      <name val="Cambria"/>
      <family val="1"/>
    </font>
    <font>
      <i/>
      <sz val="8"/>
      <color theme="1"/>
      <name val="Calibri"/>
      <family val="2"/>
      <scheme val="minor"/>
    </font>
    <font>
      <b/>
      <i/>
      <u/>
      <sz val="11"/>
      <color theme="1"/>
      <name val="Cambria"/>
      <family val="1"/>
    </font>
    <font>
      <b/>
      <sz val="9"/>
      <name val="Cambria"/>
      <family val="1"/>
    </font>
    <font>
      <b/>
      <sz val="9"/>
      <color theme="0"/>
      <name val="Cambria"/>
      <family val="1"/>
    </font>
    <font>
      <i/>
      <sz val="11"/>
      <color theme="1"/>
      <name val="Cambria"/>
      <family val="1"/>
    </font>
    <font>
      <sz val="11"/>
      <color theme="1"/>
      <name val="Cambria"/>
      <family val="1"/>
    </font>
    <font>
      <sz val="9"/>
      <name val="Cambria"/>
      <family val="1"/>
    </font>
    <font>
      <sz val="9"/>
      <color theme="1"/>
      <name val="Cambria"/>
      <family val="1"/>
    </font>
    <font>
      <sz val="9"/>
      <color theme="1" tint="0.34998626667073579"/>
      <name val="Cambria"/>
      <family val="1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9"/>
      <name val="Cambria"/>
      <family val="1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861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7F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theme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172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1" fillId="2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0"/>
    <xf numFmtId="0" fontId="43" fillId="0" borderId="0"/>
    <xf numFmtId="43" fontId="1" fillId="0" borderId="0" applyFont="0" applyFill="0" applyBorder="0" applyAlignment="0" applyProtection="0"/>
    <xf numFmtId="0" fontId="4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9">
    <xf numFmtId="0" fontId="0" fillId="0" borderId="0" xfId="0"/>
    <xf numFmtId="17" fontId="0" fillId="0" borderId="1" xfId="0" applyNumberFormat="1" applyBorder="1"/>
    <xf numFmtId="0" fontId="4" fillId="0" borderId="0" xfId="3"/>
    <xf numFmtId="0" fontId="4" fillId="0" borderId="0" xfId="3" applyBorder="1"/>
    <xf numFmtId="0" fontId="6" fillId="0" borderId="0" xfId="3" applyFont="1"/>
    <xf numFmtId="0" fontId="4" fillId="0" borderId="0" xfId="3" applyAlignment="1">
      <alignment horizontal="center" vertical="center"/>
    </xf>
    <xf numFmtId="168" fontId="7" fillId="0" borderId="0" xfId="3" applyNumberFormat="1" applyFont="1" applyAlignment="1">
      <alignment horizontal="center"/>
    </xf>
    <xf numFmtId="0" fontId="4" fillId="0" borderId="0" xfId="3" applyAlignment="1">
      <alignment horizontal="center"/>
    </xf>
    <xf numFmtId="0" fontId="0" fillId="0" borderId="0" xfId="0"/>
    <xf numFmtId="0" fontId="2" fillId="2" borderId="1" xfId="0" applyFont="1" applyFill="1" applyBorder="1"/>
    <xf numFmtId="0" fontId="6" fillId="0" borderId="6" xfId="3" applyFont="1" applyBorder="1"/>
    <xf numFmtId="0" fontId="4" fillId="0" borderId="6" xfId="3" applyBorder="1"/>
    <xf numFmtId="0" fontId="6" fillId="0" borderId="0" xfId="3" applyFont="1" applyBorder="1"/>
    <xf numFmtId="0" fontId="8" fillId="6" borderId="0" xfId="3" applyFont="1" applyFill="1"/>
    <xf numFmtId="167" fontId="5" fillId="0" borderId="0" xfId="3" applyNumberFormat="1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Protection="1"/>
    <xf numFmtId="17" fontId="0" fillId="0" borderId="1" xfId="0" applyNumberFormat="1" applyBorder="1" applyProtection="1"/>
    <xf numFmtId="166" fontId="0" fillId="0" borderId="1" xfId="1" applyNumberFormat="1" applyFont="1" applyBorder="1" applyProtection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Protection="1"/>
    <xf numFmtId="0" fontId="0" fillId="0" borderId="11" xfId="0" applyBorder="1" applyProtection="1"/>
    <xf numFmtId="0" fontId="0" fillId="0" borderId="0" xfId="0" applyBorder="1" applyProtection="1"/>
    <xf numFmtId="0" fontId="4" fillId="8" borderId="0" xfId="3" applyFill="1" applyBorder="1"/>
    <xf numFmtId="0" fontId="4" fillId="7" borderId="0" xfId="3" applyFill="1"/>
    <xf numFmtId="0" fontId="8" fillId="7" borderId="0" xfId="3" applyFont="1" applyFill="1" applyBorder="1"/>
    <xf numFmtId="0" fontId="8" fillId="7" borderId="0" xfId="3" applyFont="1" applyFill="1"/>
    <xf numFmtId="0" fontId="4" fillId="7" borderId="0" xfId="3" applyFill="1" applyBorder="1"/>
    <xf numFmtId="0" fontId="4" fillId="7" borderId="6" xfId="3" applyFill="1" applyBorder="1"/>
    <xf numFmtId="0" fontId="6" fillId="7" borderId="0" xfId="3" applyFont="1" applyFill="1" applyBorder="1"/>
    <xf numFmtId="0" fontId="6" fillId="7" borderId="6" xfId="3" applyFont="1" applyFill="1" applyBorder="1"/>
    <xf numFmtId="0" fontId="6" fillId="7" borderId="0" xfId="3" applyFont="1" applyFill="1"/>
    <xf numFmtId="168" fontId="7" fillId="7" borderId="0" xfId="3" applyNumberFormat="1" applyFont="1" applyFill="1" applyAlignment="1">
      <alignment horizontal="center"/>
    </xf>
    <xf numFmtId="0" fontId="4" fillId="7" borderId="0" xfId="3" applyFill="1" applyAlignment="1">
      <alignment horizontal="center"/>
    </xf>
    <xf numFmtId="0" fontId="4" fillId="7" borderId="0" xfId="3" applyFill="1" applyAlignment="1">
      <alignment horizontal="center" vertical="center"/>
    </xf>
    <xf numFmtId="0" fontId="13" fillId="5" borderId="1" xfId="3" applyFont="1" applyFill="1" applyBorder="1" applyAlignment="1">
      <alignment horizontal="center" vertical="center" wrapText="1"/>
    </xf>
    <xf numFmtId="17" fontId="14" fillId="0" borderId="1" xfId="3" applyNumberFormat="1" applyFont="1" applyBorder="1" applyAlignment="1">
      <alignment horizontal="center" vertical="center"/>
    </xf>
    <xf numFmtId="168" fontId="15" fillId="0" borderId="1" xfId="3" applyNumberFormat="1" applyFont="1" applyBorder="1" applyAlignment="1">
      <alignment horizontal="center"/>
    </xf>
    <xf numFmtId="169" fontId="14" fillId="0" borderId="1" xfId="4" applyNumberFormat="1" applyFont="1" applyBorder="1" applyAlignment="1">
      <alignment horizontal="center"/>
    </xf>
    <xf numFmtId="168" fontId="16" fillId="0" borderId="1" xfId="3" applyNumberFormat="1" applyFont="1" applyBorder="1" applyAlignment="1">
      <alignment horizontal="center"/>
    </xf>
    <xf numFmtId="0" fontId="4" fillId="0" borderId="7" xfId="3" applyBorder="1"/>
    <xf numFmtId="0" fontId="4" fillId="0" borderId="8" xfId="3" applyBorder="1"/>
    <xf numFmtId="0" fontId="4" fillId="0" borderId="9" xfId="3" applyBorder="1"/>
    <xf numFmtId="0" fontId="8" fillId="8" borderId="11" xfId="3" applyFont="1" applyFill="1" applyBorder="1"/>
    <xf numFmtId="0" fontId="4" fillId="8" borderId="10" xfId="3" applyFill="1" applyBorder="1"/>
    <xf numFmtId="0" fontId="4" fillId="8" borderId="11" xfId="3" applyFill="1" applyBorder="1"/>
    <xf numFmtId="0" fontId="4" fillId="0" borderId="10" xfId="3" applyBorder="1"/>
    <xf numFmtId="0" fontId="4" fillId="0" borderId="11" xfId="3" applyBorder="1"/>
    <xf numFmtId="0" fontId="6" fillId="0" borderId="10" xfId="3" applyFont="1" applyBorder="1"/>
    <xf numFmtId="0" fontId="6" fillId="0" borderId="11" xfId="3" applyFont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8" borderId="10" xfId="0" applyFill="1" applyBorder="1"/>
    <xf numFmtId="0" fontId="0" fillId="8" borderId="0" xfId="0" applyFill="1"/>
    <xf numFmtId="0" fontId="0" fillId="8" borderId="0" xfId="0" applyFill="1" applyBorder="1"/>
    <xf numFmtId="166" fontId="0" fillId="0" borderId="1" xfId="1" applyNumberFormat="1" applyFont="1" applyBorder="1"/>
    <xf numFmtId="10" fontId="0" fillId="0" borderId="0" xfId="6" applyNumberFormat="1" applyFont="1" applyBorder="1"/>
    <xf numFmtId="170" fontId="0" fillId="0" borderId="1" xfId="1" applyNumberFormat="1" applyFont="1" applyBorder="1"/>
    <xf numFmtId="170" fontId="9" fillId="0" borderId="1" xfId="1" applyNumberFormat="1" applyFont="1" applyBorder="1"/>
    <xf numFmtId="10" fontId="4" fillId="0" borderId="0" xfId="6" applyNumberFormat="1" applyFont="1" applyBorder="1"/>
    <xf numFmtId="10" fontId="0" fillId="0" borderId="0" xfId="6" applyNumberFormat="1" applyFont="1" applyBorder="1" applyProtection="1"/>
    <xf numFmtId="0" fontId="4" fillId="9" borderId="0" xfId="18" applyFill="1" applyAlignment="1">
      <alignment vertical="center"/>
    </xf>
    <xf numFmtId="0" fontId="4" fillId="9" borderId="0" xfId="18" applyFill="1"/>
    <xf numFmtId="0" fontId="18" fillId="13" borderId="1" xfId="18" applyFont="1" applyFill="1" applyBorder="1" applyAlignment="1">
      <alignment horizontal="center" vertical="center" wrapText="1"/>
    </xf>
    <xf numFmtId="0" fontId="7" fillId="9" borderId="0" xfId="18" applyFont="1" applyFill="1" applyAlignment="1">
      <alignment horizontal="center" vertical="center" wrapText="1"/>
    </xf>
    <xf numFmtId="1" fontId="4" fillId="10" borderId="1" xfId="18" applyNumberFormat="1" applyFill="1" applyBorder="1"/>
    <xf numFmtId="0" fontId="4" fillId="10" borderId="1" xfId="18" applyFill="1" applyBorder="1"/>
    <xf numFmtId="164" fontId="1" fillId="10" borderId="1" xfId="19" applyFont="1" applyFill="1" applyBorder="1"/>
    <xf numFmtId="0" fontId="18" fillId="13" borderId="1" xfId="18" applyFont="1" applyFill="1" applyBorder="1" applyAlignment="1">
      <alignment horizontal="center" vertical="center"/>
    </xf>
    <xf numFmtId="0" fontId="4" fillId="9" borderId="1" xfId="18" applyFont="1" applyFill="1" applyBorder="1"/>
    <xf numFmtId="10" fontId="4" fillId="9" borderId="1" xfId="20" applyNumberFormat="1" applyFont="1" applyFill="1" applyBorder="1" applyAlignment="1">
      <alignment horizontal="center"/>
    </xf>
    <xf numFmtId="2" fontId="4" fillId="12" borderId="1" xfId="18" applyNumberFormat="1" applyFill="1" applyBorder="1" applyAlignment="1">
      <alignment horizontal="center"/>
    </xf>
    <xf numFmtId="2" fontId="4" fillId="0" borderId="1" xfId="18" applyNumberFormat="1" applyFill="1" applyBorder="1" applyAlignment="1">
      <alignment horizontal="center"/>
    </xf>
    <xf numFmtId="0" fontId="18" fillId="13" borderId="4" xfId="18" applyFont="1" applyFill="1" applyBorder="1" applyAlignment="1">
      <alignment horizontal="center"/>
    </xf>
    <xf numFmtId="0" fontId="18" fillId="13" borderId="12" xfId="18" applyFont="1" applyFill="1" applyBorder="1" applyAlignment="1">
      <alignment horizontal="center"/>
    </xf>
    <xf numFmtId="0" fontId="18" fillId="13" borderId="5" xfId="18" applyFont="1" applyFill="1" applyBorder="1" applyAlignment="1">
      <alignment horizontal="center"/>
    </xf>
    <xf numFmtId="10" fontId="7" fillId="9" borderId="1" xfId="20" applyNumberFormat="1" applyFont="1" applyFill="1" applyBorder="1" applyAlignment="1">
      <alignment horizontal="center"/>
    </xf>
    <xf numFmtId="10" fontId="4" fillId="9" borderId="1" xfId="18" applyNumberFormat="1" applyFill="1" applyBorder="1"/>
    <xf numFmtId="0" fontId="7" fillId="9" borderId="0" xfId="18" applyFont="1" applyFill="1"/>
    <xf numFmtId="0" fontId="4" fillId="9" borderId="0" xfId="18" applyFill="1" applyAlignment="1">
      <alignment horizontal="center"/>
    </xf>
    <xf numFmtId="1" fontId="4" fillId="9" borderId="1" xfId="18" applyNumberFormat="1" applyFill="1" applyBorder="1"/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/>
    </xf>
    <xf numFmtId="49" fontId="0" fillId="0" borderId="0" xfId="0" applyNumberFormat="1"/>
    <xf numFmtId="0" fontId="0" fillId="0" borderId="0" xfId="0" applyNumberFormat="1"/>
    <xf numFmtId="17" fontId="18" fillId="24" borderId="1" xfId="18" applyNumberFormat="1" applyFont="1" applyFill="1" applyBorder="1" applyAlignment="1">
      <alignment horizontal="center" vertical="center" wrapText="1"/>
    </xf>
    <xf numFmtId="0" fontId="4" fillId="24" borderId="0" xfId="18" applyFill="1" applyAlignment="1">
      <alignment horizontal="center" vertical="center"/>
    </xf>
    <xf numFmtId="0" fontId="4" fillId="24" borderId="1" xfId="18" applyFont="1" applyFill="1" applyBorder="1" applyAlignment="1">
      <alignment horizontal="center"/>
    </xf>
    <xf numFmtId="0" fontId="0" fillId="0" borderId="0" xfId="0" applyFill="1"/>
    <xf numFmtId="0" fontId="0" fillId="0" borderId="0" xfId="0"/>
    <xf numFmtId="0" fontId="0" fillId="8" borderId="0" xfId="0" applyFill="1"/>
    <xf numFmtId="0" fontId="2" fillId="0" borderId="0" xfId="0" applyFont="1"/>
    <xf numFmtId="0" fontId="4" fillId="9" borderId="0" xfId="18" applyFill="1"/>
    <xf numFmtId="0" fontId="18" fillId="13" borderId="1" xfId="18" applyFont="1" applyFill="1" applyBorder="1" applyAlignment="1">
      <alignment horizontal="center" vertical="center" wrapText="1"/>
    </xf>
    <xf numFmtId="0" fontId="18" fillId="13" borderId="1" xfId="18" applyFont="1" applyFill="1" applyBorder="1" applyAlignment="1">
      <alignment horizontal="center" vertical="center"/>
    </xf>
    <xf numFmtId="0" fontId="4" fillId="9" borderId="1" xfId="18" applyFont="1" applyFill="1" applyBorder="1"/>
    <xf numFmtId="10" fontId="4" fillId="9" borderId="1" xfId="20" applyNumberFormat="1" applyFont="1" applyFill="1" applyBorder="1" applyAlignment="1">
      <alignment horizontal="center"/>
    </xf>
    <xf numFmtId="2" fontId="4" fillId="0" borderId="1" xfId="18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8" borderId="0" xfId="0" applyFont="1" applyFill="1"/>
    <xf numFmtId="2" fontId="0" fillId="0" borderId="0" xfId="0" applyNumberFormat="1"/>
    <xf numFmtId="10" fontId="4" fillId="9" borderId="1" xfId="6" applyNumberFormat="1" applyFont="1" applyFill="1" applyBorder="1" applyAlignment="1">
      <alignment horizontal="center"/>
    </xf>
    <xf numFmtId="10" fontId="0" fillId="0" borderId="0" xfId="6" applyNumberFormat="1" applyFont="1"/>
    <xf numFmtId="9" fontId="0" fillId="0" borderId="0" xfId="6" applyFont="1"/>
    <xf numFmtId="17" fontId="18" fillId="13" borderId="1" xfId="18" applyNumberFormat="1" applyFont="1" applyFill="1" applyBorder="1" applyAlignment="1">
      <alignment horizontal="center" vertical="center" wrapText="1"/>
    </xf>
    <xf numFmtId="1" fontId="0" fillId="8" borderId="0" xfId="0" applyNumberFormat="1" applyFill="1"/>
    <xf numFmtId="164" fontId="1" fillId="8" borderId="0" xfId="1" applyFont="1" applyFill="1"/>
    <xf numFmtId="0" fontId="0" fillId="8" borderId="0" xfId="0" applyFill="1" applyAlignment="1">
      <alignment horizontal="center"/>
    </xf>
    <xf numFmtId="1" fontId="2" fillId="8" borderId="1" xfId="0" applyNumberFormat="1" applyFont="1" applyFill="1" applyBorder="1"/>
    <xf numFmtId="0" fontId="2" fillId="8" borderId="1" xfId="0" applyFont="1" applyFill="1" applyBorder="1"/>
    <xf numFmtId="164" fontId="2" fillId="8" borderId="1" xfId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7" fillId="12" borderId="1" xfId="18" applyFont="1" applyFill="1" applyBorder="1" applyAlignment="1">
      <alignment horizontal="center" vertical="center" wrapText="1"/>
    </xf>
    <xf numFmtId="164" fontId="1" fillId="8" borderId="1" xfId="1" applyFont="1" applyFill="1" applyBorder="1"/>
    <xf numFmtId="9" fontId="0" fillId="8" borderId="1" xfId="0" applyNumberFormat="1" applyFill="1" applyBorder="1"/>
    <xf numFmtId="9" fontId="0" fillId="8" borderId="1" xfId="0" applyNumberFormat="1" applyFill="1" applyBorder="1" applyAlignment="1">
      <alignment horizontal="center"/>
    </xf>
    <xf numFmtId="171" fontId="0" fillId="8" borderId="1" xfId="0" applyNumberFormat="1" applyFill="1" applyBorder="1" applyAlignment="1">
      <alignment horizontal="center"/>
    </xf>
    <xf numFmtId="9" fontId="1" fillId="8" borderId="0" xfId="6" applyNumberFormat="1" applyFont="1" applyFill="1"/>
    <xf numFmtId="0" fontId="0" fillId="0" borderId="1" xfId="0" applyBorder="1"/>
    <xf numFmtId="164" fontId="38" fillId="9" borderId="1" xfId="19" applyFont="1" applyFill="1" applyBorder="1" applyAlignment="1">
      <alignment horizontal="center"/>
    </xf>
    <xf numFmtId="176" fontId="38" fillId="12" borderId="1" xfId="23" applyNumberFormat="1" applyFont="1" applyFill="1" applyBorder="1" applyAlignment="1">
      <alignment horizontal="center"/>
    </xf>
    <xf numFmtId="1" fontId="4" fillId="11" borderId="1" xfId="18" applyNumberFormat="1" applyFill="1" applyBorder="1"/>
    <xf numFmtId="0" fontId="0" fillId="11" borderId="1" xfId="0" applyFill="1" applyBorder="1"/>
    <xf numFmtId="164" fontId="38" fillId="26" borderId="1" xfId="19" applyFont="1" applyFill="1" applyBorder="1" applyAlignment="1">
      <alignment horizontal="center"/>
    </xf>
    <xf numFmtId="0" fontId="4" fillId="0" borderId="0" xfId="3" applyAlignment="1">
      <alignment vertical="top"/>
    </xf>
    <xf numFmtId="17" fontId="18" fillId="13" borderId="1" xfId="23" applyNumberFormat="1" applyFont="1" applyFill="1" applyBorder="1" applyAlignment="1">
      <alignment horizontal="center" vertical="center" wrapText="1"/>
    </xf>
    <xf numFmtId="0" fontId="18" fillId="13" borderId="1" xfId="23" applyFont="1" applyFill="1" applyBorder="1" applyAlignment="1">
      <alignment horizontal="center" vertical="center" wrapText="1"/>
    </xf>
    <xf numFmtId="17" fontId="0" fillId="0" borderId="0" xfId="0" applyNumberFormat="1"/>
    <xf numFmtId="10" fontId="0" fillId="0" borderId="0" xfId="0" applyNumberFormat="1"/>
    <xf numFmtId="10" fontId="1" fillId="10" borderId="1" xfId="4" applyNumberFormat="1" applyFont="1" applyFill="1" applyBorder="1" applyAlignment="1">
      <alignment horizontal="center"/>
    </xf>
    <xf numFmtId="9" fontId="0" fillId="0" borderId="0" xfId="0" applyNumberFormat="1"/>
    <xf numFmtId="177" fontId="0" fillId="0" borderId="0" xfId="0" applyNumberFormat="1"/>
    <xf numFmtId="178" fontId="0" fillId="0" borderId="0" xfId="6" applyNumberFormat="1" applyFont="1"/>
    <xf numFmtId="17" fontId="0" fillId="11" borderId="0" xfId="0" applyNumberFormat="1" applyFill="1"/>
    <xf numFmtId="10" fontId="0" fillId="11" borderId="0" xfId="0" applyNumberFormat="1" applyFill="1"/>
    <xf numFmtId="0" fontId="0" fillId="11" borderId="0" xfId="0" applyFill="1"/>
    <xf numFmtId="4" fontId="39" fillId="16" borderId="35" xfId="18" applyNumberFormat="1" applyFont="1" applyFill="1" applyBorder="1" applyAlignment="1">
      <alignment horizontal="center" vertical="center" wrapText="1"/>
    </xf>
    <xf numFmtId="17" fontId="18" fillId="16" borderId="0" xfId="18" applyNumberFormat="1" applyFont="1" applyFill="1" applyAlignment="1">
      <alignment horizontal="center" vertical="center" wrapText="1"/>
    </xf>
    <xf numFmtId="10" fontId="4" fillId="8" borderId="2" xfId="4" applyNumberFormat="1" applyFont="1" applyFill="1" applyBorder="1" applyAlignment="1">
      <alignment horizontal="center" vertical="center" wrapText="1"/>
    </xf>
    <xf numFmtId="4" fontId="4" fillId="8" borderId="3" xfId="18" applyNumberFormat="1" applyFill="1" applyBorder="1" applyAlignment="1">
      <alignment horizontal="center" vertical="center" wrapText="1"/>
    </xf>
    <xf numFmtId="9" fontId="4" fillId="9" borderId="0" xfId="6" applyFont="1" applyFill="1"/>
    <xf numFmtId="164" fontId="1" fillId="11" borderId="1" xfId="1" applyFont="1" applyFill="1" applyBorder="1"/>
    <xf numFmtId="9" fontId="0" fillId="11" borderId="1" xfId="0" applyNumberFormat="1" applyFill="1" applyBorder="1"/>
    <xf numFmtId="9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9" fontId="4" fillId="9" borderId="0" xfId="18" applyNumberFormat="1" applyFill="1" applyAlignment="1">
      <alignment vertical="center"/>
    </xf>
    <xf numFmtId="0" fontId="40" fillId="12" borderId="0" xfId="18" applyFont="1" applyFill="1"/>
    <xf numFmtId="10" fontId="4" fillId="9" borderId="0" xfId="6" applyNumberFormat="1" applyFont="1" applyFill="1" applyAlignment="1">
      <alignment vertical="center"/>
    </xf>
    <xf numFmtId="0" fontId="0" fillId="0" borderId="0" xfId="0"/>
    <xf numFmtId="0" fontId="0" fillId="10" borderId="0" xfId="0" applyFill="1"/>
    <xf numFmtId="0" fontId="18" fillId="13" borderId="1" xfId="23" applyFon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/>
    </xf>
    <xf numFmtId="0" fontId="0" fillId="8" borderId="0" xfId="0" applyFill="1"/>
    <xf numFmtId="0" fontId="2" fillId="8" borderId="0" xfId="0" applyFont="1" applyFill="1"/>
    <xf numFmtId="2" fontId="0" fillId="0" borderId="0" xfId="0" applyNumberFormat="1"/>
    <xf numFmtId="10" fontId="0" fillId="0" borderId="0" xfId="6" applyNumberFormat="1" applyFont="1"/>
    <xf numFmtId="9" fontId="0" fillId="0" borderId="0" xfId="6" applyFont="1"/>
    <xf numFmtId="0" fontId="24" fillId="18" borderId="20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horizontal="center" vertical="top"/>
    </xf>
    <xf numFmtId="0" fontId="22" fillId="8" borderId="0" xfId="0" applyFont="1" applyFill="1" applyAlignment="1">
      <alignment horizontal="center" vertical="center" wrapText="1"/>
    </xf>
    <xf numFmtId="0" fontId="0" fillId="17" borderId="22" xfId="0" applyFill="1" applyBorder="1" applyAlignment="1">
      <alignment horizontal="center" vertical="center"/>
    </xf>
    <xf numFmtId="0" fontId="22" fillId="17" borderId="22" xfId="0" applyFont="1" applyFill="1" applyBorder="1" applyAlignment="1">
      <alignment horizontal="center" vertical="center"/>
    </xf>
    <xf numFmtId="0" fontId="20" fillId="8" borderId="0" xfId="0" applyFont="1" applyFill="1"/>
    <xf numFmtId="0" fontId="21" fillId="8" borderId="0" xfId="0" applyFont="1" applyFill="1"/>
    <xf numFmtId="0" fontId="0" fillId="19" borderId="0" xfId="0" applyFill="1" applyAlignment="1">
      <alignment horizontal="center" vertical="center"/>
    </xf>
    <xf numFmtId="0" fontId="24" fillId="14" borderId="2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28" fillId="20" borderId="22" xfId="0" applyFont="1" applyFill="1" applyBorder="1" applyAlignment="1">
      <alignment horizontal="center" vertical="center"/>
    </xf>
    <xf numFmtId="0" fontId="28" fillId="20" borderId="22" xfId="0" applyFont="1" applyFill="1" applyBorder="1" applyAlignment="1">
      <alignment horizontal="center" vertical="center" wrapText="1"/>
    </xf>
    <xf numFmtId="0" fontId="28" fillId="21" borderId="22" xfId="0" applyFont="1" applyFill="1" applyBorder="1" applyAlignment="1">
      <alignment horizontal="center" vertical="center" wrapText="1"/>
    </xf>
    <xf numFmtId="0" fontId="24" fillId="14" borderId="19" xfId="0" applyFont="1" applyFill="1" applyBorder="1" applyAlignment="1">
      <alignment horizontal="center" vertical="center" wrapText="1"/>
    </xf>
    <xf numFmtId="0" fontId="25" fillId="16" borderId="20" xfId="0" applyFont="1" applyFill="1" applyBorder="1" applyAlignment="1">
      <alignment horizontal="center" vertical="center" wrapText="1"/>
    </xf>
    <xf numFmtId="0" fontId="30" fillId="23" borderId="22" xfId="0" applyFont="1" applyFill="1" applyBorder="1" applyAlignment="1">
      <alignment horizontal="center" vertical="center"/>
    </xf>
    <xf numFmtId="10" fontId="30" fillId="23" borderId="22" xfId="0" applyNumberFormat="1" applyFont="1" applyFill="1" applyBorder="1" applyAlignment="1">
      <alignment horizontal="center" vertical="center"/>
    </xf>
    <xf numFmtId="2" fontId="30" fillId="23" borderId="22" xfId="0" applyNumberFormat="1" applyFont="1" applyFill="1" applyBorder="1" applyAlignment="1">
      <alignment horizontal="center" vertical="center"/>
    </xf>
    <xf numFmtId="10" fontId="30" fillId="23" borderId="22" xfId="6" applyNumberFormat="1" applyFont="1" applyFill="1" applyBorder="1" applyAlignment="1">
      <alignment horizontal="center" vertical="center"/>
    </xf>
    <xf numFmtId="0" fontId="26" fillId="17" borderId="22" xfId="0" applyFont="1" applyFill="1" applyBorder="1" applyAlignment="1">
      <alignment horizontal="center" vertical="center"/>
    </xf>
    <xf numFmtId="0" fontId="27" fillId="17" borderId="22" xfId="0" applyFont="1" applyFill="1" applyBorder="1" applyAlignment="1">
      <alignment horizontal="center" vertical="center"/>
    </xf>
    <xf numFmtId="10" fontId="29" fillId="22" borderId="22" xfId="6" applyNumberFormat="1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3" fillId="20" borderId="22" xfId="2" applyFill="1" applyBorder="1" applyAlignment="1">
      <alignment horizontal="center" vertical="center" wrapText="1"/>
    </xf>
    <xf numFmtId="2" fontId="30" fillId="23" borderId="22" xfId="0" applyNumberFormat="1" applyFont="1" applyFill="1" applyBorder="1" applyAlignment="1">
      <alignment horizontal="center" vertical="center" wrapText="1"/>
    </xf>
    <xf numFmtId="17" fontId="24" fillId="14" borderId="20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19" borderId="0" xfId="0" applyFill="1" applyAlignment="1">
      <alignment horizontal="center" vertical="center" wrapText="1"/>
    </xf>
    <xf numFmtId="0" fontId="3" fillId="20" borderId="22" xfId="2" applyFill="1" applyBorder="1" applyAlignment="1">
      <alignment horizontal="center" vertical="top" wrapText="1"/>
    </xf>
    <xf numFmtId="2" fontId="30" fillId="23" borderId="22" xfId="6" applyNumberFormat="1" applyFont="1" applyFill="1" applyBorder="1" applyAlignment="1">
      <alignment horizontal="center" vertical="center"/>
    </xf>
    <xf numFmtId="2" fontId="30" fillId="23" borderId="24" xfId="0" applyNumberFormat="1" applyFont="1" applyFill="1" applyBorder="1" applyAlignment="1">
      <alignment horizontal="center" vertical="center"/>
    </xf>
    <xf numFmtId="169" fontId="30" fillId="23" borderId="22" xfId="0" applyNumberFormat="1" applyFont="1" applyFill="1" applyBorder="1" applyAlignment="1">
      <alignment horizontal="center" vertical="center"/>
    </xf>
    <xf numFmtId="169" fontId="30" fillId="23" borderId="22" xfId="6" applyNumberFormat="1" applyFont="1" applyFill="1" applyBorder="1" applyAlignment="1">
      <alignment horizontal="center" vertical="center"/>
    </xf>
    <xf numFmtId="4" fontId="0" fillId="8" borderId="0" xfId="0" applyNumberFormat="1" applyFill="1"/>
    <xf numFmtId="175" fontId="0" fillId="8" borderId="0" xfId="0" applyNumberFormat="1" applyFill="1"/>
    <xf numFmtId="0" fontId="30" fillId="23" borderId="22" xfId="0" applyFont="1" applyFill="1" applyBorder="1" applyAlignment="1">
      <alignment horizontal="center" vertical="center" wrapText="1"/>
    </xf>
    <xf numFmtId="4" fontId="30" fillId="23" borderId="22" xfId="0" applyNumberFormat="1" applyFont="1" applyFill="1" applyBorder="1" applyAlignment="1">
      <alignment horizontal="center" vertical="center"/>
    </xf>
    <xf numFmtId="10" fontId="30" fillId="23" borderId="22" xfId="6" applyNumberFormat="1" applyFont="1" applyFill="1" applyBorder="1" applyAlignment="1">
      <alignment horizontal="center" vertical="center" wrapText="1"/>
    </xf>
    <xf numFmtId="17" fontId="24" fillId="18" borderId="20" xfId="0" applyNumberFormat="1" applyFont="1" applyFill="1" applyBorder="1" applyAlignment="1">
      <alignment horizontal="center" vertical="center" wrapText="1"/>
    </xf>
    <xf numFmtId="4" fontId="30" fillId="23" borderId="25" xfId="0" applyNumberFormat="1" applyFont="1" applyFill="1" applyBorder="1" applyAlignment="1">
      <alignment horizontal="center" vertical="center"/>
    </xf>
    <xf numFmtId="2" fontId="30" fillId="17" borderId="22" xfId="0" applyNumberFormat="1" applyFont="1" applyFill="1" applyBorder="1" applyAlignment="1">
      <alignment horizontal="center" vertical="center" wrapText="1"/>
    </xf>
    <xf numFmtId="0" fontId="30" fillId="23" borderId="25" xfId="0" applyFont="1" applyFill="1" applyBorder="1" applyAlignment="1">
      <alignment horizontal="center" vertical="center" wrapText="1"/>
    </xf>
    <xf numFmtId="173" fontId="30" fillId="23" borderId="22" xfId="0" applyNumberFormat="1" applyFont="1" applyFill="1" applyBorder="1" applyAlignment="1">
      <alignment horizontal="center" vertical="center" wrapText="1"/>
    </xf>
    <xf numFmtId="10" fontId="30" fillId="23" borderId="22" xfId="0" applyNumberFormat="1" applyFont="1" applyFill="1" applyBorder="1" applyAlignment="1">
      <alignment horizontal="center" vertical="center" wrapText="1"/>
    </xf>
    <xf numFmtId="3" fontId="30" fillId="23" borderId="25" xfId="0" applyNumberFormat="1" applyFont="1" applyFill="1" applyBorder="1" applyAlignment="1">
      <alignment horizontal="center" vertical="center" wrapText="1"/>
    </xf>
    <xf numFmtId="171" fontId="30" fillId="23" borderId="22" xfId="0" applyNumberFormat="1" applyFont="1" applyFill="1" applyBorder="1" applyAlignment="1">
      <alignment horizontal="center" vertical="center" wrapText="1"/>
    </xf>
    <xf numFmtId="0" fontId="24" fillId="20" borderId="22" xfId="0" applyFont="1" applyFill="1" applyBorder="1" applyAlignment="1">
      <alignment horizontal="center" vertical="center" wrapText="1"/>
    </xf>
    <xf numFmtId="0" fontId="36" fillId="20" borderId="22" xfId="0" applyFont="1" applyFill="1" applyBorder="1" applyAlignment="1">
      <alignment horizontal="center" vertical="center" wrapText="1"/>
    </xf>
    <xf numFmtId="9" fontId="30" fillId="23" borderId="22" xfId="6" applyFont="1" applyFill="1" applyBorder="1" applyAlignment="1">
      <alignment horizontal="center" vertical="center" wrapText="1"/>
    </xf>
    <xf numFmtId="169" fontId="30" fillId="23" borderId="22" xfId="6" applyNumberFormat="1" applyFont="1" applyFill="1" applyBorder="1" applyAlignment="1">
      <alignment horizontal="center" vertical="center" wrapText="1"/>
    </xf>
    <xf numFmtId="0" fontId="0" fillId="0" borderId="0" xfId="0"/>
    <xf numFmtId="0" fontId="4" fillId="9" borderId="0" xfId="18" applyFill="1" applyAlignment="1">
      <alignment vertical="center"/>
    </xf>
    <xf numFmtId="164" fontId="1" fillId="10" borderId="1" xfId="19" applyFont="1" applyFill="1" applyBorder="1"/>
    <xf numFmtId="0" fontId="4" fillId="9" borderId="0" xfId="18" applyFill="1" applyAlignment="1">
      <alignment horizontal="center"/>
    </xf>
    <xf numFmtId="0" fontId="32" fillId="9" borderId="0" xfId="23" applyFont="1" applyFill="1" applyAlignment="1">
      <alignment horizontal="center"/>
    </xf>
    <xf numFmtId="17" fontId="33" fillId="13" borderId="1" xfId="23" applyNumberFormat="1" applyFont="1" applyFill="1" applyBorder="1" applyAlignment="1">
      <alignment horizontal="center" vertical="center" wrapText="1"/>
    </xf>
    <xf numFmtId="0" fontId="33" fillId="13" borderId="1" xfId="23" applyFont="1" applyFill="1" applyBorder="1" applyAlignment="1">
      <alignment horizontal="center" vertical="center" wrapText="1"/>
    </xf>
    <xf numFmtId="10" fontId="34" fillId="10" borderId="1" xfId="20" applyNumberFormat="1" applyFont="1" applyFill="1" applyBorder="1" applyAlignment="1">
      <alignment horizontal="center"/>
    </xf>
    <xf numFmtId="10" fontId="34" fillId="10" borderId="1" xfId="0" applyNumberFormat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17" fontId="34" fillId="0" borderId="1" xfId="0" applyNumberFormat="1" applyFont="1" applyBorder="1" applyAlignment="1">
      <alignment horizontal="center"/>
    </xf>
    <xf numFmtId="10" fontId="3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9" fontId="34" fillId="0" borderId="1" xfId="6" applyFont="1" applyBorder="1" applyAlignment="1">
      <alignment horizontal="center"/>
    </xf>
    <xf numFmtId="10" fontId="34" fillId="10" borderId="1" xfId="4" applyNumberFormat="1" applyFont="1" applyFill="1" applyBorder="1" applyAlignment="1">
      <alignment horizontal="center"/>
    </xf>
    <xf numFmtId="3" fontId="35" fillId="0" borderId="0" xfId="0" applyNumberFormat="1" applyFont="1" applyAlignment="1">
      <alignment horizontal="center"/>
    </xf>
    <xf numFmtId="10" fontId="34" fillId="0" borderId="1" xfId="6" applyNumberFormat="1" applyFont="1" applyBorder="1" applyAlignment="1">
      <alignment horizontal="center"/>
    </xf>
    <xf numFmtId="3" fontId="34" fillId="0" borderId="0" xfId="0" applyNumberFormat="1" applyFont="1" applyAlignment="1">
      <alignment horizontal="center"/>
    </xf>
    <xf numFmtId="10" fontId="32" fillId="9" borderId="1" xfId="18" applyNumberFormat="1" applyFont="1" applyFill="1" applyBorder="1" applyAlignment="1">
      <alignment horizontal="center"/>
    </xf>
    <xf numFmtId="0" fontId="32" fillId="9" borderId="1" xfId="18" applyFont="1" applyFill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10" fontId="34" fillId="11" borderId="1" xfId="0" applyNumberFormat="1" applyFont="1" applyFill="1" applyBorder="1" applyAlignment="1">
      <alignment horizontal="center"/>
    </xf>
    <xf numFmtId="10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7" fontId="34" fillId="0" borderId="1" xfId="0" applyNumberFormat="1" applyFont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/>
    </xf>
    <xf numFmtId="3" fontId="35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1" xfId="0" applyFont="1" applyBorder="1" applyAlignment="1">
      <alignment horizontal="center"/>
    </xf>
    <xf numFmtId="3" fontId="37" fillId="0" borderId="0" xfId="0" applyNumberFormat="1" applyFont="1" applyAlignment="1">
      <alignment horizontal="center"/>
    </xf>
    <xf numFmtId="10" fontId="32" fillId="11" borderId="1" xfId="0" applyNumberFormat="1" applyFont="1" applyFill="1" applyBorder="1" applyAlignment="1">
      <alignment horizontal="center"/>
    </xf>
    <xf numFmtId="17" fontId="32" fillId="0" borderId="1" xfId="0" applyNumberFormat="1" applyFont="1" applyBorder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0" fontId="32" fillId="0" borderId="1" xfId="6" applyNumberFormat="1" applyFont="1" applyBorder="1" applyAlignment="1">
      <alignment horizontal="center"/>
    </xf>
    <xf numFmtId="9" fontId="32" fillId="0" borderId="1" xfId="6" applyFont="1" applyBorder="1" applyAlignment="1">
      <alignment horizontal="center"/>
    </xf>
    <xf numFmtId="9" fontId="34" fillId="0" borderId="0" xfId="6" applyFont="1" applyAlignment="1">
      <alignment horizontal="center"/>
    </xf>
    <xf numFmtId="10" fontId="34" fillId="0" borderId="0" xfId="0" applyNumberFormat="1" applyFont="1" applyAlignment="1">
      <alignment horizontal="center"/>
    </xf>
    <xf numFmtId="0" fontId="34" fillId="8" borderId="0" xfId="0" applyFont="1" applyFill="1" applyAlignment="1">
      <alignment horizontal="center"/>
    </xf>
    <xf numFmtId="10" fontId="34" fillId="8" borderId="0" xfId="6" applyNumberFormat="1" applyFont="1" applyFill="1" applyBorder="1" applyAlignment="1">
      <alignment horizontal="center"/>
    </xf>
    <xf numFmtId="10" fontId="34" fillId="8" borderId="0" xfId="0" applyNumberFormat="1" applyFont="1" applyFill="1" applyAlignment="1">
      <alignment horizontal="center"/>
    </xf>
    <xf numFmtId="10" fontId="34" fillId="10" borderId="5" xfId="4" applyNumberFormat="1" applyFont="1" applyFill="1" applyBorder="1" applyAlignment="1">
      <alignment horizontal="center"/>
    </xf>
    <xf numFmtId="0" fontId="32" fillId="9" borderId="2" xfId="18" applyFont="1" applyFill="1" applyBorder="1" applyAlignment="1">
      <alignment horizontal="center"/>
    </xf>
    <xf numFmtId="0" fontId="34" fillId="0" borderId="2" xfId="0" applyFont="1" applyBorder="1" applyAlignment="1">
      <alignment horizontal="center"/>
    </xf>
    <xf numFmtId="10" fontId="34" fillId="10" borderId="2" xfId="4" applyNumberFormat="1" applyFont="1" applyFill="1" applyBorder="1" applyAlignment="1">
      <alignment horizontal="center"/>
    </xf>
    <xf numFmtId="0" fontId="32" fillId="9" borderId="3" xfId="18" applyFont="1" applyFill="1" applyBorder="1" applyAlignment="1">
      <alignment horizontal="center"/>
    </xf>
    <xf numFmtId="0" fontId="34" fillId="0" borderId="3" xfId="0" applyFont="1" applyBorder="1" applyAlignment="1">
      <alignment horizontal="center"/>
    </xf>
    <xf numFmtId="10" fontId="34" fillId="10" borderId="3" xfId="4" applyNumberFormat="1" applyFont="1" applyFill="1" applyBorder="1" applyAlignment="1">
      <alignment horizontal="center"/>
    </xf>
    <xf numFmtId="0" fontId="34" fillId="8" borderId="7" xfId="0" applyFont="1" applyFill="1" applyBorder="1" applyAlignment="1">
      <alignment horizontal="center"/>
    </xf>
    <xf numFmtId="10" fontId="34" fillId="8" borderId="8" xfId="6" applyNumberFormat="1" applyFont="1" applyFill="1" applyBorder="1" applyAlignment="1">
      <alignment horizontal="center"/>
    </xf>
    <xf numFmtId="0" fontId="32" fillId="9" borderId="28" xfId="18" applyFont="1" applyFill="1" applyBorder="1" applyAlignment="1">
      <alignment horizontal="center"/>
    </xf>
    <xf numFmtId="0" fontId="34" fillId="0" borderId="28" xfId="0" applyFont="1" applyBorder="1" applyAlignment="1">
      <alignment horizontal="center"/>
    </xf>
    <xf numFmtId="10" fontId="34" fillId="10" borderId="28" xfId="4" applyNumberFormat="1" applyFont="1" applyFill="1" applyBorder="1" applyAlignment="1">
      <alignment horizontal="center"/>
    </xf>
    <xf numFmtId="10" fontId="34" fillId="10" borderId="29" xfId="4" applyNumberFormat="1" applyFont="1" applyFill="1" applyBorder="1" applyAlignment="1">
      <alignment horizontal="center"/>
    </xf>
    <xf numFmtId="0" fontId="34" fillId="8" borderId="10" xfId="0" applyFont="1" applyFill="1" applyBorder="1" applyAlignment="1">
      <alignment horizontal="center"/>
    </xf>
    <xf numFmtId="10" fontId="34" fillId="10" borderId="30" xfId="4" applyNumberFormat="1" applyFont="1" applyFill="1" applyBorder="1" applyAlignment="1">
      <alignment horizontal="center"/>
    </xf>
    <xf numFmtId="0" fontId="34" fillId="8" borderId="31" xfId="0" applyFont="1" applyFill="1" applyBorder="1" applyAlignment="1">
      <alignment horizontal="center"/>
    </xf>
    <xf numFmtId="10" fontId="34" fillId="8" borderId="32" xfId="6" applyNumberFormat="1" applyFont="1" applyFill="1" applyBorder="1" applyAlignment="1">
      <alignment horizontal="center"/>
    </xf>
    <xf numFmtId="10" fontId="34" fillId="11" borderId="33" xfId="0" applyNumberFormat="1" applyFont="1" applyFill="1" applyBorder="1" applyAlignment="1">
      <alignment horizontal="center"/>
    </xf>
    <xf numFmtId="0" fontId="32" fillId="26" borderId="36" xfId="18" applyFont="1" applyFill="1" applyBorder="1" applyAlignment="1">
      <alignment horizontal="center"/>
    </xf>
    <xf numFmtId="0" fontId="34" fillId="11" borderId="1" xfId="0" applyFont="1" applyFill="1" applyBorder="1" applyAlignment="1">
      <alignment horizontal="center"/>
    </xf>
    <xf numFmtId="10" fontId="34" fillId="11" borderId="1" xfId="4" applyNumberFormat="1" applyFont="1" applyFill="1" applyBorder="1" applyAlignment="1">
      <alignment horizontal="center"/>
    </xf>
    <xf numFmtId="10" fontId="34" fillId="11" borderId="3" xfId="4" applyNumberFormat="1" applyFont="1" applyFill="1" applyBorder="1" applyAlignment="1">
      <alignment horizontal="center"/>
    </xf>
    <xf numFmtId="10" fontId="34" fillId="11" borderId="5" xfId="4" applyNumberFormat="1" applyFont="1" applyFill="1" applyBorder="1" applyAlignment="1">
      <alignment horizontal="center"/>
    </xf>
    <xf numFmtId="0" fontId="32" fillId="26" borderId="37" xfId="18" applyFont="1" applyFill="1" applyBorder="1" applyAlignment="1">
      <alignment horizontal="center"/>
    </xf>
    <xf numFmtId="0" fontId="34" fillId="11" borderId="33" xfId="0" applyFont="1" applyFill="1" applyBorder="1" applyAlignment="1">
      <alignment horizontal="center"/>
    </xf>
    <xf numFmtId="10" fontId="34" fillId="11" borderId="33" xfId="4" applyNumberFormat="1" applyFont="1" applyFill="1" applyBorder="1" applyAlignment="1">
      <alignment horizontal="center"/>
    </xf>
    <xf numFmtId="0" fontId="34" fillId="0" borderId="10" xfId="0" applyFont="1" applyBorder="1" applyAlignment="1">
      <alignment horizontal="center"/>
    </xf>
    <xf numFmtId="9" fontId="34" fillId="0" borderId="10" xfId="6" applyFont="1" applyBorder="1" applyAlignment="1">
      <alignment horizontal="center"/>
    </xf>
    <xf numFmtId="9" fontId="34" fillId="0" borderId="0" xfId="6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10" fontId="34" fillId="0" borderId="10" xfId="0" applyNumberFormat="1" applyFont="1" applyBorder="1" applyAlignment="1">
      <alignment horizontal="center"/>
    </xf>
    <xf numFmtId="2" fontId="30" fillId="23" borderId="22" xfId="21" applyNumberFormat="1" applyFont="1" applyFill="1" applyBorder="1" applyAlignment="1">
      <alignment horizontal="center" vertical="center"/>
    </xf>
    <xf numFmtId="2" fontId="30" fillId="17" borderId="22" xfId="21" applyNumberFormat="1" applyFont="1" applyFill="1" applyBorder="1" applyAlignment="1">
      <alignment horizontal="center" vertical="center"/>
    </xf>
    <xf numFmtId="10" fontId="30" fillId="23" borderId="22" xfId="21" applyNumberFormat="1" applyFont="1" applyFill="1" applyBorder="1" applyAlignment="1">
      <alignment horizontal="center" vertical="center"/>
    </xf>
    <xf numFmtId="10" fontId="30" fillId="23" borderId="22" xfId="22" applyNumberFormat="1" applyFont="1" applyFill="1" applyBorder="1" applyAlignment="1">
      <alignment horizontal="center" vertical="center"/>
    </xf>
    <xf numFmtId="2" fontId="30" fillId="23" borderId="0" xfId="21" applyNumberFormat="1" applyFont="1" applyFill="1" applyBorder="1" applyAlignment="1">
      <alignment horizontal="center" vertical="center"/>
    </xf>
    <xf numFmtId="2" fontId="30" fillId="23" borderId="22" xfId="22" applyNumberFormat="1" applyFont="1" applyFill="1" applyBorder="1" applyAlignment="1">
      <alignment horizontal="center" vertical="center"/>
    </xf>
    <xf numFmtId="10" fontId="4" fillId="12" borderId="0" xfId="6" applyNumberFormat="1" applyFont="1" applyFill="1" applyAlignment="1">
      <alignment vertical="center"/>
    </xf>
    <xf numFmtId="0" fontId="4" fillId="12" borderId="0" xfId="18" applyFill="1"/>
    <xf numFmtId="10" fontId="7" fillId="26" borderId="0" xfId="18" applyNumberFormat="1" applyFont="1" applyFill="1"/>
    <xf numFmtId="43" fontId="1" fillId="10" borderId="1" xfId="52" applyFont="1" applyFill="1" applyBorder="1"/>
    <xf numFmtId="9" fontId="34" fillId="0" borderId="1" xfId="6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1" fontId="4" fillId="0" borderId="1" xfId="18" applyNumberFormat="1" applyFill="1" applyBorder="1"/>
    <xf numFmtId="0" fontId="4" fillId="0" borderId="1" xfId="18" applyFill="1" applyBorder="1"/>
    <xf numFmtId="164" fontId="1" fillId="0" borderId="1" xfId="19" applyFont="1" applyFill="1" applyBorder="1"/>
    <xf numFmtId="10" fontId="4" fillId="0" borderId="1" xfId="6" applyNumberFormat="1" applyFont="1" applyFill="1" applyBorder="1" applyAlignment="1">
      <alignment horizontal="center"/>
    </xf>
    <xf numFmtId="1" fontId="40" fillId="0" borderId="1" xfId="18" applyNumberFormat="1" applyFont="1" applyFill="1" applyBorder="1"/>
    <xf numFmtId="0" fontId="40" fillId="0" borderId="1" xfId="18" applyFont="1" applyFill="1" applyBorder="1"/>
    <xf numFmtId="10" fontId="40" fillId="0" borderId="1" xfId="6" applyNumberFormat="1" applyFont="1" applyFill="1" applyBorder="1" applyAlignment="1">
      <alignment horizontal="center"/>
    </xf>
    <xf numFmtId="1" fontId="2" fillId="27" borderId="1" xfId="0" applyNumberFormat="1" applyFont="1" applyFill="1" applyBorder="1"/>
    <xf numFmtId="1" fontId="44" fillId="0" borderId="1" xfId="1" applyNumberFormat="1" applyFont="1" applyBorder="1" applyAlignment="1">
      <alignment horizontal="center" vertical="center" wrapText="1"/>
    </xf>
    <xf numFmtId="3" fontId="44" fillId="0" borderId="36" xfId="1" applyNumberFormat="1" applyFont="1" applyBorder="1" applyAlignment="1">
      <alignment horizontal="left" vertical="center" wrapText="1"/>
    </xf>
    <xf numFmtId="0" fontId="0" fillId="27" borderId="1" xfId="0" applyFill="1" applyBorder="1"/>
    <xf numFmtId="3" fontId="44" fillId="0" borderId="1" xfId="1" applyNumberFormat="1" applyFont="1" applyBorder="1" applyAlignment="1">
      <alignment horizontal="center" vertical="center" wrapText="1"/>
    </xf>
    <xf numFmtId="179" fontId="45" fillId="0" borderId="1" xfId="0" applyNumberFormat="1" applyFont="1" applyBorder="1" applyAlignment="1">
      <alignment vertical="center"/>
    </xf>
    <xf numFmtId="1" fontId="44" fillId="0" borderId="2" xfId="1" applyNumberFormat="1" applyFont="1" applyBorder="1" applyAlignment="1">
      <alignment horizontal="center" vertical="center" wrapText="1"/>
    </xf>
    <xf numFmtId="3" fontId="44" fillId="0" borderId="38" xfId="1" applyNumberFormat="1" applyFont="1" applyBorder="1" applyAlignment="1">
      <alignment horizontal="left" vertical="center" wrapText="1"/>
    </xf>
    <xf numFmtId="3" fontId="44" fillId="0" borderId="2" xfId="1" applyNumberFormat="1" applyFont="1" applyBorder="1" applyAlignment="1">
      <alignment horizontal="center" vertical="center" wrapText="1"/>
    </xf>
    <xf numFmtId="1" fontId="4" fillId="10" borderId="1" xfId="18" applyNumberFormat="1" applyFill="1" applyBorder="1" applyAlignment="1">
      <alignment vertical="center"/>
    </xf>
    <xf numFmtId="0" fontId="4" fillId="10" borderId="1" xfId="18" applyFill="1" applyBorder="1" applyAlignment="1">
      <alignment vertical="center"/>
    </xf>
    <xf numFmtId="180" fontId="4" fillId="10" borderId="1" xfId="29" applyNumberFormat="1" applyFont="1" applyFill="1" applyBorder="1" applyAlignment="1">
      <alignment vertical="center"/>
    </xf>
    <xf numFmtId="10" fontId="1" fillId="10" borderId="1" xfId="6" applyNumberFormat="1" applyFont="1" applyFill="1" applyBorder="1" applyAlignment="1">
      <alignment horizontal="center"/>
    </xf>
    <xf numFmtId="9" fontId="0" fillId="10" borderId="1" xfId="0" applyNumberFormat="1" applyFill="1" applyBorder="1"/>
    <xf numFmtId="9" fontId="30" fillId="23" borderId="22" xfId="6" applyFont="1" applyFill="1" applyBorder="1" applyAlignment="1">
      <alignment horizontal="center" vertical="center"/>
    </xf>
    <xf numFmtId="0" fontId="32" fillId="9" borderId="33" xfId="18" applyFont="1" applyFill="1" applyBorder="1" applyAlignment="1">
      <alignment horizontal="center"/>
    </xf>
    <xf numFmtId="0" fontId="34" fillId="0" borderId="33" xfId="0" applyFont="1" applyBorder="1" applyAlignment="1">
      <alignment horizontal="center"/>
    </xf>
    <xf numFmtId="10" fontId="34" fillId="10" borderId="33" xfId="4" applyNumberFormat="1" applyFont="1" applyFill="1" applyBorder="1" applyAlignment="1">
      <alignment horizontal="center"/>
    </xf>
    <xf numFmtId="10" fontId="34" fillId="10" borderId="34" xfId="4" applyNumberFormat="1" applyFont="1" applyFill="1" applyBorder="1" applyAlignment="1">
      <alignment horizontal="center"/>
    </xf>
    <xf numFmtId="169" fontId="34" fillId="0" borderId="10" xfId="0" applyNumberFormat="1" applyFont="1" applyBorder="1" applyAlignment="1">
      <alignment horizontal="center"/>
    </xf>
    <xf numFmtId="169" fontId="34" fillId="0" borderId="0" xfId="6" applyNumberFormat="1" applyFont="1" applyBorder="1" applyAlignment="1">
      <alignment horizontal="center"/>
    </xf>
    <xf numFmtId="169" fontId="34" fillId="0" borderId="31" xfId="0" applyNumberFormat="1" applyFont="1" applyBorder="1" applyAlignment="1">
      <alignment horizontal="center"/>
    </xf>
    <xf numFmtId="10" fontId="4" fillId="9" borderId="0" xfId="18" applyNumberFormat="1" applyFill="1"/>
    <xf numFmtId="9" fontId="4" fillId="9" borderId="0" xfId="6" applyFont="1" applyFill="1" applyAlignment="1">
      <alignment vertical="center"/>
    </xf>
    <xf numFmtId="9" fontId="7" fillId="9" borderId="0" xfId="6" applyFont="1" applyFill="1" applyAlignment="1">
      <alignment horizontal="center" vertical="center" wrapText="1"/>
    </xf>
    <xf numFmtId="9" fontId="4" fillId="24" borderId="0" xfId="6" applyFont="1" applyFill="1"/>
    <xf numFmtId="9" fontId="18" fillId="13" borderId="1" xfId="6" applyFont="1" applyFill="1" applyBorder="1" applyAlignment="1">
      <alignment horizontal="center" vertical="center"/>
    </xf>
    <xf numFmtId="9" fontId="0" fillId="8" borderId="0" xfId="6" applyFont="1" applyFill="1"/>
    <xf numFmtId="9" fontId="40" fillId="12" borderId="0" xfId="6" applyFont="1" applyFill="1"/>
    <xf numFmtId="9" fontId="0" fillId="10" borderId="1" xfId="0" applyNumberFormat="1" applyFill="1" applyBorder="1" applyAlignment="1">
      <alignment horizontal="center"/>
    </xf>
    <xf numFmtId="171" fontId="0" fillId="10" borderId="1" xfId="0" applyNumberFormat="1" applyFill="1" applyBorder="1" applyAlignment="1">
      <alignment horizontal="center"/>
    </xf>
    <xf numFmtId="164" fontId="7" fillId="26" borderId="0" xfId="18" applyNumberFormat="1" applyFont="1" applyFill="1" applyBorder="1"/>
    <xf numFmtId="0" fontId="4" fillId="26" borderId="0" xfId="18" applyFill="1"/>
    <xf numFmtId="10" fontId="4" fillId="9" borderId="0" xfId="6" applyNumberFormat="1" applyFont="1" applyFill="1"/>
    <xf numFmtId="0" fontId="34" fillId="0" borderId="7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2" fillId="9" borderId="39" xfId="18" applyFont="1" applyFill="1" applyBorder="1" applyAlignment="1">
      <alignment horizontal="center"/>
    </xf>
    <xf numFmtId="10" fontId="34" fillId="10" borderId="40" xfId="4" applyNumberFormat="1" applyFont="1" applyFill="1" applyBorder="1" applyAlignment="1">
      <alignment horizontal="center"/>
    </xf>
    <xf numFmtId="10" fontId="34" fillId="11" borderId="28" xfId="0" applyNumberFormat="1" applyFont="1" applyFill="1" applyBorder="1" applyAlignment="1">
      <alignment horizontal="center"/>
    </xf>
    <xf numFmtId="0" fontId="32" fillId="9" borderId="36" xfId="18" applyFont="1" applyFill="1" applyBorder="1" applyAlignment="1">
      <alignment horizontal="center"/>
    </xf>
    <xf numFmtId="10" fontId="34" fillId="10" borderId="41" xfId="4" applyNumberFormat="1" applyFont="1" applyFill="1" applyBorder="1" applyAlignment="1">
      <alignment horizontal="center"/>
    </xf>
    <xf numFmtId="10" fontId="34" fillId="10" borderId="42" xfId="4" applyNumberFormat="1" applyFont="1" applyFill="1" applyBorder="1" applyAlignment="1">
      <alignment horizontal="center"/>
    </xf>
    <xf numFmtId="10" fontId="34" fillId="11" borderId="3" xfId="0" applyNumberFormat="1" applyFont="1" applyFill="1" applyBorder="1" applyAlignment="1">
      <alignment horizontal="center"/>
    </xf>
    <xf numFmtId="3" fontId="30" fillId="28" borderId="25" xfId="0" applyNumberFormat="1" applyFont="1" applyFill="1" applyBorder="1" applyAlignment="1">
      <alignment horizontal="center" vertical="center" wrapText="1"/>
    </xf>
    <xf numFmtId="0" fontId="28" fillId="28" borderId="22" xfId="0" applyFont="1" applyFill="1" applyBorder="1" applyAlignment="1">
      <alignment horizontal="center" vertical="center" wrapText="1"/>
    </xf>
    <xf numFmtId="0" fontId="24" fillId="28" borderId="22" xfId="0" applyFont="1" applyFill="1" applyBorder="1" applyAlignment="1">
      <alignment horizontal="center" vertical="center" wrapText="1"/>
    </xf>
    <xf numFmtId="0" fontId="36" fillId="28" borderId="22" xfId="0" applyFont="1" applyFill="1" applyBorder="1" applyAlignment="1">
      <alignment horizontal="center" vertical="center" wrapText="1"/>
    </xf>
    <xf numFmtId="2" fontId="30" fillId="28" borderId="22" xfId="21" applyNumberFormat="1" applyFont="1" applyFill="1" applyBorder="1" applyAlignment="1">
      <alignment horizontal="center" vertical="center"/>
    </xf>
    <xf numFmtId="2" fontId="30" fillId="28" borderId="22" xfId="0" applyNumberFormat="1" applyFont="1" applyFill="1" applyBorder="1" applyAlignment="1">
      <alignment horizontal="center" vertical="center" wrapText="1"/>
    </xf>
    <xf numFmtId="171" fontId="0" fillId="28" borderId="1" xfId="0" applyNumberFormat="1" applyFill="1" applyBorder="1" applyAlignment="1">
      <alignment horizontal="center"/>
    </xf>
    <xf numFmtId="43" fontId="4" fillId="9" borderId="0" xfId="52" applyFont="1" applyFill="1" applyAlignment="1">
      <alignment vertical="center"/>
    </xf>
    <xf numFmtId="0" fontId="2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0" fontId="34" fillId="0" borderId="2" xfId="0" applyNumberFormat="1" applyFont="1" applyBorder="1" applyAlignment="1">
      <alignment horizontal="center" vertical="center"/>
    </xf>
    <xf numFmtId="10" fontId="34" fillId="0" borderId="27" xfId="0" applyNumberFormat="1" applyFont="1" applyBorder="1" applyAlignment="1">
      <alignment horizontal="center" vertical="center"/>
    </xf>
    <xf numFmtId="10" fontId="34" fillId="0" borderId="3" xfId="0" applyNumberFormat="1" applyFont="1" applyBorder="1" applyAlignment="1">
      <alignment horizontal="center" vertical="center"/>
    </xf>
    <xf numFmtId="9" fontId="34" fillId="0" borderId="1" xfId="6" applyFont="1" applyBorder="1" applyAlignment="1">
      <alignment horizontal="center" vertical="center"/>
    </xf>
    <xf numFmtId="169" fontId="34" fillId="0" borderId="29" xfId="6" applyNumberFormat="1" applyFont="1" applyBorder="1" applyAlignment="1">
      <alignment horizontal="center" vertical="center"/>
    </xf>
    <xf numFmtId="169" fontId="34" fillId="0" borderId="30" xfId="6" applyNumberFormat="1" applyFont="1" applyBorder="1" applyAlignment="1">
      <alignment horizontal="center" vertical="center"/>
    </xf>
    <xf numFmtId="169" fontId="34" fillId="0" borderId="34" xfId="6" applyNumberFormat="1" applyFont="1" applyBorder="1" applyAlignment="1">
      <alignment horizontal="center" vertical="center"/>
    </xf>
    <xf numFmtId="4" fontId="4" fillId="8" borderId="2" xfId="18" applyNumberFormat="1" applyFill="1" applyBorder="1" applyAlignment="1">
      <alignment horizontal="left" vertical="center" wrapText="1"/>
    </xf>
    <xf numFmtId="4" fontId="4" fillId="8" borderId="3" xfId="18" applyNumberFormat="1" applyFill="1" applyBorder="1" applyAlignment="1">
      <alignment horizontal="left" vertical="center" wrapText="1"/>
    </xf>
    <xf numFmtId="0" fontId="25" fillId="15" borderId="21" xfId="0" applyFont="1" applyFill="1" applyBorder="1" applyAlignment="1">
      <alignment horizontal="center" vertical="center" wrapText="1"/>
    </xf>
    <xf numFmtId="0" fontId="25" fillId="15" borderId="23" xfId="0" applyFont="1" applyFill="1" applyBorder="1" applyAlignment="1">
      <alignment horizontal="center" vertical="center" wrapText="1"/>
    </xf>
    <xf numFmtId="0" fontId="25" fillId="15" borderId="2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6" borderId="1" xfId="0" applyFont="1" applyFill="1" applyBorder="1" applyAlignment="1" applyProtection="1">
      <alignment horizontal="center"/>
    </xf>
    <xf numFmtId="0" fontId="3" fillId="0" borderId="1" xfId="2" applyFont="1" applyBorder="1" applyAlignment="1" applyProtection="1">
      <alignment horizontal="center"/>
    </xf>
    <xf numFmtId="0" fontId="10" fillId="4" borderId="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167" fontId="5" fillId="0" borderId="8" xfId="3" quotePrefix="1" applyNumberFormat="1" applyFont="1" applyFill="1" applyBorder="1" applyAlignment="1" applyProtection="1">
      <alignment horizontal="center" vertical="center"/>
    </xf>
    <xf numFmtId="167" fontId="5" fillId="0" borderId="8" xfId="3" applyNumberFormat="1" applyFont="1" applyFill="1" applyBorder="1" applyAlignment="1" applyProtection="1">
      <alignment horizontal="center" vertical="center"/>
    </xf>
    <xf numFmtId="17" fontId="13" fillId="5" borderId="1" xfId="3" applyNumberFormat="1" applyFont="1" applyFill="1" applyBorder="1" applyAlignment="1">
      <alignment horizontal="center" vertical="center"/>
    </xf>
    <xf numFmtId="168" fontId="13" fillId="5" borderId="1" xfId="3" applyNumberFormat="1" applyFont="1" applyFill="1" applyBorder="1" applyAlignment="1">
      <alignment horizontal="center" vertical="center" wrapText="1"/>
    </xf>
    <xf numFmtId="167" fontId="12" fillId="6" borderId="16" xfId="3" quotePrefix="1" applyNumberFormat="1" applyFont="1" applyFill="1" applyBorder="1" applyAlignment="1" applyProtection="1">
      <alignment horizontal="center" vertical="center"/>
    </xf>
    <xf numFmtId="167" fontId="12" fillId="6" borderId="17" xfId="3" quotePrefix="1" applyNumberFormat="1" applyFont="1" applyFill="1" applyBorder="1" applyAlignment="1" applyProtection="1">
      <alignment horizontal="center" vertical="center"/>
    </xf>
    <xf numFmtId="167" fontId="12" fillId="6" borderId="18" xfId="3" quotePrefix="1" applyNumberFormat="1" applyFont="1" applyFill="1" applyBorder="1" applyAlignment="1" applyProtection="1">
      <alignment horizontal="center" vertical="center"/>
    </xf>
    <xf numFmtId="167" fontId="3" fillId="6" borderId="13" xfId="2" quotePrefix="1" applyNumberFormat="1" applyFill="1" applyBorder="1" applyAlignment="1" applyProtection="1">
      <alignment horizontal="center" vertical="center"/>
    </xf>
    <xf numFmtId="167" fontId="12" fillId="6" borderId="14" xfId="3" quotePrefix="1" applyNumberFormat="1" applyFont="1" applyFill="1" applyBorder="1" applyAlignment="1" applyProtection="1">
      <alignment horizontal="center" vertical="center"/>
    </xf>
    <xf numFmtId="167" fontId="12" fillId="6" borderId="15" xfId="3" quotePrefix="1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53">
    <cellStyle name="60% - Énfasis1 2" xfId="30" xr:uid="{64A33914-383A-48CE-B0BD-E799171A13B8}"/>
    <cellStyle name="ANCLAS,REZONES Y SUS PARTES,DE FUNDICION,DE HIERRO O DE ACERO" xfId="5" xr:uid="{00000000-0005-0000-0000-000000000000}"/>
    <cellStyle name="ANCLAS,REZONES Y SUS PARTES,DE FUNDICION,DE HIERRO O DE ACERO 2" xfId="24" xr:uid="{00000000-0005-0000-0000-000000000000}"/>
    <cellStyle name="Comma 2" xfId="38" xr:uid="{258073E7-A8FE-4F24-B9BF-7806FD86509D}"/>
    <cellStyle name="Euro" xfId="15" xr:uid="{00000000-0005-0000-0000-000001000000}"/>
    <cellStyle name="Hipervínculo" xfId="2" builtinId="8"/>
    <cellStyle name="Hipervínculo 2" xfId="16" xr:uid="{00000000-0005-0000-0000-000003000000}"/>
    <cellStyle name="Millares" xfId="52" builtinId="3"/>
    <cellStyle name="Millares 2" xfId="17" xr:uid="{00000000-0005-0000-0000-000005000000}"/>
    <cellStyle name="Millares 2 2" xfId="21" xr:uid="{FC8B8673-3121-41E7-A923-F8F62D8F398D}"/>
    <cellStyle name="Millares 2 2 2" xfId="31" xr:uid="{F422C081-54F3-4CE6-AAC0-28DB6991523C}"/>
    <cellStyle name="Millares 2 2 2 2" xfId="33" xr:uid="{A3A9A768-24E3-4175-AD2A-2A3A6E402CA6}"/>
    <cellStyle name="Millares 2 2 2 3" xfId="48" xr:uid="{369B06F1-6F19-4059-AB51-8DE144FEF43F}"/>
    <cellStyle name="Millares 2 3" xfId="29" xr:uid="{3D30CB90-F3EB-4BDA-860B-2FE044E7F69B}"/>
    <cellStyle name="Millares 2 4" xfId="37" xr:uid="{46F83AE7-9A8F-4E79-9B8F-3FB1D5AD9DCE}"/>
    <cellStyle name="Millares 3" xfId="22" xr:uid="{7C2C49C5-15D5-4CEC-8D38-7F67048CACA8}"/>
    <cellStyle name="Millares 3 2" xfId="42" xr:uid="{FFFE9C35-AE99-4A2D-8F03-3F287A2E984B}"/>
    <cellStyle name="Millares 3 2 2" xfId="50" xr:uid="{0CBADFBE-EFA3-4E32-AD7C-AC784136CBD8}"/>
    <cellStyle name="Millares 3 3" xfId="45" xr:uid="{697DA73E-FEC0-4A2E-8986-E41A12BE5147}"/>
    <cellStyle name="Millares 3 3 2" xfId="51" xr:uid="{C535BE16-A46B-4B77-B621-E2B02855D04F}"/>
    <cellStyle name="Millares 3 4" xfId="32" xr:uid="{583C7C09-9E16-4FE7-83AA-779525C5A7EC}"/>
    <cellStyle name="Millares 3 5" xfId="47" xr:uid="{2DBDB230-8139-47E2-A48B-97AA2CA05CCD}"/>
    <cellStyle name="Millares 5 2" xfId="36" xr:uid="{25322812-FB28-4D5A-B12A-98019FFF6DA6}"/>
    <cellStyle name="Moneda" xfId="1" builtinId="4"/>
    <cellStyle name="Moneda 2" xfId="7" xr:uid="{00000000-0005-0000-0000-000007000000}"/>
    <cellStyle name="Moneda 2 2" xfId="25" xr:uid="{00000000-0005-0000-0000-000005000000}"/>
    <cellStyle name="Moneda 3" xfId="11" xr:uid="{00000000-0005-0000-0000-000008000000}"/>
    <cellStyle name="Moneda 3 2" xfId="19" xr:uid="{F22D7105-F66B-4801-8AEA-4480096E01E1}"/>
    <cellStyle name="Moneda 4" xfId="34" xr:uid="{1976DD74-004F-48FC-950C-76C0470C6120}"/>
    <cellStyle name="Moneda 4 2" xfId="49" xr:uid="{14EB5741-D99F-464C-AFF3-6393428E32DB}"/>
    <cellStyle name="Normal" xfId="0" builtinId="0"/>
    <cellStyle name="Normal 13" xfId="14" xr:uid="{00000000-0005-0000-0000-00000A000000}"/>
    <cellStyle name="Normal 2" xfId="3" xr:uid="{00000000-0005-0000-0000-00000B000000}"/>
    <cellStyle name="Normal 2 2" xfId="8" xr:uid="{00000000-0005-0000-0000-00000C000000}"/>
    <cellStyle name="Normal 2 2 2" xfId="26" xr:uid="{00000000-0005-0000-0000-00000A000000}"/>
    <cellStyle name="Normal 2 3" xfId="40" xr:uid="{C8088EDE-EA79-4FB6-AF0C-A682C0778B17}"/>
    <cellStyle name="Normal 3" xfId="10" xr:uid="{00000000-0005-0000-0000-00000D000000}"/>
    <cellStyle name="Normal 3 2" xfId="18" xr:uid="{ACB54A9B-71C2-4E46-8025-A98FB3B3C1BA}"/>
    <cellStyle name="Normal 3 2 2" xfId="44" xr:uid="{5CF0EEB5-1EB5-4836-890A-7E232EF1B257}"/>
    <cellStyle name="Normal 3 3" xfId="23" xr:uid="{6E7DF4F9-984D-4D70-A79A-944C9D7F33D6}"/>
    <cellStyle name="Normal 3 4" xfId="43" xr:uid="{04585F2E-51DE-4A6B-A054-000AE45081DE}"/>
    <cellStyle name="Normal 3 5" xfId="46" xr:uid="{513A2674-C69C-4D91-9D82-0958FC2DB930}"/>
    <cellStyle name="Normal 6 3" xfId="35" xr:uid="{8885E99B-E4B8-4A11-85A3-8C9D235A7D1C}"/>
    <cellStyle name="Percent 2" xfId="39" xr:uid="{4270268E-E95B-4F1B-9AF2-858EA57A1232}"/>
    <cellStyle name="Porcentaje" xfId="6" builtinId="5"/>
    <cellStyle name="Porcentaje 2" xfId="4" xr:uid="{00000000-0005-0000-0000-00000F000000}"/>
    <cellStyle name="Porcentaje 2 2" xfId="9" xr:uid="{00000000-0005-0000-0000-000010000000}"/>
    <cellStyle name="Porcentaje 2 2 2" xfId="27" xr:uid="{00000000-0005-0000-0000-00000E000000}"/>
    <cellStyle name="Porcentaje 2 3" xfId="13" xr:uid="{00000000-0005-0000-0000-000011000000}"/>
    <cellStyle name="Porcentaje 2 3 2" xfId="20" xr:uid="{450A19F9-E932-493D-955D-50C9BD2278D2}"/>
    <cellStyle name="Porcentaje 2 4" xfId="41" xr:uid="{1611B4B5-D0DF-4E4B-86D5-803B7781F84F}"/>
    <cellStyle name="Porcentaje 3" xfId="12" xr:uid="{00000000-0005-0000-0000-000012000000}"/>
    <cellStyle name="Porcentaje 3 2" xfId="28" xr:uid="{00000000-0005-0000-0000-00001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44468503937008"/>
          <c:y val="0.17165536599591719"/>
          <c:w val="0.83013684675554156"/>
          <c:h val="0.62666739574219887"/>
        </c:manualLayout>
      </c:layout>
      <c:lineChart>
        <c:grouping val="standard"/>
        <c:varyColors val="0"/>
        <c:ser>
          <c:idx val="0"/>
          <c:order val="0"/>
          <c:tx>
            <c:strRef>
              <c:f>DOLAR!$C$5</c:f>
              <c:strCache>
                <c:ptCount val="1"/>
                <c:pt idx="0">
                  <c:v>Precio de Venta</c:v>
                </c:pt>
              </c:strCache>
            </c:strRef>
          </c:tx>
          <c:marker>
            <c:symbol val="none"/>
          </c:marker>
          <c:cat>
            <c:numRef>
              <c:f>DOLAR!$B$6:$B$68</c:f>
              <c:numCache>
                <c:formatCode>mmm\-yy</c:formatCode>
                <c:ptCount val="63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</c:numCache>
            </c:numRef>
          </c:cat>
          <c:val>
            <c:numRef>
              <c:f>DOLAR!$C$6:$C$68</c:f>
              <c:numCache>
                <c:formatCode>_ "$"\ * #,##0.000_ ;_ "$"\ * \-#,##0.000_ ;_ "$"\ * "-"??_ ;_ @_ </c:formatCode>
                <c:ptCount val="63"/>
                <c:pt idx="0">
                  <c:v>8.4600000000000009</c:v>
                </c:pt>
                <c:pt idx="1">
                  <c:v>8.51</c:v>
                </c:pt>
                <c:pt idx="2">
                  <c:v>8.56</c:v>
                </c:pt>
                <c:pt idx="3">
                  <c:v>8.6</c:v>
                </c:pt>
                <c:pt idx="4">
                  <c:v>8.6950000000000003</c:v>
                </c:pt>
                <c:pt idx="5">
                  <c:v>8.7850000000000001</c:v>
                </c:pt>
                <c:pt idx="6">
                  <c:v>8.8699999999999992</c:v>
                </c:pt>
                <c:pt idx="7">
                  <c:v>8.9499999999999993</c:v>
                </c:pt>
                <c:pt idx="8">
                  <c:v>9.0449999999999999</c:v>
                </c:pt>
                <c:pt idx="9">
                  <c:v>9.14</c:v>
                </c:pt>
                <c:pt idx="10">
                  <c:v>9.2449999999999992</c:v>
                </c:pt>
                <c:pt idx="11">
                  <c:v>9.3699999999999992</c:v>
                </c:pt>
                <c:pt idx="12">
                  <c:v>9.49</c:v>
                </c:pt>
                <c:pt idx="13">
                  <c:v>9.6349999999999998</c:v>
                </c:pt>
                <c:pt idx="14">
                  <c:v>9.8149999999999995</c:v>
                </c:pt>
                <c:pt idx="15">
                  <c:v>13.6</c:v>
                </c:pt>
                <c:pt idx="16">
                  <c:v>14.9</c:v>
                </c:pt>
                <c:pt idx="17">
                  <c:v>14.8</c:v>
                </c:pt>
                <c:pt idx="18">
                  <c:v>14.4</c:v>
                </c:pt>
                <c:pt idx="19">
                  <c:v>14.4</c:v>
                </c:pt>
                <c:pt idx="20">
                  <c:v>14</c:v>
                </c:pt>
                <c:pt idx="21">
                  <c:v>15.1</c:v>
                </c:pt>
                <c:pt idx="22">
                  <c:v>14.9</c:v>
                </c:pt>
                <c:pt idx="23">
                  <c:v>15.25</c:v>
                </c:pt>
                <c:pt idx="24">
                  <c:v>15.3</c:v>
                </c:pt>
                <c:pt idx="25">
                  <c:v>15.7</c:v>
                </c:pt>
                <c:pt idx="26">
                  <c:v>16.149999999999999</c:v>
                </c:pt>
                <c:pt idx="27">
                  <c:v>16.05</c:v>
                </c:pt>
                <c:pt idx="28">
                  <c:v>15.6</c:v>
                </c:pt>
                <c:pt idx="29">
                  <c:v>15.75</c:v>
                </c:pt>
                <c:pt idx="30">
                  <c:v>15.4</c:v>
                </c:pt>
                <c:pt idx="31">
                  <c:v>15.65</c:v>
                </c:pt>
                <c:pt idx="32">
                  <c:v>16.149999999999999</c:v>
                </c:pt>
                <c:pt idx="33">
                  <c:v>17.05</c:v>
                </c:pt>
                <c:pt idx="34">
                  <c:v>17.25</c:v>
                </c:pt>
                <c:pt idx="35">
                  <c:v>17.2</c:v>
                </c:pt>
                <c:pt idx="36">
                  <c:v>17.600000000000001</c:v>
                </c:pt>
                <c:pt idx="37">
                  <c:v>17.7</c:v>
                </c:pt>
                <c:pt idx="38">
                  <c:v>17.7</c:v>
                </c:pt>
                <c:pt idx="39">
                  <c:v>19.149999999999999</c:v>
                </c:pt>
                <c:pt idx="40">
                  <c:v>19.95</c:v>
                </c:pt>
                <c:pt idx="41">
                  <c:v>20.6</c:v>
                </c:pt>
                <c:pt idx="42">
                  <c:v>20.45</c:v>
                </c:pt>
                <c:pt idx="43">
                  <c:v>24.5</c:v>
                </c:pt>
                <c:pt idx="44">
                  <c:v>28.35</c:v>
                </c:pt>
                <c:pt idx="45">
                  <c:v>27.9</c:v>
                </c:pt>
                <c:pt idx="46">
                  <c:v>37.4</c:v>
                </c:pt>
                <c:pt idx="47">
                  <c:v>40.5</c:v>
                </c:pt>
                <c:pt idx="48">
                  <c:v>36.799999999999997</c:v>
                </c:pt>
                <c:pt idx="49">
                  <c:v>38.6</c:v>
                </c:pt>
                <c:pt idx="50">
                  <c:v>38.6</c:v>
                </c:pt>
                <c:pt idx="51">
                  <c:v>38.200000000000003</c:v>
                </c:pt>
                <c:pt idx="52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7-46F2-84CF-FA981B6C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2672"/>
        <c:axId val="108494208"/>
      </c:lineChart>
      <c:dateAx>
        <c:axId val="108492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8494208"/>
        <c:crosses val="autoZero"/>
        <c:auto val="1"/>
        <c:lblOffset val="100"/>
        <c:baseTimeUnit val="months"/>
      </c:dateAx>
      <c:valAx>
        <c:axId val="108494208"/>
        <c:scaling>
          <c:orientation val="minMax"/>
        </c:scaling>
        <c:delete val="0"/>
        <c:axPos val="l"/>
        <c:majorGridlines/>
        <c:numFmt formatCode="_ &quot;$&quot;\ * #,##0.000_ ;_ &quot;$&quot;\ * \-#,##0.000_ ;_ &quot;$&quot;\ * &quot;-&quot;??_ ;_ @_ " sourceLinked="1"/>
        <c:majorTickMark val="out"/>
        <c:minorTickMark val="none"/>
        <c:tickLblPos val="nextTo"/>
        <c:crossAx val="108492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1058045473002279E-3"/>
          <c:y val="4.8361404773681879E-2"/>
          <c:w val="0.3311803679593883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COMBUSTIBLE!$C$7</c:f>
              <c:strCache>
                <c:ptCount val="1"/>
                <c:pt idx="0">
                  <c:v>Precio Final</c:v>
                </c:pt>
              </c:strCache>
            </c:strRef>
          </c:tx>
          <c:marker>
            <c:symbol val="none"/>
          </c:marker>
          <c:cat>
            <c:numRef>
              <c:f>COMBUSTIBLE!$B$8:$B$70</c:f>
              <c:numCache>
                <c:formatCode>mmm\-yy</c:formatCode>
                <c:ptCount val="63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</c:numCache>
            </c:numRef>
          </c:cat>
          <c:val>
            <c:numRef>
              <c:f>COMBUSTIBLE!$C$8:$C$70</c:f>
              <c:numCache>
                <c:formatCode>_ "$"\ * #,##0.000_ ;_ "$"\ * \-#,##0.000_ ;_ "$"\ * "-"??_ ;_ @_ </c:formatCode>
                <c:ptCount val="63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10.83</c:v>
                </c:pt>
                <c:pt idx="4">
                  <c:v>10.92</c:v>
                </c:pt>
                <c:pt idx="5">
                  <c:v>11.03</c:v>
                </c:pt>
                <c:pt idx="6">
                  <c:v>11.14</c:v>
                </c:pt>
                <c:pt idx="7">
                  <c:v>11.34</c:v>
                </c:pt>
                <c:pt idx="8">
                  <c:v>11.52</c:v>
                </c:pt>
                <c:pt idx="9">
                  <c:v>11.67</c:v>
                </c:pt>
                <c:pt idx="10">
                  <c:v>12.01</c:v>
                </c:pt>
                <c:pt idx="11">
                  <c:v>12.01</c:v>
                </c:pt>
                <c:pt idx="12">
                  <c:v>12.01</c:v>
                </c:pt>
                <c:pt idx="13">
                  <c:v>12.52</c:v>
                </c:pt>
                <c:pt idx="14">
                  <c:v>11.45</c:v>
                </c:pt>
                <c:pt idx="15">
                  <c:v>12.19</c:v>
                </c:pt>
                <c:pt idx="16">
                  <c:v>12.19</c:v>
                </c:pt>
                <c:pt idx="17">
                  <c:v>12.96</c:v>
                </c:pt>
                <c:pt idx="18">
                  <c:v>13.75</c:v>
                </c:pt>
                <c:pt idx="19">
                  <c:v>15.12</c:v>
                </c:pt>
                <c:pt idx="20">
                  <c:v>15.12</c:v>
                </c:pt>
                <c:pt idx="21">
                  <c:v>15.12</c:v>
                </c:pt>
                <c:pt idx="22">
                  <c:v>15.12</c:v>
                </c:pt>
                <c:pt idx="23">
                  <c:v>15.12</c:v>
                </c:pt>
                <c:pt idx="24">
                  <c:v>15.12</c:v>
                </c:pt>
                <c:pt idx="25">
                  <c:v>15.12</c:v>
                </c:pt>
                <c:pt idx="26">
                  <c:v>15.12</c:v>
                </c:pt>
                <c:pt idx="27">
                  <c:v>16.329999999999998</c:v>
                </c:pt>
                <c:pt idx="28">
                  <c:v>16.329999999999998</c:v>
                </c:pt>
                <c:pt idx="29">
                  <c:v>16.329999999999998</c:v>
                </c:pt>
                <c:pt idx="30">
                  <c:v>16.329999999999998</c:v>
                </c:pt>
                <c:pt idx="31">
                  <c:v>15.91</c:v>
                </c:pt>
                <c:pt idx="32">
                  <c:v>15.91</c:v>
                </c:pt>
                <c:pt idx="33">
                  <c:v>16.86</c:v>
                </c:pt>
                <c:pt idx="34">
                  <c:v>16.86</c:v>
                </c:pt>
                <c:pt idx="35">
                  <c:v>16.86</c:v>
                </c:pt>
                <c:pt idx="36">
                  <c:v>18.48</c:v>
                </c:pt>
                <c:pt idx="37">
                  <c:v>18.48</c:v>
                </c:pt>
                <c:pt idx="38">
                  <c:v>19.59</c:v>
                </c:pt>
                <c:pt idx="39">
                  <c:v>20.37</c:v>
                </c:pt>
                <c:pt idx="40">
                  <c:v>21.18</c:v>
                </c:pt>
                <c:pt idx="41">
                  <c:v>21.18</c:v>
                </c:pt>
                <c:pt idx="42">
                  <c:v>21.71</c:v>
                </c:pt>
                <c:pt idx="43">
                  <c:v>21.71</c:v>
                </c:pt>
                <c:pt idx="44">
                  <c:v>22.69</c:v>
                </c:pt>
                <c:pt idx="45">
                  <c:v>24.78</c:v>
                </c:pt>
                <c:pt idx="46">
                  <c:v>26.6</c:v>
                </c:pt>
                <c:pt idx="47">
                  <c:v>33.090000000000003</c:v>
                </c:pt>
                <c:pt idx="48">
                  <c:v>33.090000000000003</c:v>
                </c:pt>
                <c:pt idx="49">
                  <c:v>34.17</c:v>
                </c:pt>
                <c:pt idx="50">
                  <c:v>35.4</c:v>
                </c:pt>
                <c:pt idx="51">
                  <c:v>34.99</c:v>
                </c:pt>
                <c:pt idx="52">
                  <c:v>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001-9CC5-A3F9D3E8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17056"/>
        <c:axId val="182718848"/>
      </c:lineChart>
      <c:dateAx>
        <c:axId val="182717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2718848"/>
        <c:crosses val="autoZero"/>
        <c:auto val="1"/>
        <c:lblOffset val="100"/>
        <c:baseTimeUnit val="months"/>
      </c:dateAx>
      <c:valAx>
        <c:axId val="182718848"/>
        <c:scaling>
          <c:orientation val="minMax"/>
        </c:scaling>
        <c:delete val="0"/>
        <c:axPos val="l"/>
        <c:majorGridlines/>
        <c:numFmt formatCode="_ &quot;$&quot;\ * #,##0.000_ ;_ &quot;$&quot;\ * \-#,##0.000_ ;_ &quot;$&quot;\ * &quot;-&quot;??_ ;_ @_ " sourceLinked="1"/>
        <c:majorTickMark val="out"/>
        <c:minorTickMark val="none"/>
        <c:tickLblPos val="nextTo"/>
        <c:crossAx val="18271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3501538977985"/>
          <c:y val="4.3561915349286537E-2"/>
          <c:w val="0.82791426071741037"/>
          <c:h val="0.7576192038495188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'IPIM-Nivel General'!$B$19:$B$78</c:f>
              <c:numCache>
                <c:formatCode>mmm\-yy</c:formatCode>
                <c:ptCount val="6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</c:numCache>
            </c:numRef>
          </c:cat>
          <c:val>
            <c:numRef>
              <c:f>'IPIM-Nivel General'!$C$19:$C$78</c:f>
              <c:numCache>
                <c:formatCode>0.0_)</c:formatCode>
                <c:ptCount val="60"/>
                <c:pt idx="0">
                  <c:v>843.35</c:v>
                </c:pt>
                <c:pt idx="1">
                  <c:v>845.45</c:v>
                </c:pt>
                <c:pt idx="2">
                  <c:v>853.74</c:v>
                </c:pt>
                <c:pt idx="3">
                  <c:v>860.11</c:v>
                </c:pt>
                <c:pt idx="4">
                  <c:v>872.85</c:v>
                </c:pt>
                <c:pt idx="5">
                  <c:v>884.33</c:v>
                </c:pt>
                <c:pt idx="6">
                  <c:v>897.04</c:v>
                </c:pt>
                <c:pt idx="7">
                  <c:v>909.85</c:v>
                </c:pt>
                <c:pt idx="8">
                  <c:v>922.1</c:v>
                </c:pt>
                <c:pt idx="9">
                  <c:v>930.69</c:v>
                </c:pt>
                <c:pt idx="10">
                  <c:v>951.16518000000008</c:v>
                </c:pt>
                <c:pt idx="11">
                  <c:v>987.30945684000017</c:v>
                </c:pt>
                <c:pt idx="12">
                  <c:v>1076.1673079556003</c:v>
                </c:pt>
                <c:pt idx="13">
                  <c:v>1129.9756733533804</c:v>
                </c:pt>
                <c:pt idx="14">
                  <c:v>1157.0950895138617</c:v>
                </c:pt>
                <c:pt idx="15">
                  <c:v>1174.4515158565696</c:v>
                </c:pt>
                <c:pt idx="16">
                  <c:v>1216.7317704274062</c:v>
                </c:pt>
                <c:pt idx="17">
                  <c:v>1252.0169917698008</c:v>
                </c:pt>
                <c:pt idx="18">
                  <c:v>1285.8214505475853</c:v>
                </c:pt>
                <c:pt idx="19">
                  <c:v>1290.9647363497756</c:v>
                </c:pt>
                <c:pt idx="20">
                  <c:v>1296.1285952951748</c:v>
                </c:pt>
                <c:pt idx="21">
                  <c:v>1303.9053668669458</c:v>
                </c:pt>
                <c:pt idx="22">
                  <c:v>1318.2483259024821</c:v>
                </c:pt>
                <c:pt idx="23">
                  <c:v>1328.794312509702</c:v>
                </c:pt>
                <c:pt idx="24">
                  <c:v>1348.7262271973473</c:v>
                </c:pt>
                <c:pt idx="25">
                  <c:v>1371.654573059702</c:v>
                </c:pt>
                <c:pt idx="26">
                  <c:v>1383.9994642172392</c:v>
                </c:pt>
                <c:pt idx="27">
                  <c:v>1390.9194615383253</c:v>
                </c:pt>
                <c:pt idx="28">
                  <c:v>1403.4377366921701</c:v>
                </c:pt>
                <c:pt idx="29">
                  <c:v>1430.1030536893213</c:v>
                </c:pt>
                <c:pt idx="30">
                  <c:v>1467.2857330852437</c:v>
                </c:pt>
                <c:pt idx="31">
                  <c:v>1495.1641620138632</c:v>
                </c:pt>
                <c:pt idx="32">
                  <c:v>1510.1158036340018</c:v>
                </c:pt>
                <c:pt idx="33">
                  <c:v>1532.7675406885116</c:v>
                </c:pt>
                <c:pt idx="34">
                  <c:v>1555.7590537988392</c:v>
                </c:pt>
                <c:pt idx="35">
                  <c:v>1580.6511986596206</c:v>
                </c:pt>
                <c:pt idx="36">
                  <c:v>1653.3611537979632</c:v>
                </c:pt>
                <c:pt idx="37">
                  <c:v>1732.7224891802655</c:v>
                </c:pt>
                <c:pt idx="38">
                  <c:v>1765.6442164746904</c:v>
                </c:pt>
                <c:pt idx="39">
                  <c:v>1797.425812371235</c:v>
                </c:pt>
                <c:pt idx="40">
                  <c:v>1932.2327482990775</c:v>
                </c:pt>
                <c:pt idx="41">
                  <c:v>2057.8278769385174</c:v>
                </c:pt>
                <c:pt idx="42">
                  <c:v>2154.5457871546278</c:v>
                </c:pt>
                <c:pt idx="43">
                  <c:v>2260.1185307252044</c:v>
                </c:pt>
                <c:pt idx="44">
                  <c:v>2621.7374956412368</c:v>
                </c:pt>
                <c:pt idx="45">
                  <c:v>2700.3896205104738</c:v>
                </c:pt>
                <c:pt idx="46">
                  <c:v>2703.090010130984</c:v>
                </c:pt>
                <c:pt idx="47">
                  <c:v>2738.2301802626866</c:v>
                </c:pt>
                <c:pt idx="48">
                  <c:v>2754.6595613442628</c:v>
                </c:pt>
                <c:pt idx="49">
                  <c:v>2848.3179864299677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A-4316-B5CE-A029750C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2480"/>
        <c:axId val="182774016"/>
      </c:lineChart>
      <c:dateAx>
        <c:axId val="182772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2774016"/>
        <c:crosses val="autoZero"/>
        <c:auto val="1"/>
        <c:lblOffset val="100"/>
        <c:baseTimeUnit val="months"/>
      </c:dateAx>
      <c:valAx>
        <c:axId val="182774016"/>
        <c:scaling>
          <c:orientation val="minMax"/>
          <c:min val="800"/>
        </c:scaling>
        <c:delete val="0"/>
        <c:axPos val="l"/>
        <c:majorGridlines/>
        <c:numFmt formatCode="0.0_)" sourceLinked="1"/>
        <c:majorTickMark val="out"/>
        <c:minorTickMark val="none"/>
        <c:tickLblPos val="nextTo"/>
        <c:crossAx val="18277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5719597550306"/>
          <c:y val="7.4548702245552628E-2"/>
          <c:w val="0.70691360454943131"/>
          <c:h val="0.759633275007290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ACARA!$B$8:$B$70</c:f>
              <c:numCache>
                <c:formatCode>mmm\-yy</c:formatCode>
                <c:ptCount val="63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</c:numCache>
            </c:numRef>
          </c:cat>
          <c:val>
            <c:numRef>
              <c:f>ACARA!$C$8:$C$70</c:f>
              <c:numCache>
                <c:formatCode>_ "$"\ * #,##0_ ;_ "$"\ * \-#,##0_ ;_ "$"\ * "-"??_ ;_ @_ </c:formatCode>
                <c:ptCount val="63"/>
                <c:pt idx="0">
                  <c:v>344900</c:v>
                </c:pt>
                <c:pt idx="1">
                  <c:v>355200</c:v>
                </c:pt>
                <c:pt idx="2">
                  <c:v>355200</c:v>
                </c:pt>
                <c:pt idx="3">
                  <c:v>360000</c:v>
                </c:pt>
                <c:pt idx="4">
                  <c:v>362000</c:v>
                </c:pt>
                <c:pt idx="5">
                  <c:v>369000</c:v>
                </c:pt>
                <c:pt idx="6">
                  <c:v>380000</c:v>
                </c:pt>
                <c:pt idx="7">
                  <c:v>395000</c:v>
                </c:pt>
                <c:pt idx="8">
                  <c:v>415000</c:v>
                </c:pt>
                <c:pt idx="9">
                  <c:v>421700</c:v>
                </c:pt>
                <c:pt idx="10">
                  <c:v>421700</c:v>
                </c:pt>
                <c:pt idx="11">
                  <c:v>430000</c:v>
                </c:pt>
                <c:pt idx="12">
                  <c:v>450000</c:v>
                </c:pt>
                <c:pt idx="13">
                  <c:v>450000</c:v>
                </c:pt>
                <c:pt idx="14">
                  <c:v>460000</c:v>
                </c:pt>
                <c:pt idx="15">
                  <c:v>530000</c:v>
                </c:pt>
                <c:pt idx="16">
                  <c:v>540000</c:v>
                </c:pt>
                <c:pt idx="17">
                  <c:v>550000</c:v>
                </c:pt>
                <c:pt idx="18">
                  <c:v>565100</c:v>
                </c:pt>
                <c:pt idx="19">
                  <c:v>565100</c:v>
                </c:pt>
                <c:pt idx="20">
                  <c:v>565100</c:v>
                </c:pt>
                <c:pt idx="21">
                  <c:v>570100</c:v>
                </c:pt>
                <c:pt idx="22">
                  <c:v>570100</c:v>
                </c:pt>
                <c:pt idx="23">
                  <c:v>574200</c:v>
                </c:pt>
                <c:pt idx="24">
                  <c:v>579900</c:v>
                </c:pt>
                <c:pt idx="25">
                  <c:v>585900</c:v>
                </c:pt>
                <c:pt idx="26">
                  <c:v>591900</c:v>
                </c:pt>
                <c:pt idx="27">
                  <c:v>591900</c:v>
                </c:pt>
                <c:pt idx="28">
                  <c:v>597300</c:v>
                </c:pt>
                <c:pt idx="29">
                  <c:v>604200</c:v>
                </c:pt>
                <c:pt idx="30">
                  <c:v>607800</c:v>
                </c:pt>
                <c:pt idx="31">
                  <c:v>613500</c:v>
                </c:pt>
                <c:pt idx="32">
                  <c:v>613500</c:v>
                </c:pt>
                <c:pt idx="33">
                  <c:v>617900</c:v>
                </c:pt>
                <c:pt idx="34">
                  <c:v>617900</c:v>
                </c:pt>
                <c:pt idx="35">
                  <c:v>624700</c:v>
                </c:pt>
                <c:pt idx="36">
                  <c:v>631600</c:v>
                </c:pt>
                <c:pt idx="37">
                  <c:v>638800</c:v>
                </c:pt>
                <c:pt idx="38">
                  <c:v>655000</c:v>
                </c:pt>
                <c:pt idx="39">
                  <c:v>655000</c:v>
                </c:pt>
                <c:pt idx="40">
                  <c:v>662800</c:v>
                </c:pt>
                <c:pt idx="41">
                  <c:v>673000</c:v>
                </c:pt>
                <c:pt idx="42">
                  <c:v>686500</c:v>
                </c:pt>
                <c:pt idx="43">
                  <c:v>703900</c:v>
                </c:pt>
                <c:pt idx="44">
                  <c:v>725300</c:v>
                </c:pt>
                <c:pt idx="45">
                  <c:v>776100</c:v>
                </c:pt>
                <c:pt idx="46">
                  <c:v>836200</c:v>
                </c:pt>
                <c:pt idx="47">
                  <c:v>888500</c:v>
                </c:pt>
                <c:pt idx="48">
                  <c:v>928500</c:v>
                </c:pt>
                <c:pt idx="49">
                  <c:v>928500</c:v>
                </c:pt>
                <c:pt idx="50">
                  <c:v>1112200</c:v>
                </c:pt>
                <c:pt idx="51">
                  <c:v>1145600</c:v>
                </c:pt>
                <c:pt idx="52">
                  <c:v>1145600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6CD-9903-F4BF7D47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58304"/>
        <c:axId val="182412032"/>
      </c:lineChart>
      <c:dateAx>
        <c:axId val="76258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2412032"/>
        <c:crosses val="autoZero"/>
        <c:auto val="1"/>
        <c:lblOffset val="100"/>
        <c:baseTimeUnit val="months"/>
      </c:dateAx>
      <c:valAx>
        <c:axId val="182412032"/>
        <c:scaling>
          <c:orientation val="minMax"/>
        </c:scaling>
        <c:delete val="0"/>
        <c:axPos val="l"/>
        <c:majorGridlines/>
        <c:numFmt formatCode="_ &quot;$&quot;\ * #,##0_ ;_ &quot;$&quot;\ * \-#,##0_ ;_ &quot;$&quot;\ * &quot;-&quot;??_ ;_ @_ " sourceLinked="1"/>
        <c:majorTickMark val="out"/>
        <c:minorTickMark val="none"/>
        <c:tickLblPos val="nextTo"/>
        <c:crossAx val="7625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frasonline.com.ar/indice-cac/" TargetMode="External"/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chart" Target="../charts/chart3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74705</xdr:colOff>
      <xdr:row>28</xdr:row>
      <xdr:rowOff>141940</xdr:rowOff>
    </xdr:from>
    <xdr:to>
      <xdr:col>12</xdr:col>
      <xdr:colOff>652465</xdr:colOff>
      <xdr:row>69</xdr:row>
      <xdr:rowOff>97349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4F3AD7-B55C-428F-AF01-F7776E8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352" y="6312646"/>
          <a:ext cx="5209524" cy="7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B3C0C02-AEF0-48AD-8D5B-B9BBF4210CD8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3" name="irc_mi" descr="Resultado de imagen para tasa badlar">
            <a:extLst>
              <a:ext uri="{FF2B5EF4-FFF2-40B4-BE49-F238E27FC236}">
                <a16:creationId xmlns:a16="http://schemas.microsoft.com/office/drawing/2014/main" id="{257EDF2A-D37F-40A8-8316-ACD8D77879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" name="3 Imagen">
            <a:extLst>
              <a:ext uri="{FF2B5EF4-FFF2-40B4-BE49-F238E27FC236}">
                <a16:creationId xmlns:a16="http://schemas.microsoft.com/office/drawing/2014/main" id="{B875D557-BD7E-498F-B4A1-3B2334CAA15C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5" name="5 Conector recto">
            <a:extLst>
              <a:ext uri="{FF2B5EF4-FFF2-40B4-BE49-F238E27FC236}">
                <a16:creationId xmlns:a16="http://schemas.microsoft.com/office/drawing/2014/main" id="{7466AE09-B85D-4EDB-93C4-3B21B8AF1B3E}"/>
              </a:ext>
            </a:extLst>
          </xdr:cNvPr>
          <xdr:cNvCxnSpPr>
            <a:stCxn id="4" idx="3"/>
            <a:endCxn id="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8A00240-4701-4FDB-B41B-85B195367269}"/>
            </a:ext>
          </a:extLst>
        </xdr:cNvPr>
        <xdr:cNvSpPr/>
      </xdr:nvSpPr>
      <xdr:spPr>
        <a:xfrm>
          <a:off x="657677" y="535518"/>
          <a:ext cx="1290808" cy="60618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2056B1B6-8BA9-47F5-AB93-53E8A7FE1498}"/>
            </a:ext>
          </a:extLst>
        </xdr:cNvPr>
        <xdr:cNvSpPr/>
      </xdr:nvSpPr>
      <xdr:spPr>
        <a:xfrm>
          <a:off x="2092668" y="535518"/>
          <a:ext cx="1865029" cy="60618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4EE0740C-B391-4358-88C6-A9CC28FCF239}"/>
            </a:ext>
          </a:extLst>
        </xdr:cNvPr>
        <xdr:cNvSpPr/>
      </xdr:nvSpPr>
      <xdr:spPr>
        <a:xfrm>
          <a:off x="4101880" y="535518"/>
          <a:ext cx="1708370" cy="60618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36C545B8-4378-4460-A256-B9B86DDA8758}"/>
            </a:ext>
          </a:extLst>
        </xdr:cNvPr>
        <xdr:cNvSpPr/>
      </xdr:nvSpPr>
      <xdr:spPr>
        <a:xfrm>
          <a:off x="1295341" y="12070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B9B33F2E-3FBF-49F3-B3D9-2A291AEF2009}"/>
            </a:ext>
          </a:extLst>
        </xdr:cNvPr>
        <xdr:cNvSpPr/>
      </xdr:nvSpPr>
      <xdr:spPr>
        <a:xfrm>
          <a:off x="2892768" y="12070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B082E3-CF7D-4E0A-8610-FC4F19092B32}"/>
            </a:ext>
          </a:extLst>
        </xdr:cNvPr>
        <xdr:cNvSpPr txBox="1"/>
      </xdr:nvSpPr>
      <xdr:spPr>
        <a:xfrm>
          <a:off x="5810250" y="2672439"/>
          <a:ext cx="0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12" name="Group 1">
          <a:extLst>
            <a:ext uri="{FF2B5EF4-FFF2-40B4-BE49-F238E27FC236}">
              <a16:creationId xmlns:a16="http://schemas.microsoft.com/office/drawing/2014/main" id="{ECB7C501-7E66-41C9-8591-D5F1215DDCA5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13" name="irc_mi" descr="Resultado de imagen para tasa badlar">
            <a:extLst>
              <a:ext uri="{FF2B5EF4-FFF2-40B4-BE49-F238E27FC236}">
                <a16:creationId xmlns:a16="http://schemas.microsoft.com/office/drawing/2014/main" id="{0502F369-1A53-4B79-8971-564E3803A8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4" name="3 Imagen">
            <a:extLst>
              <a:ext uri="{FF2B5EF4-FFF2-40B4-BE49-F238E27FC236}">
                <a16:creationId xmlns:a16="http://schemas.microsoft.com/office/drawing/2014/main" id="{72F9B056-696C-4354-BAF5-2E0CE7C90CAF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5" name="5 Conector recto">
            <a:extLst>
              <a:ext uri="{FF2B5EF4-FFF2-40B4-BE49-F238E27FC236}">
                <a16:creationId xmlns:a16="http://schemas.microsoft.com/office/drawing/2014/main" id="{13A51FC3-1099-4D4C-B7F8-ADC16E050ECF}"/>
              </a:ext>
            </a:extLst>
          </xdr:cNvPr>
          <xdr:cNvCxnSpPr>
            <a:stCxn id="14" idx="3"/>
            <a:endCxn id="1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6" name="Freeform: Shape 5">
          <a:extLst>
            <a:ext uri="{FF2B5EF4-FFF2-40B4-BE49-F238E27FC236}">
              <a16:creationId xmlns:a16="http://schemas.microsoft.com/office/drawing/2014/main" id="{9E93AF7E-C971-47EE-9BF7-CCBCD9EFCAF0}"/>
            </a:ext>
          </a:extLst>
        </xdr:cNvPr>
        <xdr:cNvSpPr/>
      </xdr:nvSpPr>
      <xdr:spPr>
        <a:xfrm>
          <a:off x="657677" y="2274148"/>
          <a:ext cx="1269218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7" name="Freeform: Shape 6">
          <a:extLst>
            <a:ext uri="{FF2B5EF4-FFF2-40B4-BE49-F238E27FC236}">
              <a16:creationId xmlns:a16="http://schemas.microsoft.com/office/drawing/2014/main" id="{84BFEA35-BD78-4218-9363-80514CC00631}"/>
            </a:ext>
          </a:extLst>
        </xdr:cNvPr>
        <xdr:cNvSpPr/>
      </xdr:nvSpPr>
      <xdr:spPr>
        <a:xfrm>
          <a:off x="2071078" y="2274148"/>
          <a:ext cx="1826929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8" name="Freeform: Shape 7">
          <a:extLst>
            <a:ext uri="{FF2B5EF4-FFF2-40B4-BE49-F238E27FC236}">
              <a16:creationId xmlns:a16="http://schemas.microsoft.com/office/drawing/2014/main" id="{94C589AD-0B3F-4457-ADDA-6A3DA787C499}"/>
            </a:ext>
          </a:extLst>
        </xdr:cNvPr>
        <xdr:cNvSpPr/>
      </xdr:nvSpPr>
      <xdr:spPr>
        <a:xfrm>
          <a:off x="4042190" y="2274148"/>
          <a:ext cx="1665190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9" name="Freeform: Shape 8">
          <a:extLst>
            <a:ext uri="{FF2B5EF4-FFF2-40B4-BE49-F238E27FC236}">
              <a16:creationId xmlns:a16="http://schemas.microsoft.com/office/drawing/2014/main" id="{49CF79B8-AD2D-4FEF-B4DA-7240E1E550EB}"/>
            </a:ext>
          </a:extLst>
        </xdr:cNvPr>
        <xdr:cNvSpPr/>
      </xdr:nvSpPr>
      <xdr:spPr>
        <a:xfrm>
          <a:off x="1273751" y="2764075"/>
          <a:ext cx="1445325" cy="28348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0" name="Freeform: Shape 9">
          <a:extLst>
            <a:ext uri="{FF2B5EF4-FFF2-40B4-BE49-F238E27FC236}">
              <a16:creationId xmlns:a16="http://schemas.microsoft.com/office/drawing/2014/main" id="{C0F9CB8C-6BED-4F99-AB27-38BD695CE715}"/>
            </a:ext>
          </a:extLst>
        </xdr:cNvPr>
        <xdr:cNvSpPr/>
      </xdr:nvSpPr>
      <xdr:spPr>
        <a:xfrm>
          <a:off x="2871178" y="2764076"/>
          <a:ext cx="1826929" cy="28348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D32F3D-A81F-4123-BB3C-D687F5B00836}"/>
            </a:ext>
          </a:extLst>
        </xdr:cNvPr>
        <xdr:cNvSpPr txBox="1"/>
      </xdr:nvSpPr>
      <xdr:spPr>
        <a:xfrm>
          <a:off x="5707380" y="4033879"/>
          <a:ext cx="0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22" name="Group 1">
          <a:extLst>
            <a:ext uri="{FF2B5EF4-FFF2-40B4-BE49-F238E27FC236}">
              <a16:creationId xmlns:a16="http://schemas.microsoft.com/office/drawing/2014/main" id="{D388C8E0-CF5C-4C80-9124-2154CE6BF07C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23" name="irc_mi" descr="Resultado de imagen para tasa badlar">
            <a:extLst>
              <a:ext uri="{FF2B5EF4-FFF2-40B4-BE49-F238E27FC236}">
                <a16:creationId xmlns:a16="http://schemas.microsoft.com/office/drawing/2014/main" id="{EEFE7FDB-0B0C-49FA-BBDA-407EA0946F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4" name="3 Imagen">
            <a:extLst>
              <a:ext uri="{FF2B5EF4-FFF2-40B4-BE49-F238E27FC236}">
                <a16:creationId xmlns:a16="http://schemas.microsoft.com/office/drawing/2014/main" id="{ED2DF06C-FA27-46CD-919F-B0E0D095496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5" name="5 Conector recto">
            <a:extLst>
              <a:ext uri="{FF2B5EF4-FFF2-40B4-BE49-F238E27FC236}">
                <a16:creationId xmlns:a16="http://schemas.microsoft.com/office/drawing/2014/main" id="{CFF67AD8-BB9B-49CD-A21F-6578774B82E0}"/>
              </a:ext>
            </a:extLst>
          </xdr:cNvPr>
          <xdr:cNvCxnSpPr>
            <a:stCxn id="24" idx="3"/>
            <a:endCxn id="2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6" name="Freeform: Shape 5">
          <a:extLst>
            <a:ext uri="{FF2B5EF4-FFF2-40B4-BE49-F238E27FC236}">
              <a16:creationId xmlns:a16="http://schemas.microsoft.com/office/drawing/2014/main" id="{81508B90-2FF0-4B5B-BE04-0DA1AB5CF6F1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7" name="Freeform: Shape 6">
          <a:extLst>
            <a:ext uri="{FF2B5EF4-FFF2-40B4-BE49-F238E27FC236}">
              <a16:creationId xmlns:a16="http://schemas.microsoft.com/office/drawing/2014/main" id="{FB352D39-A141-4A17-80BD-936FA47DABBA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8" name="Freeform: Shape 7">
          <a:extLst>
            <a:ext uri="{FF2B5EF4-FFF2-40B4-BE49-F238E27FC236}">
              <a16:creationId xmlns:a16="http://schemas.microsoft.com/office/drawing/2014/main" id="{2CC8489B-D098-450C-B4CD-B2175D6F8C74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9" name="Freeform: Shape 8">
          <a:extLst>
            <a:ext uri="{FF2B5EF4-FFF2-40B4-BE49-F238E27FC236}">
              <a16:creationId xmlns:a16="http://schemas.microsoft.com/office/drawing/2014/main" id="{9F098D1A-B40F-4366-8835-B3BBF7B3C495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0" name="Freeform: Shape 9">
          <a:extLst>
            <a:ext uri="{FF2B5EF4-FFF2-40B4-BE49-F238E27FC236}">
              <a16:creationId xmlns:a16="http://schemas.microsoft.com/office/drawing/2014/main" id="{BD5619AE-2DE8-4433-AF17-EFCE31E961A2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B97C78-8DDA-4709-B7A0-E2A00BCB5F89}"/>
            </a:ext>
          </a:extLst>
        </xdr:cNvPr>
        <xdr:cNvSpPr txBox="1"/>
      </xdr:nvSpPr>
      <xdr:spPr>
        <a:xfrm>
          <a:off x="6053662" y="401863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2" name="Group 1">
          <a:extLst>
            <a:ext uri="{FF2B5EF4-FFF2-40B4-BE49-F238E27FC236}">
              <a16:creationId xmlns:a16="http://schemas.microsoft.com/office/drawing/2014/main" id="{B1B8C69F-A4CF-4094-8D76-61B0B22EAECF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3" name="irc_mi" descr="Resultado de imagen para tasa badlar">
            <a:extLst>
              <a:ext uri="{FF2B5EF4-FFF2-40B4-BE49-F238E27FC236}">
                <a16:creationId xmlns:a16="http://schemas.microsoft.com/office/drawing/2014/main" id="{27F7DC21-ADDD-4A4A-AE83-9BE5EEBB63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4" name="3 Imagen">
            <a:extLst>
              <a:ext uri="{FF2B5EF4-FFF2-40B4-BE49-F238E27FC236}">
                <a16:creationId xmlns:a16="http://schemas.microsoft.com/office/drawing/2014/main" id="{A7F8173D-7D94-4961-86BD-B84A2E76663D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5" name="5 Conector recto">
            <a:extLst>
              <a:ext uri="{FF2B5EF4-FFF2-40B4-BE49-F238E27FC236}">
                <a16:creationId xmlns:a16="http://schemas.microsoft.com/office/drawing/2014/main" id="{94B0B68E-01B8-48AE-9AA4-4CF3C6135C96}"/>
              </a:ext>
            </a:extLst>
          </xdr:cNvPr>
          <xdr:cNvCxnSpPr>
            <a:stCxn id="34" idx="3"/>
            <a:endCxn id="3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6" name="Freeform: Shape 5">
          <a:extLst>
            <a:ext uri="{FF2B5EF4-FFF2-40B4-BE49-F238E27FC236}">
              <a16:creationId xmlns:a16="http://schemas.microsoft.com/office/drawing/2014/main" id="{EBB5D6D6-2D00-4D96-A863-026FF3F2A0E6}"/>
            </a:ext>
          </a:extLst>
        </xdr:cNvPr>
        <xdr:cNvSpPr/>
      </xdr:nvSpPr>
      <xdr:spPr>
        <a:xfrm>
          <a:off x="657677" y="2274148"/>
          <a:ext cx="1269218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7" name="Freeform: Shape 6">
          <a:extLst>
            <a:ext uri="{FF2B5EF4-FFF2-40B4-BE49-F238E27FC236}">
              <a16:creationId xmlns:a16="http://schemas.microsoft.com/office/drawing/2014/main" id="{2A9D434B-8224-4AF0-86A2-35D6BD72F12D}"/>
            </a:ext>
          </a:extLst>
        </xdr:cNvPr>
        <xdr:cNvSpPr/>
      </xdr:nvSpPr>
      <xdr:spPr>
        <a:xfrm>
          <a:off x="2071078" y="2274148"/>
          <a:ext cx="1826929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8" name="Freeform: Shape 7">
          <a:extLst>
            <a:ext uri="{FF2B5EF4-FFF2-40B4-BE49-F238E27FC236}">
              <a16:creationId xmlns:a16="http://schemas.microsoft.com/office/drawing/2014/main" id="{BAB9913C-D75D-4116-9068-F89B06D59263}"/>
            </a:ext>
          </a:extLst>
        </xdr:cNvPr>
        <xdr:cNvSpPr/>
      </xdr:nvSpPr>
      <xdr:spPr>
        <a:xfrm>
          <a:off x="4042190" y="2274148"/>
          <a:ext cx="1947338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9" name="Freeform: Shape 8">
          <a:extLst>
            <a:ext uri="{FF2B5EF4-FFF2-40B4-BE49-F238E27FC236}">
              <a16:creationId xmlns:a16="http://schemas.microsoft.com/office/drawing/2014/main" id="{51B3B10F-2C98-41D8-ACA5-05D4B1B1D14D}"/>
            </a:ext>
          </a:extLst>
        </xdr:cNvPr>
        <xdr:cNvSpPr/>
      </xdr:nvSpPr>
      <xdr:spPr>
        <a:xfrm>
          <a:off x="1273751" y="2764075"/>
          <a:ext cx="1445325" cy="28348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0" name="Freeform: Shape 9">
          <a:extLst>
            <a:ext uri="{FF2B5EF4-FFF2-40B4-BE49-F238E27FC236}">
              <a16:creationId xmlns:a16="http://schemas.microsoft.com/office/drawing/2014/main" id="{D7FD44CC-D3A9-4F8D-B687-7F411B7367E6}"/>
            </a:ext>
          </a:extLst>
        </xdr:cNvPr>
        <xdr:cNvSpPr/>
      </xdr:nvSpPr>
      <xdr:spPr>
        <a:xfrm>
          <a:off x="2871178" y="2764076"/>
          <a:ext cx="1826929" cy="28348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00EA4F-563D-42BD-8847-B5D3CAB2FEA4}"/>
            </a:ext>
          </a:extLst>
        </xdr:cNvPr>
        <xdr:cNvSpPr txBox="1"/>
      </xdr:nvSpPr>
      <xdr:spPr>
        <a:xfrm>
          <a:off x="5950792" y="403387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42" name="Group 1">
          <a:extLst>
            <a:ext uri="{FF2B5EF4-FFF2-40B4-BE49-F238E27FC236}">
              <a16:creationId xmlns:a16="http://schemas.microsoft.com/office/drawing/2014/main" id="{F04ADD2B-B5F8-4913-99B8-BAB0B5BDC891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43" name="irc_mi" descr="Resultado de imagen para tasa badlar">
            <a:extLst>
              <a:ext uri="{FF2B5EF4-FFF2-40B4-BE49-F238E27FC236}">
                <a16:creationId xmlns:a16="http://schemas.microsoft.com/office/drawing/2014/main" id="{BCA0CCD0-D07E-4B48-B077-6C02804964D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4" name="3 Imagen">
            <a:extLst>
              <a:ext uri="{FF2B5EF4-FFF2-40B4-BE49-F238E27FC236}">
                <a16:creationId xmlns:a16="http://schemas.microsoft.com/office/drawing/2014/main" id="{9C26E0D8-B768-4BE9-B1E1-85F3BFC61A8E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45" name="5 Conector recto">
            <a:extLst>
              <a:ext uri="{FF2B5EF4-FFF2-40B4-BE49-F238E27FC236}">
                <a16:creationId xmlns:a16="http://schemas.microsoft.com/office/drawing/2014/main" id="{F38187F2-C592-48EC-BF04-067A8E872867}"/>
              </a:ext>
            </a:extLst>
          </xdr:cNvPr>
          <xdr:cNvCxnSpPr>
            <a:stCxn id="44" idx="3"/>
            <a:endCxn id="4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46" name="Freeform: Shape 5">
          <a:extLst>
            <a:ext uri="{FF2B5EF4-FFF2-40B4-BE49-F238E27FC236}">
              <a16:creationId xmlns:a16="http://schemas.microsoft.com/office/drawing/2014/main" id="{EB851B40-30C6-4D89-81BB-445FCF538595}"/>
            </a:ext>
          </a:extLst>
        </xdr:cNvPr>
        <xdr:cNvSpPr/>
      </xdr:nvSpPr>
      <xdr:spPr>
        <a:xfrm>
          <a:off x="657677" y="2274148"/>
          <a:ext cx="1269218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47" name="Freeform: Shape 6">
          <a:extLst>
            <a:ext uri="{FF2B5EF4-FFF2-40B4-BE49-F238E27FC236}">
              <a16:creationId xmlns:a16="http://schemas.microsoft.com/office/drawing/2014/main" id="{9565B109-2174-47FE-B65A-F6E3F7DD891C}"/>
            </a:ext>
          </a:extLst>
        </xdr:cNvPr>
        <xdr:cNvSpPr/>
      </xdr:nvSpPr>
      <xdr:spPr>
        <a:xfrm>
          <a:off x="2071078" y="2274148"/>
          <a:ext cx="1826929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48" name="Freeform: Shape 7">
          <a:extLst>
            <a:ext uri="{FF2B5EF4-FFF2-40B4-BE49-F238E27FC236}">
              <a16:creationId xmlns:a16="http://schemas.microsoft.com/office/drawing/2014/main" id="{9AE6ED9D-90CA-4CE8-AC7A-2E8A681B2347}"/>
            </a:ext>
          </a:extLst>
        </xdr:cNvPr>
        <xdr:cNvSpPr/>
      </xdr:nvSpPr>
      <xdr:spPr>
        <a:xfrm>
          <a:off x="4042190" y="2274148"/>
          <a:ext cx="1947338" cy="42457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49" name="Freeform: Shape 8">
          <a:extLst>
            <a:ext uri="{FF2B5EF4-FFF2-40B4-BE49-F238E27FC236}">
              <a16:creationId xmlns:a16="http://schemas.microsoft.com/office/drawing/2014/main" id="{5392106D-9846-43E8-BFE9-E8129C1E1A50}"/>
            </a:ext>
          </a:extLst>
        </xdr:cNvPr>
        <xdr:cNvSpPr/>
      </xdr:nvSpPr>
      <xdr:spPr>
        <a:xfrm>
          <a:off x="1273751" y="2764075"/>
          <a:ext cx="1445325" cy="28348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50" name="Freeform: Shape 9">
          <a:extLst>
            <a:ext uri="{FF2B5EF4-FFF2-40B4-BE49-F238E27FC236}">
              <a16:creationId xmlns:a16="http://schemas.microsoft.com/office/drawing/2014/main" id="{C64EE8FD-76B2-4E9B-8E6D-012BAFCA457F}"/>
            </a:ext>
          </a:extLst>
        </xdr:cNvPr>
        <xdr:cNvSpPr/>
      </xdr:nvSpPr>
      <xdr:spPr>
        <a:xfrm>
          <a:off x="2871178" y="2764076"/>
          <a:ext cx="1826929" cy="28348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5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94A55D-8ABE-4BC6-8C05-79F34FCA94AA}"/>
            </a:ext>
          </a:extLst>
        </xdr:cNvPr>
        <xdr:cNvSpPr txBox="1"/>
      </xdr:nvSpPr>
      <xdr:spPr>
        <a:xfrm>
          <a:off x="5950792" y="403387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52" name="Group 1">
          <a:extLst>
            <a:ext uri="{FF2B5EF4-FFF2-40B4-BE49-F238E27FC236}">
              <a16:creationId xmlns:a16="http://schemas.microsoft.com/office/drawing/2014/main" id="{56BEF9EA-AF33-476D-8D83-94C93EA10E3E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53" name="irc_mi" descr="Resultado de imagen para tasa badlar">
            <a:extLst>
              <a:ext uri="{FF2B5EF4-FFF2-40B4-BE49-F238E27FC236}">
                <a16:creationId xmlns:a16="http://schemas.microsoft.com/office/drawing/2014/main" id="{B0805F29-E5DA-4514-9198-F1E17B07CA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54" name="3 Imagen">
            <a:extLst>
              <a:ext uri="{FF2B5EF4-FFF2-40B4-BE49-F238E27FC236}">
                <a16:creationId xmlns:a16="http://schemas.microsoft.com/office/drawing/2014/main" id="{486D5058-620C-425F-B97C-6BA5A72A6E07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55" name="5 Conector recto">
            <a:extLst>
              <a:ext uri="{FF2B5EF4-FFF2-40B4-BE49-F238E27FC236}">
                <a16:creationId xmlns:a16="http://schemas.microsoft.com/office/drawing/2014/main" id="{9914B2B7-4D2D-494C-909C-51433715FF1D}"/>
              </a:ext>
            </a:extLst>
          </xdr:cNvPr>
          <xdr:cNvCxnSpPr>
            <a:stCxn id="54" idx="3"/>
            <a:endCxn id="5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56" name="Freeform: Shape 5">
          <a:extLst>
            <a:ext uri="{FF2B5EF4-FFF2-40B4-BE49-F238E27FC236}">
              <a16:creationId xmlns:a16="http://schemas.microsoft.com/office/drawing/2014/main" id="{F48C6BBD-86AE-4466-B16F-FE11154B956F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57" name="Freeform: Shape 6">
          <a:extLst>
            <a:ext uri="{FF2B5EF4-FFF2-40B4-BE49-F238E27FC236}">
              <a16:creationId xmlns:a16="http://schemas.microsoft.com/office/drawing/2014/main" id="{0E71BCE9-0EC0-418A-BDF2-C78B2EB9B4D9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58" name="Freeform: Shape 7">
          <a:extLst>
            <a:ext uri="{FF2B5EF4-FFF2-40B4-BE49-F238E27FC236}">
              <a16:creationId xmlns:a16="http://schemas.microsoft.com/office/drawing/2014/main" id="{0CF96519-A584-488B-9B88-EABC1D5EED44}"/>
            </a:ext>
          </a:extLst>
        </xdr:cNvPr>
        <xdr:cNvSpPr/>
      </xdr:nvSpPr>
      <xdr:spPr>
        <a:xfrm>
          <a:off x="4101880" y="2269068"/>
          <a:ext cx="1708370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59" name="Freeform: Shape 8">
          <a:extLst>
            <a:ext uri="{FF2B5EF4-FFF2-40B4-BE49-F238E27FC236}">
              <a16:creationId xmlns:a16="http://schemas.microsoft.com/office/drawing/2014/main" id="{0E0A501E-DED7-426B-A0B3-3F5B26D586BC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60" name="Freeform: Shape 9">
          <a:extLst>
            <a:ext uri="{FF2B5EF4-FFF2-40B4-BE49-F238E27FC236}">
              <a16:creationId xmlns:a16="http://schemas.microsoft.com/office/drawing/2014/main" id="{0FBD7A7C-B708-4B7C-AA52-244DB0367170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6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82E782-845F-4F6D-BDC8-D992385FE40E}"/>
            </a:ext>
          </a:extLst>
        </xdr:cNvPr>
        <xdr:cNvSpPr txBox="1"/>
      </xdr:nvSpPr>
      <xdr:spPr>
        <a:xfrm>
          <a:off x="5810250" y="4018639"/>
          <a:ext cx="0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62" name="Group 1">
          <a:extLst>
            <a:ext uri="{FF2B5EF4-FFF2-40B4-BE49-F238E27FC236}">
              <a16:creationId xmlns:a16="http://schemas.microsoft.com/office/drawing/2014/main" id="{58084005-5E18-4959-B07B-6D625980C093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63" name="irc_mi" descr="Resultado de imagen para tasa badlar">
            <a:extLst>
              <a:ext uri="{FF2B5EF4-FFF2-40B4-BE49-F238E27FC236}">
                <a16:creationId xmlns:a16="http://schemas.microsoft.com/office/drawing/2014/main" id="{BEA2ACDE-3774-4678-6EAE-995D649E2B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64" name="3 Imagen">
            <a:extLst>
              <a:ext uri="{FF2B5EF4-FFF2-40B4-BE49-F238E27FC236}">
                <a16:creationId xmlns:a16="http://schemas.microsoft.com/office/drawing/2014/main" id="{FADEAC87-E338-F4CC-335F-1DD538A576E8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65" name="5 Conector recto">
            <a:extLst>
              <a:ext uri="{FF2B5EF4-FFF2-40B4-BE49-F238E27FC236}">
                <a16:creationId xmlns:a16="http://schemas.microsoft.com/office/drawing/2014/main" id="{5C866FA9-68B2-66A6-AB0A-2C66635A64AC}"/>
              </a:ext>
            </a:extLst>
          </xdr:cNvPr>
          <xdr:cNvCxnSpPr>
            <a:stCxn id="64" idx="3"/>
            <a:endCxn id="6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66" name="Freeform: Shape 5">
          <a:extLst>
            <a:ext uri="{FF2B5EF4-FFF2-40B4-BE49-F238E27FC236}">
              <a16:creationId xmlns:a16="http://schemas.microsoft.com/office/drawing/2014/main" id="{5F824454-B217-4348-8DCB-7A4F1984CFE0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67" name="Freeform: Shape 6">
          <a:extLst>
            <a:ext uri="{FF2B5EF4-FFF2-40B4-BE49-F238E27FC236}">
              <a16:creationId xmlns:a16="http://schemas.microsoft.com/office/drawing/2014/main" id="{6B50B410-1166-485A-9524-17F9E0932823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68" name="Freeform: Shape 7">
          <a:extLst>
            <a:ext uri="{FF2B5EF4-FFF2-40B4-BE49-F238E27FC236}">
              <a16:creationId xmlns:a16="http://schemas.microsoft.com/office/drawing/2014/main" id="{702C14CE-C90F-4F73-8674-7A6F8C7C3275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69" name="Freeform: Shape 8">
          <a:extLst>
            <a:ext uri="{FF2B5EF4-FFF2-40B4-BE49-F238E27FC236}">
              <a16:creationId xmlns:a16="http://schemas.microsoft.com/office/drawing/2014/main" id="{6253032B-1021-40DB-987D-09F9C91DA82F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70" name="Freeform: Shape 9">
          <a:extLst>
            <a:ext uri="{FF2B5EF4-FFF2-40B4-BE49-F238E27FC236}">
              <a16:creationId xmlns:a16="http://schemas.microsoft.com/office/drawing/2014/main" id="{784E1754-D1AB-43FA-B6FF-F698B27190B7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7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D82E4A-EB2E-48A8-BBE1-03F38739A2D2}"/>
            </a:ext>
          </a:extLst>
        </xdr:cNvPr>
        <xdr:cNvSpPr txBox="1"/>
      </xdr:nvSpPr>
      <xdr:spPr>
        <a:xfrm>
          <a:off x="6053662" y="401863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72" name="Group 1">
          <a:extLst>
            <a:ext uri="{FF2B5EF4-FFF2-40B4-BE49-F238E27FC236}">
              <a16:creationId xmlns:a16="http://schemas.microsoft.com/office/drawing/2014/main" id="{66971B0D-FDD8-46CE-B3EC-62CB5421ED60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73" name="irc_mi" descr="Resultado de imagen para tasa badlar">
            <a:extLst>
              <a:ext uri="{FF2B5EF4-FFF2-40B4-BE49-F238E27FC236}">
                <a16:creationId xmlns:a16="http://schemas.microsoft.com/office/drawing/2014/main" id="{137DF2AF-C708-8A77-503D-3C7FBC6EBF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74" name="3 Imagen">
            <a:extLst>
              <a:ext uri="{FF2B5EF4-FFF2-40B4-BE49-F238E27FC236}">
                <a16:creationId xmlns:a16="http://schemas.microsoft.com/office/drawing/2014/main" id="{1FFF1439-5E0F-2F34-06E8-4CFC3931EAE4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75" name="5 Conector recto">
            <a:extLst>
              <a:ext uri="{FF2B5EF4-FFF2-40B4-BE49-F238E27FC236}">
                <a16:creationId xmlns:a16="http://schemas.microsoft.com/office/drawing/2014/main" id="{C73A0563-8F19-CA1F-EF6C-1612753CE515}"/>
              </a:ext>
            </a:extLst>
          </xdr:cNvPr>
          <xdr:cNvCxnSpPr>
            <a:stCxn id="74" idx="3"/>
            <a:endCxn id="7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76" name="Freeform: Shape 5">
          <a:extLst>
            <a:ext uri="{FF2B5EF4-FFF2-40B4-BE49-F238E27FC236}">
              <a16:creationId xmlns:a16="http://schemas.microsoft.com/office/drawing/2014/main" id="{8E4C774F-C5C1-47C9-9BB5-45263490B2D2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77" name="Freeform: Shape 6">
          <a:extLst>
            <a:ext uri="{FF2B5EF4-FFF2-40B4-BE49-F238E27FC236}">
              <a16:creationId xmlns:a16="http://schemas.microsoft.com/office/drawing/2014/main" id="{1E883978-95F6-4CB2-AFBD-E49DBB7ADB50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78" name="Freeform: Shape 7">
          <a:extLst>
            <a:ext uri="{FF2B5EF4-FFF2-40B4-BE49-F238E27FC236}">
              <a16:creationId xmlns:a16="http://schemas.microsoft.com/office/drawing/2014/main" id="{F64DF67B-2C32-4D19-BCBF-BFF5BC158F70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79" name="Freeform: Shape 8">
          <a:extLst>
            <a:ext uri="{FF2B5EF4-FFF2-40B4-BE49-F238E27FC236}">
              <a16:creationId xmlns:a16="http://schemas.microsoft.com/office/drawing/2014/main" id="{B1F7E297-BBC5-46CF-9980-28D8981C48B8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80" name="Freeform: Shape 9">
          <a:extLst>
            <a:ext uri="{FF2B5EF4-FFF2-40B4-BE49-F238E27FC236}">
              <a16:creationId xmlns:a16="http://schemas.microsoft.com/office/drawing/2014/main" id="{D5E21B4D-63E5-4726-B80E-8389B7DDB500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8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5869B2-3C21-4237-9F5F-C606792A9087}"/>
            </a:ext>
          </a:extLst>
        </xdr:cNvPr>
        <xdr:cNvSpPr txBox="1"/>
      </xdr:nvSpPr>
      <xdr:spPr>
        <a:xfrm>
          <a:off x="6053662" y="401863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82" name="Group 1">
          <a:extLst>
            <a:ext uri="{FF2B5EF4-FFF2-40B4-BE49-F238E27FC236}">
              <a16:creationId xmlns:a16="http://schemas.microsoft.com/office/drawing/2014/main" id="{32FE61CE-FE35-42AD-ACF4-08102AA5E56A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83" name="irc_mi" descr="Resultado de imagen para tasa badlar">
            <a:extLst>
              <a:ext uri="{FF2B5EF4-FFF2-40B4-BE49-F238E27FC236}">
                <a16:creationId xmlns:a16="http://schemas.microsoft.com/office/drawing/2014/main" id="{D78676CB-7B64-F64F-5676-6452C73999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84" name="3 Imagen">
            <a:extLst>
              <a:ext uri="{FF2B5EF4-FFF2-40B4-BE49-F238E27FC236}">
                <a16:creationId xmlns:a16="http://schemas.microsoft.com/office/drawing/2014/main" id="{51C2867C-AA06-40B6-2955-B80C0FD2668B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85" name="5 Conector recto">
            <a:extLst>
              <a:ext uri="{FF2B5EF4-FFF2-40B4-BE49-F238E27FC236}">
                <a16:creationId xmlns:a16="http://schemas.microsoft.com/office/drawing/2014/main" id="{A43D6081-D19D-AB09-655D-2C079C5BE108}"/>
              </a:ext>
            </a:extLst>
          </xdr:cNvPr>
          <xdr:cNvCxnSpPr>
            <a:stCxn id="84" idx="3"/>
            <a:endCxn id="8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86" name="Freeform: Shape 5">
          <a:extLst>
            <a:ext uri="{FF2B5EF4-FFF2-40B4-BE49-F238E27FC236}">
              <a16:creationId xmlns:a16="http://schemas.microsoft.com/office/drawing/2014/main" id="{C1A93B48-85E8-41B1-A00C-BF7BA07C931E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87" name="Freeform: Shape 6">
          <a:extLst>
            <a:ext uri="{FF2B5EF4-FFF2-40B4-BE49-F238E27FC236}">
              <a16:creationId xmlns:a16="http://schemas.microsoft.com/office/drawing/2014/main" id="{3134F8A4-B337-44CB-93A3-88681BABB6B3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88" name="Freeform: Shape 7">
          <a:extLst>
            <a:ext uri="{FF2B5EF4-FFF2-40B4-BE49-F238E27FC236}">
              <a16:creationId xmlns:a16="http://schemas.microsoft.com/office/drawing/2014/main" id="{8633F1B5-5A92-4D17-A8F6-4E965A5AAE6F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89" name="Freeform: Shape 8">
          <a:extLst>
            <a:ext uri="{FF2B5EF4-FFF2-40B4-BE49-F238E27FC236}">
              <a16:creationId xmlns:a16="http://schemas.microsoft.com/office/drawing/2014/main" id="{8E21EADC-B008-4429-B5F8-F3117EB81AEE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90" name="Freeform: Shape 9">
          <a:extLst>
            <a:ext uri="{FF2B5EF4-FFF2-40B4-BE49-F238E27FC236}">
              <a16:creationId xmlns:a16="http://schemas.microsoft.com/office/drawing/2014/main" id="{12A68604-3F94-413C-8EDF-139E29CCE484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9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C094DA-14C2-42BF-A665-3A3666B4A03F}"/>
            </a:ext>
          </a:extLst>
        </xdr:cNvPr>
        <xdr:cNvSpPr txBox="1"/>
      </xdr:nvSpPr>
      <xdr:spPr>
        <a:xfrm>
          <a:off x="6053662" y="401863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92" name="Group 1">
          <a:extLst>
            <a:ext uri="{FF2B5EF4-FFF2-40B4-BE49-F238E27FC236}">
              <a16:creationId xmlns:a16="http://schemas.microsoft.com/office/drawing/2014/main" id="{9C5CD489-84E3-455C-A798-CCBB0A56F9F4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93" name="irc_mi" descr="Resultado de imagen para tasa badlar">
            <a:extLst>
              <a:ext uri="{FF2B5EF4-FFF2-40B4-BE49-F238E27FC236}">
                <a16:creationId xmlns:a16="http://schemas.microsoft.com/office/drawing/2014/main" id="{A085AB7A-49CE-D52C-07E2-7138FBC2AE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94" name="3 Imagen">
            <a:extLst>
              <a:ext uri="{FF2B5EF4-FFF2-40B4-BE49-F238E27FC236}">
                <a16:creationId xmlns:a16="http://schemas.microsoft.com/office/drawing/2014/main" id="{210DEDB1-83C0-21C2-5DE6-71881A0E1CEA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95" name="5 Conector recto">
            <a:extLst>
              <a:ext uri="{FF2B5EF4-FFF2-40B4-BE49-F238E27FC236}">
                <a16:creationId xmlns:a16="http://schemas.microsoft.com/office/drawing/2014/main" id="{79955918-017B-1EE7-E818-772F4893DCF9}"/>
              </a:ext>
            </a:extLst>
          </xdr:cNvPr>
          <xdr:cNvCxnSpPr>
            <a:stCxn id="94" idx="3"/>
            <a:endCxn id="9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96" name="Freeform: Shape 5">
          <a:extLst>
            <a:ext uri="{FF2B5EF4-FFF2-40B4-BE49-F238E27FC236}">
              <a16:creationId xmlns:a16="http://schemas.microsoft.com/office/drawing/2014/main" id="{CE14BC1D-4B78-49BA-A207-56263E4188CC}"/>
            </a:ext>
          </a:extLst>
        </xdr:cNvPr>
        <xdr:cNvSpPr/>
      </xdr:nvSpPr>
      <xdr:spPr>
        <a:xfrm>
          <a:off x="657677" y="2300818"/>
          <a:ext cx="1236833" cy="4474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97" name="Freeform: Shape 6">
          <a:extLst>
            <a:ext uri="{FF2B5EF4-FFF2-40B4-BE49-F238E27FC236}">
              <a16:creationId xmlns:a16="http://schemas.microsoft.com/office/drawing/2014/main" id="{36C035E4-1558-4522-BC59-D19FD1E2D924}"/>
            </a:ext>
          </a:extLst>
        </xdr:cNvPr>
        <xdr:cNvSpPr/>
      </xdr:nvSpPr>
      <xdr:spPr>
        <a:xfrm>
          <a:off x="2038693" y="2300818"/>
          <a:ext cx="1760254" cy="4474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98" name="Freeform: Shape 7">
          <a:extLst>
            <a:ext uri="{FF2B5EF4-FFF2-40B4-BE49-F238E27FC236}">
              <a16:creationId xmlns:a16="http://schemas.microsoft.com/office/drawing/2014/main" id="{3FF012BD-E734-459C-8E94-7FF5F85774DC}"/>
            </a:ext>
          </a:extLst>
        </xdr:cNvPr>
        <xdr:cNvSpPr/>
      </xdr:nvSpPr>
      <xdr:spPr>
        <a:xfrm>
          <a:off x="3943130" y="2300818"/>
          <a:ext cx="1882568" cy="4474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99" name="Freeform: Shape 8">
          <a:extLst>
            <a:ext uri="{FF2B5EF4-FFF2-40B4-BE49-F238E27FC236}">
              <a16:creationId xmlns:a16="http://schemas.microsoft.com/office/drawing/2014/main" id="{E7B105D0-1C3E-4F77-B518-3168EE2D7AA5}"/>
            </a:ext>
          </a:extLst>
        </xdr:cNvPr>
        <xdr:cNvSpPr/>
      </xdr:nvSpPr>
      <xdr:spPr>
        <a:xfrm>
          <a:off x="1241366" y="2813605"/>
          <a:ext cx="1445325" cy="281583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00" name="Freeform: Shape 9">
          <a:extLst>
            <a:ext uri="{FF2B5EF4-FFF2-40B4-BE49-F238E27FC236}">
              <a16:creationId xmlns:a16="http://schemas.microsoft.com/office/drawing/2014/main" id="{9FC7C40C-54E7-4BCF-9189-8A01FCCAE9CB}"/>
            </a:ext>
          </a:extLst>
        </xdr:cNvPr>
        <xdr:cNvSpPr/>
      </xdr:nvSpPr>
      <xdr:spPr>
        <a:xfrm>
          <a:off x="2838793" y="2813606"/>
          <a:ext cx="1760254" cy="281583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0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734FD5-16F9-4DA2-AA3E-5DB3108D5881}"/>
            </a:ext>
          </a:extLst>
        </xdr:cNvPr>
        <xdr:cNvSpPr txBox="1"/>
      </xdr:nvSpPr>
      <xdr:spPr>
        <a:xfrm>
          <a:off x="5786962" y="4256764"/>
          <a:ext cx="682171" cy="11577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102" name="Group 1">
          <a:extLst>
            <a:ext uri="{FF2B5EF4-FFF2-40B4-BE49-F238E27FC236}">
              <a16:creationId xmlns:a16="http://schemas.microsoft.com/office/drawing/2014/main" id="{9835E4E0-9332-40A8-9985-40FBAD01F66C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103" name="irc_mi" descr="Resultado de imagen para tasa badlar">
            <a:extLst>
              <a:ext uri="{FF2B5EF4-FFF2-40B4-BE49-F238E27FC236}">
                <a16:creationId xmlns:a16="http://schemas.microsoft.com/office/drawing/2014/main" id="{1BD29ED3-3851-8DA1-6B5E-3E0F8822FB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04" name="3 Imagen">
            <a:extLst>
              <a:ext uri="{FF2B5EF4-FFF2-40B4-BE49-F238E27FC236}">
                <a16:creationId xmlns:a16="http://schemas.microsoft.com/office/drawing/2014/main" id="{98646FBB-8832-23A7-6053-B02C09350D40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05" name="5 Conector recto">
            <a:extLst>
              <a:ext uri="{FF2B5EF4-FFF2-40B4-BE49-F238E27FC236}">
                <a16:creationId xmlns:a16="http://schemas.microsoft.com/office/drawing/2014/main" id="{B5084BAD-8722-D65D-5156-2C708351A9A9}"/>
              </a:ext>
            </a:extLst>
          </xdr:cNvPr>
          <xdr:cNvCxnSpPr>
            <a:stCxn id="104" idx="3"/>
            <a:endCxn id="10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06" name="Freeform: Shape 5">
          <a:extLst>
            <a:ext uri="{FF2B5EF4-FFF2-40B4-BE49-F238E27FC236}">
              <a16:creationId xmlns:a16="http://schemas.microsoft.com/office/drawing/2014/main" id="{C79497F1-EE58-4FB4-9B46-C84116C76801}"/>
            </a:ext>
          </a:extLst>
        </xdr:cNvPr>
        <xdr:cNvSpPr/>
      </xdr:nvSpPr>
      <xdr:spPr>
        <a:xfrm>
          <a:off x="657677" y="2300818"/>
          <a:ext cx="1236833" cy="4474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07" name="Freeform: Shape 6">
          <a:extLst>
            <a:ext uri="{FF2B5EF4-FFF2-40B4-BE49-F238E27FC236}">
              <a16:creationId xmlns:a16="http://schemas.microsoft.com/office/drawing/2014/main" id="{22A0426C-4BFA-4164-BD77-759150207BFA}"/>
            </a:ext>
          </a:extLst>
        </xdr:cNvPr>
        <xdr:cNvSpPr/>
      </xdr:nvSpPr>
      <xdr:spPr>
        <a:xfrm>
          <a:off x="2038693" y="2300818"/>
          <a:ext cx="1760254" cy="4474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08" name="Freeform: Shape 7">
          <a:extLst>
            <a:ext uri="{FF2B5EF4-FFF2-40B4-BE49-F238E27FC236}">
              <a16:creationId xmlns:a16="http://schemas.microsoft.com/office/drawing/2014/main" id="{959A1F65-248A-4C1D-818C-C556E6F16F5E}"/>
            </a:ext>
          </a:extLst>
        </xdr:cNvPr>
        <xdr:cNvSpPr/>
      </xdr:nvSpPr>
      <xdr:spPr>
        <a:xfrm>
          <a:off x="3943130" y="2300818"/>
          <a:ext cx="1882568" cy="4474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09" name="Freeform: Shape 8">
          <a:extLst>
            <a:ext uri="{FF2B5EF4-FFF2-40B4-BE49-F238E27FC236}">
              <a16:creationId xmlns:a16="http://schemas.microsoft.com/office/drawing/2014/main" id="{1CA5B4CB-A6FE-48FB-A154-793A8CA3C4D1}"/>
            </a:ext>
          </a:extLst>
        </xdr:cNvPr>
        <xdr:cNvSpPr/>
      </xdr:nvSpPr>
      <xdr:spPr>
        <a:xfrm>
          <a:off x="1241366" y="2813605"/>
          <a:ext cx="1445325" cy="281583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10" name="Freeform: Shape 9">
          <a:extLst>
            <a:ext uri="{FF2B5EF4-FFF2-40B4-BE49-F238E27FC236}">
              <a16:creationId xmlns:a16="http://schemas.microsoft.com/office/drawing/2014/main" id="{E1C81728-9C51-4128-A42A-5D3049947069}"/>
            </a:ext>
          </a:extLst>
        </xdr:cNvPr>
        <xdr:cNvSpPr/>
      </xdr:nvSpPr>
      <xdr:spPr>
        <a:xfrm>
          <a:off x="2838793" y="2813606"/>
          <a:ext cx="1760254" cy="281583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1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8A29D7-507F-4C80-B648-04A4676485B1}"/>
            </a:ext>
          </a:extLst>
        </xdr:cNvPr>
        <xdr:cNvSpPr txBox="1"/>
      </xdr:nvSpPr>
      <xdr:spPr>
        <a:xfrm>
          <a:off x="5786962" y="4256764"/>
          <a:ext cx="682171" cy="11577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112" name="Group 1">
          <a:extLst>
            <a:ext uri="{FF2B5EF4-FFF2-40B4-BE49-F238E27FC236}">
              <a16:creationId xmlns:a16="http://schemas.microsoft.com/office/drawing/2014/main" id="{AA710B45-29BF-4020-9A0C-9213DA1A117B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113" name="irc_mi" descr="Resultado de imagen para tasa badlar">
            <a:extLst>
              <a:ext uri="{FF2B5EF4-FFF2-40B4-BE49-F238E27FC236}">
                <a16:creationId xmlns:a16="http://schemas.microsoft.com/office/drawing/2014/main" id="{B2B2C71D-4338-44F5-9657-12A05AF13B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14" name="3 Imagen">
            <a:extLst>
              <a:ext uri="{FF2B5EF4-FFF2-40B4-BE49-F238E27FC236}">
                <a16:creationId xmlns:a16="http://schemas.microsoft.com/office/drawing/2014/main" id="{63A7FBE7-8476-4ECA-8049-1086EBDCAF45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15" name="5 Conector recto">
            <a:extLst>
              <a:ext uri="{FF2B5EF4-FFF2-40B4-BE49-F238E27FC236}">
                <a16:creationId xmlns:a16="http://schemas.microsoft.com/office/drawing/2014/main" id="{0E696E2B-E0F0-4E90-9D7D-57148B78BBC4}"/>
              </a:ext>
            </a:extLst>
          </xdr:cNvPr>
          <xdr:cNvCxnSpPr>
            <a:stCxn id="114" idx="3"/>
            <a:endCxn id="11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16" name="Freeform: Shape 5">
          <a:extLst>
            <a:ext uri="{FF2B5EF4-FFF2-40B4-BE49-F238E27FC236}">
              <a16:creationId xmlns:a16="http://schemas.microsoft.com/office/drawing/2014/main" id="{EABF848A-EEC4-4532-8A08-30E0A0F99EBD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17" name="Freeform: Shape 6">
          <a:extLst>
            <a:ext uri="{FF2B5EF4-FFF2-40B4-BE49-F238E27FC236}">
              <a16:creationId xmlns:a16="http://schemas.microsoft.com/office/drawing/2014/main" id="{B522DBE8-28FD-4852-B156-03F55225041C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18" name="Freeform: Shape 7">
          <a:extLst>
            <a:ext uri="{FF2B5EF4-FFF2-40B4-BE49-F238E27FC236}">
              <a16:creationId xmlns:a16="http://schemas.microsoft.com/office/drawing/2014/main" id="{FD63C9DD-E741-468A-BAEA-12B50F06F67C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19" name="Freeform: Shape 8">
          <a:extLst>
            <a:ext uri="{FF2B5EF4-FFF2-40B4-BE49-F238E27FC236}">
              <a16:creationId xmlns:a16="http://schemas.microsoft.com/office/drawing/2014/main" id="{6055CFB0-E5F7-4BE1-9DDC-EE29CB5ED154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20" name="Freeform: Shape 9">
          <a:extLst>
            <a:ext uri="{FF2B5EF4-FFF2-40B4-BE49-F238E27FC236}">
              <a16:creationId xmlns:a16="http://schemas.microsoft.com/office/drawing/2014/main" id="{5DF69F9A-F823-4141-975C-9C6853C6AD52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2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690B3C-0A47-446B-812B-C35F3C089F37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122" name="Group 1">
          <a:extLst>
            <a:ext uri="{FF2B5EF4-FFF2-40B4-BE49-F238E27FC236}">
              <a16:creationId xmlns:a16="http://schemas.microsoft.com/office/drawing/2014/main" id="{5CD25B48-4996-411C-BC17-D931BD875A4A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123" name="irc_mi" descr="Resultado de imagen para tasa badlar">
            <a:extLst>
              <a:ext uri="{FF2B5EF4-FFF2-40B4-BE49-F238E27FC236}">
                <a16:creationId xmlns:a16="http://schemas.microsoft.com/office/drawing/2014/main" id="{32591D48-8B23-4DE0-82D6-088939366B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24" name="3 Imagen">
            <a:extLst>
              <a:ext uri="{FF2B5EF4-FFF2-40B4-BE49-F238E27FC236}">
                <a16:creationId xmlns:a16="http://schemas.microsoft.com/office/drawing/2014/main" id="{9C24F725-9AF5-418D-82A8-B8DC6B747708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25" name="5 Conector recto">
            <a:extLst>
              <a:ext uri="{FF2B5EF4-FFF2-40B4-BE49-F238E27FC236}">
                <a16:creationId xmlns:a16="http://schemas.microsoft.com/office/drawing/2014/main" id="{015015FD-6467-4CC5-BCEE-FE0420921F50}"/>
              </a:ext>
            </a:extLst>
          </xdr:cNvPr>
          <xdr:cNvCxnSpPr>
            <a:stCxn id="124" idx="3"/>
            <a:endCxn id="12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26" name="Freeform: Shape 5">
          <a:extLst>
            <a:ext uri="{FF2B5EF4-FFF2-40B4-BE49-F238E27FC236}">
              <a16:creationId xmlns:a16="http://schemas.microsoft.com/office/drawing/2014/main" id="{8EAA8B74-7CE5-4DB6-83F7-9BA71B2278F9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27" name="Freeform: Shape 6">
          <a:extLst>
            <a:ext uri="{FF2B5EF4-FFF2-40B4-BE49-F238E27FC236}">
              <a16:creationId xmlns:a16="http://schemas.microsoft.com/office/drawing/2014/main" id="{55D26153-2C53-415A-9FD9-B5BBED510699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28" name="Freeform: Shape 7">
          <a:extLst>
            <a:ext uri="{FF2B5EF4-FFF2-40B4-BE49-F238E27FC236}">
              <a16:creationId xmlns:a16="http://schemas.microsoft.com/office/drawing/2014/main" id="{FAAE77D8-2096-469E-A60A-7E6252FC31C3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29" name="Freeform: Shape 8">
          <a:extLst>
            <a:ext uri="{FF2B5EF4-FFF2-40B4-BE49-F238E27FC236}">
              <a16:creationId xmlns:a16="http://schemas.microsoft.com/office/drawing/2014/main" id="{63304BBE-2FF9-44AF-A539-64B8850F720B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30" name="Freeform: Shape 9">
          <a:extLst>
            <a:ext uri="{FF2B5EF4-FFF2-40B4-BE49-F238E27FC236}">
              <a16:creationId xmlns:a16="http://schemas.microsoft.com/office/drawing/2014/main" id="{235B8498-6845-4AAE-8E0A-C92DDE09ED0B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3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25D8E1-8EEF-48CA-ABBD-EFC4588034B9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132" name="Group 1">
          <a:extLst>
            <a:ext uri="{FF2B5EF4-FFF2-40B4-BE49-F238E27FC236}">
              <a16:creationId xmlns:a16="http://schemas.microsoft.com/office/drawing/2014/main" id="{241DF89F-ED9D-4253-B708-0E560713F7E2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133" name="irc_mi" descr="Resultado de imagen para tasa badlar">
            <a:extLst>
              <a:ext uri="{FF2B5EF4-FFF2-40B4-BE49-F238E27FC236}">
                <a16:creationId xmlns:a16="http://schemas.microsoft.com/office/drawing/2014/main" id="{6A266B72-8F1D-4356-B584-48C37B4DBD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34" name="3 Imagen">
            <a:extLst>
              <a:ext uri="{FF2B5EF4-FFF2-40B4-BE49-F238E27FC236}">
                <a16:creationId xmlns:a16="http://schemas.microsoft.com/office/drawing/2014/main" id="{E6FB5110-6074-433E-8802-8ACF4E9435D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35" name="5 Conector recto">
            <a:extLst>
              <a:ext uri="{FF2B5EF4-FFF2-40B4-BE49-F238E27FC236}">
                <a16:creationId xmlns:a16="http://schemas.microsoft.com/office/drawing/2014/main" id="{607241AF-D02D-4693-A63C-BCDD4FE8D803}"/>
              </a:ext>
            </a:extLst>
          </xdr:cNvPr>
          <xdr:cNvCxnSpPr>
            <a:stCxn id="134" idx="3"/>
            <a:endCxn id="13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36" name="Freeform: Shape 5">
          <a:extLst>
            <a:ext uri="{FF2B5EF4-FFF2-40B4-BE49-F238E27FC236}">
              <a16:creationId xmlns:a16="http://schemas.microsoft.com/office/drawing/2014/main" id="{16086706-4C23-4853-BC12-7D9C89F97CA3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37" name="Freeform: Shape 6">
          <a:extLst>
            <a:ext uri="{FF2B5EF4-FFF2-40B4-BE49-F238E27FC236}">
              <a16:creationId xmlns:a16="http://schemas.microsoft.com/office/drawing/2014/main" id="{97ED2961-FE54-4C34-BD4F-ED8145EB21E4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38" name="Freeform: Shape 7">
          <a:extLst>
            <a:ext uri="{FF2B5EF4-FFF2-40B4-BE49-F238E27FC236}">
              <a16:creationId xmlns:a16="http://schemas.microsoft.com/office/drawing/2014/main" id="{FD394521-7D01-4CC9-B591-9A22D53DCF2A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39" name="Freeform: Shape 8">
          <a:extLst>
            <a:ext uri="{FF2B5EF4-FFF2-40B4-BE49-F238E27FC236}">
              <a16:creationId xmlns:a16="http://schemas.microsoft.com/office/drawing/2014/main" id="{FBEF0D0C-B9E3-407E-90E0-7F7D71A72725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40" name="Freeform: Shape 9">
          <a:extLst>
            <a:ext uri="{FF2B5EF4-FFF2-40B4-BE49-F238E27FC236}">
              <a16:creationId xmlns:a16="http://schemas.microsoft.com/office/drawing/2014/main" id="{BB7461AB-3355-45F6-9668-48878C10A95B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4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131747-12ED-4673-86CE-A85384EC27E9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142" name="Group 1">
          <a:extLst>
            <a:ext uri="{FF2B5EF4-FFF2-40B4-BE49-F238E27FC236}">
              <a16:creationId xmlns:a16="http://schemas.microsoft.com/office/drawing/2014/main" id="{0BA8B291-B75C-41C5-BB10-B821900953CB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143" name="irc_mi" descr="Resultado de imagen para tasa badlar">
            <a:extLst>
              <a:ext uri="{FF2B5EF4-FFF2-40B4-BE49-F238E27FC236}">
                <a16:creationId xmlns:a16="http://schemas.microsoft.com/office/drawing/2014/main" id="{D0802617-5E08-417E-8D7F-ACEF64634F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44" name="3 Imagen">
            <a:extLst>
              <a:ext uri="{FF2B5EF4-FFF2-40B4-BE49-F238E27FC236}">
                <a16:creationId xmlns:a16="http://schemas.microsoft.com/office/drawing/2014/main" id="{7BC8DE8A-0EDE-496F-B56A-BCDADD94CEF7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45" name="5 Conector recto">
            <a:extLst>
              <a:ext uri="{FF2B5EF4-FFF2-40B4-BE49-F238E27FC236}">
                <a16:creationId xmlns:a16="http://schemas.microsoft.com/office/drawing/2014/main" id="{49A45A50-EC82-411F-B57C-2E319BBCC952}"/>
              </a:ext>
            </a:extLst>
          </xdr:cNvPr>
          <xdr:cNvCxnSpPr>
            <a:stCxn id="144" idx="3"/>
            <a:endCxn id="14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46" name="Freeform: Shape 5">
          <a:extLst>
            <a:ext uri="{FF2B5EF4-FFF2-40B4-BE49-F238E27FC236}">
              <a16:creationId xmlns:a16="http://schemas.microsoft.com/office/drawing/2014/main" id="{C2C46D07-514A-4020-BE90-C4ADE1447256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47" name="Freeform: Shape 6">
          <a:extLst>
            <a:ext uri="{FF2B5EF4-FFF2-40B4-BE49-F238E27FC236}">
              <a16:creationId xmlns:a16="http://schemas.microsoft.com/office/drawing/2014/main" id="{9EA5D03C-747A-46BE-8F0B-A3686D6FE045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48" name="Freeform: Shape 7">
          <a:extLst>
            <a:ext uri="{FF2B5EF4-FFF2-40B4-BE49-F238E27FC236}">
              <a16:creationId xmlns:a16="http://schemas.microsoft.com/office/drawing/2014/main" id="{C390B4FF-7B6E-47C3-A257-F51033FE7B67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49" name="Freeform: Shape 8">
          <a:extLst>
            <a:ext uri="{FF2B5EF4-FFF2-40B4-BE49-F238E27FC236}">
              <a16:creationId xmlns:a16="http://schemas.microsoft.com/office/drawing/2014/main" id="{F2B855CB-53B5-4067-ACFB-213EBFAA5F1D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50" name="Freeform: Shape 9">
          <a:extLst>
            <a:ext uri="{FF2B5EF4-FFF2-40B4-BE49-F238E27FC236}">
              <a16:creationId xmlns:a16="http://schemas.microsoft.com/office/drawing/2014/main" id="{E11A0D12-3199-4641-B9EE-7EBFCC1E962E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5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41D426-33A7-48D9-90FA-7564AF2E702C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152" name="Group 1">
          <a:extLst>
            <a:ext uri="{FF2B5EF4-FFF2-40B4-BE49-F238E27FC236}">
              <a16:creationId xmlns:a16="http://schemas.microsoft.com/office/drawing/2014/main" id="{4805F1A0-253E-44E4-9C4A-7C7E1CBC48D4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153" name="irc_mi" descr="Resultado de imagen para tasa badlar">
            <a:extLst>
              <a:ext uri="{FF2B5EF4-FFF2-40B4-BE49-F238E27FC236}">
                <a16:creationId xmlns:a16="http://schemas.microsoft.com/office/drawing/2014/main" id="{236A6847-94BE-48C8-9B77-1100AF6149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54" name="3 Imagen">
            <a:extLst>
              <a:ext uri="{FF2B5EF4-FFF2-40B4-BE49-F238E27FC236}">
                <a16:creationId xmlns:a16="http://schemas.microsoft.com/office/drawing/2014/main" id="{2E2D213A-CC6E-4472-A06E-9083A4B9C929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55" name="5 Conector recto">
            <a:extLst>
              <a:ext uri="{FF2B5EF4-FFF2-40B4-BE49-F238E27FC236}">
                <a16:creationId xmlns:a16="http://schemas.microsoft.com/office/drawing/2014/main" id="{E04519EA-E606-4E23-B2D4-C155AD5D7E30}"/>
              </a:ext>
            </a:extLst>
          </xdr:cNvPr>
          <xdr:cNvCxnSpPr>
            <a:stCxn id="154" idx="3"/>
            <a:endCxn id="15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56" name="Freeform: Shape 5">
          <a:extLst>
            <a:ext uri="{FF2B5EF4-FFF2-40B4-BE49-F238E27FC236}">
              <a16:creationId xmlns:a16="http://schemas.microsoft.com/office/drawing/2014/main" id="{ACE5DC7A-94F8-4AC3-99DD-6EA8EDB06903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57" name="Freeform: Shape 6">
          <a:extLst>
            <a:ext uri="{FF2B5EF4-FFF2-40B4-BE49-F238E27FC236}">
              <a16:creationId xmlns:a16="http://schemas.microsoft.com/office/drawing/2014/main" id="{A60F25E0-01C6-4EF9-B172-8927A5DA1818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58" name="Freeform: Shape 7">
          <a:extLst>
            <a:ext uri="{FF2B5EF4-FFF2-40B4-BE49-F238E27FC236}">
              <a16:creationId xmlns:a16="http://schemas.microsoft.com/office/drawing/2014/main" id="{0CC8FF2E-32BE-411D-97DE-6F88C6745321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59" name="Freeform: Shape 8">
          <a:extLst>
            <a:ext uri="{FF2B5EF4-FFF2-40B4-BE49-F238E27FC236}">
              <a16:creationId xmlns:a16="http://schemas.microsoft.com/office/drawing/2014/main" id="{19383FA2-3F24-4E0D-85AB-7C7ACA899D68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60" name="Freeform: Shape 9">
          <a:extLst>
            <a:ext uri="{FF2B5EF4-FFF2-40B4-BE49-F238E27FC236}">
              <a16:creationId xmlns:a16="http://schemas.microsoft.com/office/drawing/2014/main" id="{00BBE900-A7C7-429A-9376-E544BAA41247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6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65FC26-CAB7-4625-83BD-1B393AD4B0A8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162" name="Group 1">
          <a:extLst>
            <a:ext uri="{FF2B5EF4-FFF2-40B4-BE49-F238E27FC236}">
              <a16:creationId xmlns:a16="http://schemas.microsoft.com/office/drawing/2014/main" id="{BC4EA0DE-ACB2-47AD-8A74-57435AEF6549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163" name="irc_mi" descr="Resultado de imagen para tasa badlar">
            <a:extLst>
              <a:ext uri="{FF2B5EF4-FFF2-40B4-BE49-F238E27FC236}">
                <a16:creationId xmlns:a16="http://schemas.microsoft.com/office/drawing/2014/main" id="{559CB082-CD1F-405D-A215-D5640A2DF9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64" name="3 Imagen">
            <a:extLst>
              <a:ext uri="{FF2B5EF4-FFF2-40B4-BE49-F238E27FC236}">
                <a16:creationId xmlns:a16="http://schemas.microsoft.com/office/drawing/2014/main" id="{8359100A-B5A0-42B4-B530-252775236B85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65" name="5 Conector recto">
            <a:extLst>
              <a:ext uri="{FF2B5EF4-FFF2-40B4-BE49-F238E27FC236}">
                <a16:creationId xmlns:a16="http://schemas.microsoft.com/office/drawing/2014/main" id="{DB56B3F4-67CE-40A8-808E-16AB519A174F}"/>
              </a:ext>
            </a:extLst>
          </xdr:cNvPr>
          <xdr:cNvCxnSpPr>
            <a:stCxn id="164" idx="3"/>
            <a:endCxn id="16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66" name="Freeform: Shape 5">
          <a:extLst>
            <a:ext uri="{FF2B5EF4-FFF2-40B4-BE49-F238E27FC236}">
              <a16:creationId xmlns:a16="http://schemas.microsoft.com/office/drawing/2014/main" id="{23995717-26B8-4E70-BA44-3CCF2E945C1B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67" name="Freeform: Shape 6">
          <a:extLst>
            <a:ext uri="{FF2B5EF4-FFF2-40B4-BE49-F238E27FC236}">
              <a16:creationId xmlns:a16="http://schemas.microsoft.com/office/drawing/2014/main" id="{8798E004-F49B-49CC-8D98-518510FDB33E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68" name="Freeform: Shape 7">
          <a:extLst>
            <a:ext uri="{FF2B5EF4-FFF2-40B4-BE49-F238E27FC236}">
              <a16:creationId xmlns:a16="http://schemas.microsoft.com/office/drawing/2014/main" id="{460AB66B-C9B9-439D-A048-DDAA1FDFFFDC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69" name="Freeform: Shape 8">
          <a:extLst>
            <a:ext uri="{FF2B5EF4-FFF2-40B4-BE49-F238E27FC236}">
              <a16:creationId xmlns:a16="http://schemas.microsoft.com/office/drawing/2014/main" id="{454412AE-4385-40C4-A637-505D4F6052CC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70" name="Freeform: Shape 9">
          <a:extLst>
            <a:ext uri="{FF2B5EF4-FFF2-40B4-BE49-F238E27FC236}">
              <a16:creationId xmlns:a16="http://schemas.microsoft.com/office/drawing/2014/main" id="{7182BE0E-C9C5-4619-954E-A65EFD5428C9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7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5BA930-C1FD-4A32-9DA1-CDE3C32F54E6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172" name="Group 1">
          <a:extLst>
            <a:ext uri="{FF2B5EF4-FFF2-40B4-BE49-F238E27FC236}">
              <a16:creationId xmlns:a16="http://schemas.microsoft.com/office/drawing/2014/main" id="{8F6BAB02-7101-4F56-A7E7-AD7F98CDDDC4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173" name="irc_mi" descr="Resultado de imagen para tasa badlar">
            <a:extLst>
              <a:ext uri="{FF2B5EF4-FFF2-40B4-BE49-F238E27FC236}">
                <a16:creationId xmlns:a16="http://schemas.microsoft.com/office/drawing/2014/main" id="{473F29FD-CA9C-4D4D-91B9-912EEC4DE0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74" name="3 Imagen">
            <a:extLst>
              <a:ext uri="{FF2B5EF4-FFF2-40B4-BE49-F238E27FC236}">
                <a16:creationId xmlns:a16="http://schemas.microsoft.com/office/drawing/2014/main" id="{F9C76263-1175-401B-9A10-5D476B13942D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75" name="5 Conector recto">
            <a:extLst>
              <a:ext uri="{FF2B5EF4-FFF2-40B4-BE49-F238E27FC236}">
                <a16:creationId xmlns:a16="http://schemas.microsoft.com/office/drawing/2014/main" id="{321F9898-2321-4FA6-B5EC-FDCC478346E3}"/>
              </a:ext>
            </a:extLst>
          </xdr:cNvPr>
          <xdr:cNvCxnSpPr>
            <a:stCxn id="174" idx="3"/>
            <a:endCxn id="17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76" name="Freeform: Shape 5">
          <a:extLst>
            <a:ext uri="{FF2B5EF4-FFF2-40B4-BE49-F238E27FC236}">
              <a16:creationId xmlns:a16="http://schemas.microsoft.com/office/drawing/2014/main" id="{E45905B4-E45D-47F1-994A-52044FF0FE1C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77" name="Freeform: Shape 6">
          <a:extLst>
            <a:ext uri="{FF2B5EF4-FFF2-40B4-BE49-F238E27FC236}">
              <a16:creationId xmlns:a16="http://schemas.microsoft.com/office/drawing/2014/main" id="{382C2EF7-4F1A-435A-BB08-A0C0C987FE22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78" name="Freeform: Shape 7">
          <a:extLst>
            <a:ext uri="{FF2B5EF4-FFF2-40B4-BE49-F238E27FC236}">
              <a16:creationId xmlns:a16="http://schemas.microsoft.com/office/drawing/2014/main" id="{0FCDF719-726B-4CBC-BACD-A4639C5B8D8D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79" name="Freeform: Shape 8">
          <a:extLst>
            <a:ext uri="{FF2B5EF4-FFF2-40B4-BE49-F238E27FC236}">
              <a16:creationId xmlns:a16="http://schemas.microsoft.com/office/drawing/2014/main" id="{E15BF83A-7D24-4DBE-AD3B-230B50ACA8AF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80" name="Freeform: Shape 9">
          <a:extLst>
            <a:ext uri="{FF2B5EF4-FFF2-40B4-BE49-F238E27FC236}">
              <a16:creationId xmlns:a16="http://schemas.microsoft.com/office/drawing/2014/main" id="{557F8515-FD3E-4EE9-AD3A-ADBB47B34487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8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0872D9-CDEE-48E7-AAEF-794E47EBDE87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182" name="Group 1">
          <a:extLst>
            <a:ext uri="{FF2B5EF4-FFF2-40B4-BE49-F238E27FC236}">
              <a16:creationId xmlns:a16="http://schemas.microsoft.com/office/drawing/2014/main" id="{07FF6D84-F34E-4FBB-8394-7E039C75D5B6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183" name="irc_mi" descr="Resultado de imagen para tasa badlar">
            <a:extLst>
              <a:ext uri="{FF2B5EF4-FFF2-40B4-BE49-F238E27FC236}">
                <a16:creationId xmlns:a16="http://schemas.microsoft.com/office/drawing/2014/main" id="{B4C4662D-7AFE-4FD9-8580-BF932FA7BF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84" name="3 Imagen">
            <a:extLst>
              <a:ext uri="{FF2B5EF4-FFF2-40B4-BE49-F238E27FC236}">
                <a16:creationId xmlns:a16="http://schemas.microsoft.com/office/drawing/2014/main" id="{11A1FEBF-917E-4D06-8042-02C165754B8E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85" name="5 Conector recto">
            <a:extLst>
              <a:ext uri="{FF2B5EF4-FFF2-40B4-BE49-F238E27FC236}">
                <a16:creationId xmlns:a16="http://schemas.microsoft.com/office/drawing/2014/main" id="{4A49CF60-D23C-42C1-99CC-57EC51F2E2B5}"/>
              </a:ext>
            </a:extLst>
          </xdr:cNvPr>
          <xdr:cNvCxnSpPr>
            <a:stCxn id="184" idx="3"/>
            <a:endCxn id="18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86" name="Freeform: Shape 5">
          <a:extLst>
            <a:ext uri="{FF2B5EF4-FFF2-40B4-BE49-F238E27FC236}">
              <a16:creationId xmlns:a16="http://schemas.microsoft.com/office/drawing/2014/main" id="{AC63CC6C-8F6B-4AF1-B85F-6BE9879D13B0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87" name="Freeform: Shape 6">
          <a:extLst>
            <a:ext uri="{FF2B5EF4-FFF2-40B4-BE49-F238E27FC236}">
              <a16:creationId xmlns:a16="http://schemas.microsoft.com/office/drawing/2014/main" id="{0C728B2A-E3B3-46FF-9542-0D3876ECFC31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88" name="Freeform: Shape 7">
          <a:extLst>
            <a:ext uri="{FF2B5EF4-FFF2-40B4-BE49-F238E27FC236}">
              <a16:creationId xmlns:a16="http://schemas.microsoft.com/office/drawing/2014/main" id="{E0257C9D-1AF6-4005-B1C4-3418FDE9B01E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89" name="Freeform: Shape 8">
          <a:extLst>
            <a:ext uri="{FF2B5EF4-FFF2-40B4-BE49-F238E27FC236}">
              <a16:creationId xmlns:a16="http://schemas.microsoft.com/office/drawing/2014/main" id="{DE4AFA10-0223-436A-A20B-3E7C309CD051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190" name="Freeform: Shape 9">
          <a:extLst>
            <a:ext uri="{FF2B5EF4-FFF2-40B4-BE49-F238E27FC236}">
              <a16:creationId xmlns:a16="http://schemas.microsoft.com/office/drawing/2014/main" id="{AB489ED0-5863-4840-9EDD-07D76247B793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19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837250-BD76-4E95-837A-9B8076F7178D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192" name="Group 1">
          <a:extLst>
            <a:ext uri="{FF2B5EF4-FFF2-40B4-BE49-F238E27FC236}">
              <a16:creationId xmlns:a16="http://schemas.microsoft.com/office/drawing/2014/main" id="{F1B6AE52-E8DF-4B03-A777-29F3935AADEC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193" name="irc_mi" descr="Resultado de imagen para tasa badlar">
            <a:extLst>
              <a:ext uri="{FF2B5EF4-FFF2-40B4-BE49-F238E27FC236}">
                <a16:creationId xmlns:a16="http://schemas.microsoft.com/office/drawing/2014/main" id="{8C929C8C-2AA6-45AE-A4DE-CA4F59C00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194" name="3 Imagen">
            <a:extLst>
              <a:ext uri="{FF2B5EF4-FFF2-40B4-BE49-F238E27FC236}">
                <a16:creationId xmlns:a16="http://schemas.microsoft.com/office/drawing/2014/main" id="{FE55194A-65BC-4F7D-ADA7-101975C3DBEC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195" name="5 Conector recto">
            <a:extLst>
              <a:ext uri="{FF2B5EF4-FFF2-40B4-BE49-F238E27FC236}">
                <a16:creationId xmlns:a16="http://schemas.microsoft.com/office/drawing/2014/main" id="{9A9D45CA-49B5-451B-9265-6FCAEC2D2929}"/>
              </a:ext>
            </a:extLst>
          </xdr:cNvPr>
          <xdr:cNvCxnSpPr>
            <a:stCxn id="194" idx="3"/>
            <a:endCxn id="19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196" name="Freeform: Shape 5">
          <a:extLst>
            <a:ext uri="{FF2B5EF4-FFF2-40B4-BE49-F238E27FC236}">
              <a16:creationId xmlns:a16="http://schemas.microsoft.com/office/drawing/2014/main" id="{A67C73FF-A305-4685-B14C-824EADD333BB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197" name="Freeform: Shape 6">
          <a:extLst>
            <a:ext uri="{FF2B5EF4-FFF2-40B4-BE49-F238E27FC236}">
              <a16:creationId xmlns:a16="http://schemas.microsoft.com/office/drawing/2014/main" id="{40A0D342-9550-43AB-840E-2E7A1953B6B6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198" name="Freeform: Shape 7">
          <a:extLst>
            <a:ext uri="{FF2B5EF4-FFF2-40B4-BE49-F238E27FC236}">
              <a16:creationId xmlns:a16="http://schemas.microsoft.com/office/drawing/2014/main" id="{B3E5214E-A446-43AB-B2A4-294330258963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199" name="Freeform: Shape 8">
          <a:extLst>
            <a:ext uri="{FF2B5EF4-FFF2-40B4-BE49-F238E27FC236}">
              <a16:creationId xmlns:a16="http://schemas.microsoft.com/office/drawing/2014/main" id="{4A9618A3-5779-4A49-83F4-5C549791E0CC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00" name="Freeform: Shape 9">
          <a:extLst>
            <a:ext uri="{FF2B5EF4-FFF2-40B4-BE49-F238E27FC236}">
              <a16:creationId xmlns:a16="http://schemas.microsoft.com/office/drawing/2014/main" id="{BDDF293E-9FE5-4940-8C74-E64657A38AAA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0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D826F2-9249-4E44-BF61-27A1134D2B3D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202" name="Group 1">
          <a:extLst>
            <a:ext uri="{FF2B5EF4-FFF2-40B4-BE49-F238E27FC236}">
              <a16:creationId xmlns:a16="http://schemas.microsoft.com/office/drawing/2014/main" id="{2ACDAC64-3DD5-49E9-BC3F-B859D630C06C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203" name="irc_mi" descr="Resultado de imagen para tasa badlar">
            <a:extLst>
              <a:ext uri="{FF2B5EF4-FFF2-40B4-BE49-F238E27FC236}">
                <a16:creationId xmlns:a16="http://schemas.microsoft.com/office/drawing/2014/main" id="{5D0F42DE-2042-4D29-B7F6-A9504BC66E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04" name="3 Imagen">
            <a:extLst>
              <a:ext uri="{FF2B5EF4-FFF2-40B4-BE49-F238E27FC236}">
                <a16:creationId xmlns:a16="http://schemas.microsoft.com/office/drawing/2014/main" id="{E49A3849-33EB-4028-B1AA-86DE7EEE68D2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05" name="5 Conector recto">
            <a:extLst>
              <a:ext uri="{FF2B5EF4-FFF2-40B4-BE49-F238E27FC236}">
                <a16:creationId xmlns:a16="http://schemas.microsoft.com/office/drawing/2014/main" id="{128EB04A-E032-4948-94F0-AFA27DF79E50}"/>
              </a:ext>
            </a:extLst>
          </xdr:cNvPr>
          <xdr:cNvCxnSpPr>
            <a:stCxn id="204" idx="3"/>
            <a:endCxn id="20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06" name="Freeform: Shape 5">
          <a:extLst>
            <a:ext uri="{FF2B5EF4-FFF2-40B4-BE49-F238E27FC236}">
              <a16:creationId xmlns:a16="http://schemas.microsoft.com/office/drawing/2014/main" id="{7EA3ABFC-118A-41EA-836B-D0A4A674B34C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07" name="Freeform: Shape 6">
          <a:extLst>
            <a:ext uri="{FF2B5EF4-FFF2-40B4-BE49-F238E27FC236}">
              <a16:creationId xmlns:a16="http://schemas.microsoft.com/office/drawing/2014/main" id="{EA2899E2-35E5-4F81-B6B3-28491E0DC0A7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08" name="Freeform: Shape 7">
          <a:extLst>
            <a:ext uri="{FF2B5EF4-FFF2-40B4-BE49-F238E27FC236}">
              <a16:creationId xmlns:a16="http://schemas.microsoft.com/office/drawing/2014/main" id="{68A0A15B-5FB0-4FF3-B3EA-317CBAA5B4B3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09" name="Freeform: Shape 8">
          <a:extLst>
            <a:ext uri="{FF2B5EF4-FFF2-40B4-BE49-F238E27FC236}">
              <a16:creationId xmlns:a16="http://schemas.microsoft.com/office/drawing/2014/main" id="{B4A44C2A-3820-40CE-968A-F974C43A9C74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10" name="Freeform: Shape 9">
          <a:extLst>
            <a:ext uri="{FF2B5EF4-FFF2-40B4-BE49-F238E27FC236}">
              <a16:creationId xmlns:a16="http://schemas.microsoft.com/office/drawing/2014/main" id="{330750EF-049C-466B-9F2F-A93AF15811A6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1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95164C-683C-45CC-9ACF-9B96B99B6D66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212" name="Group 1">
          <a:extLst>
            <a:ext uri="{FF2B5EF4-FFF2-40B4-BE49-F238E27FC236}">
              <a16:creationId xmlns:a16="http://schemas.microsoft.com/office/drawing/2014/main" id="{AD1E035E-0644-4951-A164-5680A0898FD0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213" name="irc_mi" descr="Resultado de imagen para tasa badlar">
            <a:extLst>
              <a:ext uri="{FF2B5EF4-FFF2-40B4-BE49-F238E27FC236}">
                <a16:creationId xmlns:a16="http://schemas.microsoft.com/office/drawing/2014/main" id="{C7A4C999-A75F-4263-AB97-0DC7F27B4D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14" name="3 Imagen">
            <a:extLst>
              <a:ext uri="{FF2B5EF4-FFF2-40B4-BE49-F238E27FC236}">
                <a16:creationId xmlns:a16="http://schemas.microsoft.com/office/drawing/2014/main" id="{5DAA6B9C-B504-49EB-8531-56266EBB388A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15" name="5 Conector recto">
            <a:extLst>
              <a:ext uri="{FF2B5EF4-FFF2-40B4-BE49-F238E27FC236}">
                <a16:creationId xmlns:a16="http://schemas.microsoft.com/office/drawing/2014/main" id="{4A249AEF-DCE6-41F9-9CDF-349C0BF99C26}"/>
              </a:ext>
            </a:extLst>
          </xdr:cNvPr>
          <xdr:cNvCxnSpPr>
            <a:stCxn id="214" idx="3"/>
            <a:endCxn id="21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16" name="Freeform: Shape 5">
          <a:extLst>
            <a:ext uri="{FF2B5EF4-FFF2-40B4-BE49-F238E27FC236}">
              <a16:creationId xmlns:a16="http://schemas.microsoft.com/office/drawing/2014/main" id="{7316E32B-5527-4FC2-A03F-A634A97B21D1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17" name="Freeform: Shape 6">
          <a:extLst>
            <a:ext uri="{FF2B5EF4-FFF2-40B4-BE49-F238E27FC236}">
              <a16:creationId xmlns:a16="http://schemas.microsoft.com/office/drawing/2014/main" id="{89B57B2F-DF54-458F-846C-45C38BCAFE01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18" name="Freeform: Shape 7">
          <a:extLst>
            <a:ext uri="{FF2B5EF4-FFF2-40B4-BE49-F238E27FC236}">
              <a16:creationId xmlns:a16="http://schemas.microsoft.com/office/drawing/2014/main" id="{8B47C6DA-B7D7-4F24-BEBA-C5E750DA0929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19" name="Freeform: Shape 8">
          <a:extLst>
            <a:ext uri="{FF2B5EF4-FFF2-40B4-BE49-F238E27FC236}">
              <a16:creationId xmlns:a16="http://schemas.microsoft.com/office/drawing/2014/main" id="{EE2F1A07-4B08-4AD0-88E7-DA392970C507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20" name="Freeform: Shape 9">
          <a:extLst>
            <a:ext uri="{FF2B5EF4-FFF2-40B4-BE49-F238E27FC236}">
              <a16:creationId xmlns:a16="http://schemas.microsoft.com/office/drawing/2014/main" id="{0E19938F-6432-42F3-8F6E-BAA0AB62DC95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2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D1A150-26EE-43F8-BC07-770993E4C2B1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222" name="Group 1">
          <a:extLst>
            <a:ext uri="{FF2B5EF4-FFF2-40B4-BE49-F238E27FC236}">
              <a16:creationId xmlns:a16="http://schemas.microsoft.com/office/drawing/2014/main" id="{3CD2AC51-681E-4699-B886-2045DDBB32C8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223" name="irc_mi" descr="Resultado de imagen para tasa badlar">
            <a:extLst>
              <a:ext uri="{FF2B5EF4-FFF2-40B4-BE49-F238E27FC236}">
                <a16:creationId xmlns:a16="http://schemas.microsoft.com/office/drawing/2014/main" id="{A5232ABB-078B-45EE-B689-0EA5FA9EF8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24" name="3 Imagen">
            <a:extLst>
              <a:ext uri="{FF2B5EF4-FFF2-40B4-BE49-F238E27FC236}">
                <a16:creationId xmlns:a16="http://schemas.microsoft.com/office/drawing/2014/main" id="{25AD3AF8-03F1-4CC1-9D3A-DFD922816906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25" name="5 Conector recto">
            <a:extLst>
              <a:ext uri="{FF2B5EF4-FFF2-40B4-BE49-F238E27FC236}">
                <a16:creationId xmlns:a16="http://schemas.microsoft.com/office/drawing/2014/main" id="{03F24C40-6353-49AD-9E67-71F3A3AB3B20}"/>
              </a:ext>
            </a:extLst>
          </xdr:cNvPr>
          <xdr:cNvCxnSpPr>
            <a:stCxn id="224" idx="3"/>
            <a:endCxn id="22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26" name="Freeform: Shape 5">
          <a:extLst>
            <a:ext uri="{FF2B5EF4-FFF2-40B4-BE49-F238E27FC236}">
              <a16:creationId xmlns:a16="http://schemas.microsoft.com/office/drawing/2014/main" id="{F0E5948E-322C-4F46-A681-9FC0D091B89F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27" name="Freeform: Shape 6">
          <a:extLst>
            <a:ext uri="{FF2B5EF4-FFF2-40B4-BE49-F238E27FC236}">
              <a16:creationId xmlns:a16="http://schemas.microsoft.com/office/drawing/2014/main" id="{BBA198FD-BEA0-4711-A677-FC8D984FECFE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28" name="Freeform: Shape 7">
          <a:extLst>
            <a:ext uri="{FF2B5EF4-FFF2-40B4-BE49-F238E27FC236}">
              <a16:creationId xmlns:a16="http://schemas.microsoft.com/office/drawing/2014/main" id="{0C1A51DF-4E16-46B4-8C3B-A480DEEEA1E8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29" name="Freeform: Shape 8">
          <a:extLst>
            <a:ext uri="{FF2B5EF4-FFF2-40B4-BE49-F238E27FC236}">
              <a16:creationId xmlns:a16="http://schemas.microsoft.com/office/drawing/2014/main" id="{0A1784B9-65D6-4DBE-8052-AC9087028CCF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30" name="Freeform: Shape 9">
          <a:extLst>
            <a:ext uri="{FF2B5EF4-FFF2-40B4-BE49-F238E27FC236}">
              <a16:creationId xmlns:a16="http://schemas.microsoft.com/office/drawing/2014/main" id="{273536B1-6C0D-4269-8915-81371790B0F5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3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9ADDD4-7D5E-42A1-95EE-EC8984808DA1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232" name="Group 1">
          <a:extLst>
            <a:ext uri="{FF2B5EF4-FFF2-40B4-BE49-F238E27FC236}">
              <a16:creationId xmlns:a16="http://schemas.microsoft.com/office/drawing/2014/main" id="{95028B9B-3D2E-44BC-A08D-FF338A014369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233" name="irc_mi" descr="Resultado de imagen para tasa badlar">
            <a:extLst>
              <a:ext uri="{FF2B5EF4-FFF2-40B4-BE49-F238E27FC236}">
                <a16:creationId xmlns:a16="http://schemas.microsoft.com/office/drawing/2014/main" id="{D03BCCD8-7517-4C90-A83F-2F0026E077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34" name="3 Imagen">
            <a:extLst>
              <a:ext uri="{FF2B5EF4-FFF2-40B4-BE49-F238E27FC236}">
                <a16:creationId xmlns:a16="http://schemas.microsoft.com/office/drawing/2014/main" id="{A78F10CD-C91D-4EC3-922B-B714F11F181E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35" name="5 Conector recto">
            <a:extLst>
              <a:ext uri="{FF2B5EF4-FFF2-40B4-BE49-F238E27FC236}">
                <a16:creationId xmlns:a16="http://schemas.microsoft.com/office/drawing/2014/main" id="{5D205710-7871-454A-8173-0E10AD110BAC}"/>
              </a:ext>
            </a:extLst>
          </xdr:cNvPr>
          <xdr:cNvCxnSpPr>
            <a:stCxn id="234" idx="3"/>
            <a:endCxn id="23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36" name="Freeform: Shape 5">
          <a:extLst>
            <a:ext uri="{FF2B5EF4-FFF2-40B4-BE49-F238E27FC236}">
              <a16:creationId xmlns:a16="http://schemas.microsoft.com/office/drawing/2014/main" id="{67419CF9-FA4B-4DC2-883E-932FC5A846FC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37" name="Freeform: Shape 6">
          <a:extLst>
            <a:ext uri="{FF2B5EF4-FFF2-40B4-BE49-F238E27FC236}">
              <a16:creationId xmlns:a16="http://schemas.microsoft.com/office/drawing/2014/main" id="{438F2E4D-1BD3-4CF1-9308-A7EF30CA7582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38" name="Freeform: Shape 7">
          <a:extLst>
            <a:ext uri="{FF2B5EF4-FFF2-40B4-BE49-F238E27FC236}">
              <a16:creationId xmlns:a16="http://schemas.microsoft.com/office/drawing/2014/main" id="{35210E82-6899-4629-BF07-3B46802BA1E5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39" name="Freeform: Shape 8">
          <a:extLst>
            <a:ext uri="{FF2B5EF4-FFF2-40B4-BE49-F238E27FC236}">
              <a16:creationId xmlns:a16="http://schemas.microsoft.com/office/drawing/2014/main" id="{2E294717-499B-49CA-A903-B96CC22EF17B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40" name="Freeform: Shape 9">
          <a:extLst>
            <a:ext uri="{FF2B5EF4-FFF2-40B4-BE49-F238E27FC236}">
              <a16:creationId xmlns:a16="http://schemas.microsoft.com/office/drawing/2014/main" id="{4ECEAA72-795B-4BBF-81CC-6167834F99D1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4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AA06C4-FDCB-456C-B277-A511FF44464B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242" name="Group 1">
          <a:extLst>
            <a:ext uri="{FF2B5EF4-FFF2-40B4-BE49-F238E27FC236}">
              <a16:creationId xmlns:a16="http://schemas.microsoft.com/office/drawing/2014/main" id="{FA01A991-635B-4DB3-88EE-8B604460A1E7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243" name="irc_mi" descr="Resultado de imagen para tasa badlar">
            <a:extLst>
              <a:ext uri="{FF2B5EF4-FFF2-40B4-BE49-F238E27FC236}">
                <a16:creationId xmlns:a16="http://schemas.microsoft.com/office/drawing/2014/main" id="{35FA9767-DB58-4C40-8A22-820DA54C3D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44" name="3 Imagen">
            <a:extLst>
              <a:ext uri="{FF2B5EF4-FFF2-40B4-BE49-F238E27FC236}">
                <a16:creationId xmlns:a16="http://schemas.microsoft.com/office/drawing/2014/main" id="{E39AFC4D-D449-4C7D-8617-54E7FAAFEC72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45" name="5 Conector recto">
            <a:extLst>
              <a:ext uri="{FF2B5EF4-FFF2-40B4-BE49-F238E27FC236}">
                <a16:creationId xmlns:a16="http://schemas.microsoft.com/office/drawing/2014/main" id="{91BA55F6-8D96-4961-964E-32F9CF1B4AF1}"/>
              </a:ext>
            </a:extLst>
          </xdr:cNvPr>
          <xdr:cNvCxnSpPr>
            <a:stCxn id="244" idx="3"/>
            <a:endCxn id="24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46" name="Freeform: Shape 5">
          <a:extLst>
            <a:ext uri="{FF2B5EF4-FFF2-40B4-BE49-F238E27FC236}">
              <a16:creationId xmlns:a16="http://schemas.microsoft.com/office/drawing/2014/main" id="{B37751EE-5BF2-4578-AF67-7A2193FD781F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47" name="Freeform: Shape 6">
          <a:extLst>
            <a:ext uri="{FF2B5EF4-FFF2-40B4-BE49-F238E27FC236}">
              <a16:creationId xmlns:a16="http://schemas.microsoft.com/office/drawing/2014/main" id="{25014F46-9CCE-4964-9A0D-227075E190A0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48" name="Freeform: Shape 7">
          <a:extLst>
            <a:ext uri="{FF2B5EF4-FFF2-40B4-BE49-F238E27FC236}">
              <a16:creationId xmlns:a16="http://schemas.microsoft.com/office/drawing/2014/main" id="{913DA10C-9AA7-4B36-8271-44A066B7917E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49" name="Freeform: Shape 8">
          <a:extLst>
            <a:ext uri="{FF2B5EF4-FFF2-40B4-BE49-F238E27FC236}">
              <a16:creationId xmlns:a16="http://schemas.microsoft.com/office/drawing/2014/main" id="{5F8DDD98-BD80-47A5-8499-1F61A4EAD35E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50" name="Freeform: Shape 9">
          <a:extLst>
            <a:ext uri="{FF2B5EF4-FFF2-40B4-BE49-F238E27FC236}">
              <a16:creationId xmlns:a16="http://schemas.microsoft.com/office/drawing/2014/main" id="{85916850-2E4B-46F1-A81C-EA66BF8B8BE8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5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567530-267F-49BB-99C1-201A2D1C30C4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252" name="Group 1">
          <a:extLst>
            <a:ext uri="{FF2B5EF4-FFF2-40B4-BE49-F238E27FC236}">
              <a16:creationId xmlns:a16="http://schemas.microsoft.com/office/drawing/2014/main" id="{8EBF750C-6600-48EE-90E2-9BDF57631DDC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253" name="irc_mi" descr="Resultado de imagen para tasa badlar">
            <a:extLst>
              <a:ext uri="{FF2B5EF4-FFF2-40B4-BE49-F238E27FC236}">
                <a16:creationId xmlns:a16="http://schemas.microsoft.com/office/drawing/2014/main" id="{5508933E-A72D-4496-978B-0D583F3CEF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54" name="3 Imagen">
            <a:extLst>
              <a:ext uri="{FF2B5EF4-FFF2-40B4-BE49-F238E27FC236}">
                <a16:creationId xmlns:a16="http://schemas.microsoft.com/office/drawing/2014/main" id="{5E849A3D-1AE3-44A7-BB73-8A07AB4AFDC7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55" name="5 Conector recto">
            <a:extLst>
              <a:ext uri="{FF2B5EF4-FFF2-40B4-BE49-F238E27FC236}">
                <a16:creationId xmlns:a16="http://schemas.microsoft.com/office/drawing/2014/main" id="{85A17C4E-D9D7-426B-BC29-6656EA9485ED}"/>
              </a:ext>
            </a:extLst>
          </xdr:cNvPr>
          <xdr:cNvCxnSpPr>
            <a:stCxn id="254" idx="3"/>
            <a:endCxn id="25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56" name="Freeform: Shape 5">
          <a:extLst>
            <a:ext uri="{FF2B5EF4-FFF2-40B4-BE49-F238E27FC236}">
              <a16:creationId xmlns:a16="http://schemas.microsoft.com/office/drawing/2014/main" id="{36ECA387-8D87-4DFD-A174-685E8DDD8C23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57" name="Freeform: Shape 6">
          <a:extLst>
            <a:ext uri="{FF2B5EF4-FFF2-40B4-BE49-F238E27FC236}">
              <a16:creationId xmlns:a16="http://schemas.microsoft.com/office/drawing/2014/main" id="{1CED5362-C066-4061-996C-7BD9436BAD5F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58" name="Freeform: Shape 7">
          <a:extLst>
            <a:ext uri="{FF2B5EF4-FFF2-40B4-BE49-F238E27FC236}">
              <a16:creationId xmlns:a16="http://schemas.microsoft.com/office/drawing/2014/main" id="{573105D5-38A1-460A-88C3-70CDC7735D8F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59" name="Freeform: Shape 8">
          <a:extLst>
            <a:ext uri="{FF2B5EF4-FFF2-40B4-BE49-F238E27FC236}">
              <a16:creationId xmlns:a16="http://schemas.microsoft.com/office/drawing/2014/main" id="{15E734E5-1CD5-4512-AC42-F63FD6A8F67D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60" name="Freeform: Shape 9">
          <a:extLst>
            <a:ext uri="{FF2B5EF4-FFF2-40B4-BE49-F238E27FC236}">
              <a16:creationId xmlns:a16="http://schemas.microsoft.com/office/drawing/2014/main" id="{963D048F-51ED-4672-A5C0-02A23879C5CA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6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5A253D-654A-47FB-8F3E-7D9D54876778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262" name="Group 1">
          <a:extLst>
            <a:ext uri="{FF2B5EF4-FFF2-40B4-BE49-F238E27FC236}">
              <a16:creationId xmlns:a16="http://schemas.microsoft.com/office/drawing/2014/main" id="{2212797B-5837-4D58-B77B-E8B0F48FDF5B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263" name="irc_mi" descr="Resultado de imagen para tasa badlar">
            <a:extLst>
              <a:ext uri="{FF2B5EF4-FFF2-40B4-BE49-F238E27FC236}">
                <a16:creationId xmlns:a16="http://schemas.microsoft.com/office/drawing/2014/main" id="{10A92394-98A9-466C-9D99-2E9765151B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64" name="3 Imagen">
            <a:extLst>
              <a:ext uri="{FF2B5EF4-FFF2-40B4-BE49-F238E27FC236}">
                <a16:creationId xmlns:a16="http://schemas.microsoft.com/office/drawing/2014/main" id="{20E2D90F-6C77-4B43-BB14-23D3D0F27BE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65" name="5 Conector recto">
            <a:extLst>
              <a:ext uri="{FF2B5EF4-FFF2-40B4-BE49-F238E27FC236}">
                <a16:creationId xmlns:a16="http://schemas.microsoft.com/office/drawing/2014/main" id="{21262E0F-81B4-4052-978B-0FCE56643C04}"/>
              </a:ext>
            </a:extLst>
          </xdr:cNvPr>
          <xdr:cNvCxnSpPr>
            <a:stCxn id="264" idx="3"/>
            <a:endCxn id="26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66" name="Freeform: Shape 5">
          <a:extLst>
            <a:ext uri="{FF2B5EF4-FFF2-40B4-BE49-F238E27FC236}">
              <a16:creationId xmlns:a16="http://schemas.microsoft.com/office/drawing/2014/main" id="{3A17D9A2-37A6-4E8D-A846-C022E23A19CD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67" name="Freeform: Shape 6">
          <a:extLst>
            <a:ext uri="{FF2B5EF4-FFF2-40B4-BE49-F238E27FC236}">
              <a16:creationId xmlns:a16="http://schemas.microsoft.com/office/drawing/2014/main" id="{0E78AA1B-85D5-4002-9648-301FC779548D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68" name="Freeform: Shape 7">
          <a:extLst>
            <a:ext uri="{FF2B5EF4-FFF2-40B4-BE49-F238E27FC236}">
              <a16:creationId xmlns:a16="http://schemas.microsoft.com/office/drawing/2014/main" id="{A287C69C-E22C-4C6D-BFD8-69456368402B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69" name="Freeform: Shape 8">
          <a:extLst>
            <a:ext uri="{FF2B5EF4-FFF2-40B4-BE49-F238E27FC236}">
              <a16:creationId xmlns:a16="http://schemas.microsoft.com/office/drawing/2014/main" id="{F573D471-31BA-4082-BB2F-DF5EE461EA2B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70" name="Freeform: Shape 9">
          <a:extLst>
            <a:ext uri="{FF2B5EF4-FFF2-40B4-BE49-F238E27FC236}">
              <a16:creationId xmlns:a16="http://schemas.microsoft.com/office/drawing/2014/main" id="{74CAD10B-F827-4359-8E77-D5CE6283650A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7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C1075A-4703-4EE3-AFEF-DB84A8ACD5C9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272" name="Group 1">
          <a:extLst>
            <a:ext uri="{FF2B5EF4-FFF2-40B4-BE49-F238E27FC236}">
              <a16:creationId xmlns:a16="http://schemas.microsoft.com/office/drawing/2014/main" id="{CC8FA223-BDBD-4276-B13C-0A6DC2466EC6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273" name="irc_mi" descr="Resultado de imagen para tasa badlar">
            <a:extLst>
              <a:ext uri="{FF2B5EF4-FFF2-40B4-BE49-F238E27FC236}">
                <a16:creationId xmlns:a16="http://schemas.microsoft.com/office/drawing/2014/main" id="{66B74EB2-4B9F-4178-8C0D-043832C46B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74" name="3 Imagen">
            <a:extLst>
              <a:ext uri="{FF2B5EF4-FFF2-40B4-BE49-F238E27FC236}">
                <a16:creationId xmlns:a16="http://schemas.microsoft.com/office/drawing/2014/main" id="{C13E495B-0530-4385-82A6-0B3E3110AAB0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75" name="5 Conector recto">
            <a:extLst>
              <a:ext uri="{FF2B5EF4-FFF2-40B4-BE49-F238E27FC236}">
                <a16:creationId xmlns:a16="http://schemas.microsoft.com/office/drawing/2014/main" id="{5C921F95-92AC-494F-90D4-E5306C957389}"/>
              </a:ext>
            </a:extLst>
          </xdr:cNvPr>
          <xdr:cNvCxnSpPr>
            <a:stCxn id="274" idx="3"/>
            <a:endCxn id="27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76" name="Freeform: Shape 5">
          <a:extLst>
            <a:ext uri="{FF2B5EF4-FFF2-40B4-BE49-F238E27FC236}">
              <a16:creationId xmlns:a16="http://schemas.microsoft.com/office/drawing/2014/main" id="{D0544C4E-B238-4A44-B671-0DD4949372EB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77" name="Freeform: Shape 6">
          <a:extLst>
            <a:ext uri="{FF2B5EF4-FFF2-40B4-BE49-F238E27FC236}">
              <a16:creationId xmlns:a16="http://schemas.microsoft.com/office/drawing/2014/main" id="{AA938CD5-FDEB-4618-AA06-AC9443582CA6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78" name="Freeform: Shape 7">
          <a:extLst>
            <a:ext uri="{FF2B5EF4-FFF2-40B4-BE49-F238E27FC236}">
              <a16:creationId xmlns:a16="http://schemas.microsoft.com/office/drawing/2014/main" id="{57915307-0015-44AF-B665-0C75156EE552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79" name="Freeform: Shape 8">
          <a:extLst>
            <a:ext uri="{FF2B5EF4-FFF2-40B4-BE49-F238E27FC236}">
              <a16:creationId xmlns:a16="http://schemas.microsoft.com/office/drawing/2014/main" id="{DFABE1CB-4975-45A7-928B-C09BEA90DCA2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80" name="Freeform: Shape 9">
          <a:extLst>
            <a:ext uri="{FF2B5EF4-FFF2-40B4-BE49-F238E27FC236}">
              <a16:creationId xmlns:a16="http://schemas.microsoft.com/office/drawing/2014/main" id="{96DC81D2-A19F-4DBB-8466-A1C34AD837E0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8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EBE6D7-E44F-4937-AF62-3D8B75761E47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282" name="Group 1">
          <a:extLst>
            <a:ext uri="{FF2B5EF4-FFF2-40B4-BE49-F238E27FC236}">
              <a16:creationId xmlns:a16="http://schemas.microsoft.com/office/drawing/2014/main" id="{145836EA-DCF9-42EC-B1CC-2BBAAFC17AE4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283" name="irc_mi" descr="Resultado de imagen para tasa badlar">
            <a:extLst>
              <a:ext uri="{FF2B5EF4-FFF2-40B4-BE49-F238E27FC236}">
                <a16:creationId xmlns:a16="http://schemas.microsoft.com/office/drawing/2014/main" id="{E78D1D64-BA62-4474-BD38-F96EDC7691C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84" name="3 Imagen">
            <a:extLst>
              <a:ext uri="{FF2B5EF4-FFF2-40B4-BE49-F238E27FC236}">
                <a16:creationId xmlns:a16="http://schemas.microsoft.com/office/drawing/2014/main" id="{D599B2A9-5C0E-4F1D-8BBE-ADA1641AB449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85" name="5 Conector recto">
            <a:extLst>
              <a:ext uri="{FF2B5EF4-FFF2-40B4-BE49-F238E27FC236}">
                <a16:creationId xmlns:a16="http://schemas.microsoft.com/office/drawing/2014/main" id="{F2AAC324-1248-4802-9C3C-8DC0FBD03070}"/>
              </a:ext>
            </a:extLst>
          </xdr:cNvPr>
          <xdr:cNvCxnSpPr>
            <a:stCxn id="284" idx="3"/>
            <a:endCxn id="28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86" name="Freeform: Shape 5">
          <a:extLst>
            <a:ext uri="{FF2B5EF4-FFF2-40B4-BE49-F238E27FC236}">
              <a16:creationId xmlns:a16="http://schemas.microsoft.com/office/drawing/2014/main" id="{45DF069D-54BF-4116-AD6C-37C5DC3CC56C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87" name="Freeform: Shape 6">
          <a:extLst>
            <a:ext uri="{FF2B5EF4-FFF2-40B4-BE49-F238E27FC236}">
              <a16:creationId xmlns:a16="http://schemas.microsoft.com/office/drawing/2014/main" id="{3AF47A7E-642C-4324-B5A5-B963945297B0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88" name="Freeform: Shape 7">
          <a:extLst>
            <a:ext uri="{FF2B5EF4-FFF2-40B4-BE49-F238E27FC236}">
              <a16:creationId xmlns:a16="http://schemas.microsoft.com/office/drawing/2014/main" id="{7FC9A5E3-3C84-4E91-B6F4-34C75C4260B4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89" name="Freeform: Shape 8">
          <a:extLst>
            <a:ext uri="{FF2B5EF4-FFF2-40B4-BE49-F238E27FC236}">
              <a16:creationId xmlns:a16="http://schemas.microsoft.com/office/drawing/2014/main" id="{74D98174-DC7E-489D-B5D6-AE3C48D24D1C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290" name="Freeform: Shape 9">
          <a:extLst>
            <a:ext uri="{FF2B5EF4-FFF2-40B4-BE49-F238E27FC236}">
              <a16:creationId xmlns:a16="http://schemas.microsoft.com/office/drawing/2014/main" id="{3BF81706-ED60-4E41-97E5-55ACD7640671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29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C9C6A6-D5AA-4981-B9BA-C8C94A857013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292" name="Group 1">
          <a:extLst>
            <a:ext uri="{FF2B5EF4-FFF2-40B4-BE49-F238E27FC236}">
              <a16:creationId xmlns:a16="http://schemas.microsoft.com/office/drawing/2014/main" id="{E2B1C099-3504-481A-B509-778ED8787A6E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293" name="irc_mi" descr="Resultado de imagen para tasa badlar">
            <a:extLst>
              <a:ext uri="{FF2B5EF4-FFF2-40B4-BE49-F238E27FC236}">
                <a16:creationId xmlns:a16="http://schemas.microsoft.com/office/drawing/2014/main" id="{BBC407C2-D1AE-4BB2-BCC9-B0787E7CE8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294" name="3 Imagen">
            <a:extLst>
              <a:ext uri="{FF2B5EF4-FFF2-40B4-BE49-F238E27FC236}">
                <a16:creationId xmlns:a16="http://schemas.microsoft.com/office/drawing/2014/main" id="{F6C53BE9-E01D-4BEC-8861-A58408985A36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295" name="5 Conector recto">
            <a:extLst>
              <a:ext uri="{FF2B5EF4-FFF2-40B4-BE49-F238E27FC236}">
                <a16:creationId xmlns:a16="http://schemas.microsoft.com/office/drawing/2014/main" id="{2D4EB739-AA47-40E5-81A7-AC7B1ED726C4}"/>
              </a:ext>
            </a:extLst>
          </xdr:cNvPr>
          <xdr:cNvCxnSpPr>
            <a:stCxn id="294" idx="3"/>
            <a:endCxn id="29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296" name="Freeform: Shape 5">
          <a:extLst>
            <a:ext uri="{FF2B5EF4-FFF2-40B4-BE49-F238E27FC236}">
              <a16:creationId xmlns:a16="http://schemas.microsoft.com/office/drawing/2014/main" id="{994CBFB3-B167-4373-806B-53CD405C078A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297" name="Freeform: Shape 6">
          <a:extLst>
            <a:ext uri="{FF2B5EF4-FFF2-40B4-BE49-F238E27FC236}">
              <a16:creationId xmlns:a16="http://schemas.microsoft.com/office/drawing/2014/main" id="{EA692751-197E-4180-9EBD-95E42011CEBB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298" name="Freeform: Shape 7">
          <a:extLst>
            <a:ext uri="{FF2B5EF4-FFF2-40B4-BE49-F238E27FC236}">
              <a16:creationId xmlns:a16="http://schemas.microsoft.com/office/drawing/2014/main" id="{D910E15C-D4A6-4C3C-820A-96EC371840B0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299" name="Freeform: Shape 8">
          <a:extLst>
            <a:ext uri="{FF2B5EF4-FFF2-40B4-BE49-F238E27FC236}">
              <a16:creationId xmlns:a16="http://schemas.microsoft.com/office/drawing/2014/main" id="{45D3AB54-1F98-491A-9CB1-46F1C2D2F91D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00" name="Freeform: Shape 9">
          <a:extLst>
            <a:ext uri="{FF2B5EF4-FFF2-40B4-BE49-F238E27FC236}">
              <a16:creationId xmlns:a16="http://schemas.microsoft.com/office/drawing/2014/main" id="{DDCC9C19-2D50-4D04-BA0B-48626A3388E4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0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F7565F-7B2C-40E2-83FB-F33755600A95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302" name="Group 1">
          <a:extLst>
            <a:ext uri="{FF2B5EF4-FFF2-40B4-BE49-F238E27FC236}">
              <a16:creationId xmlns:a16="http://schemas.microsoft.com/office/drawing/2014/main" id="{21487D27-A111-410D-AB4A-9B73C6A724D0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303" name="irc_mi" descr="Resultado de imagen para tasa badlar">
            <a:extLst>
              <a:ext uri="{FF2B5EF4-FFF2-40B4-BE49-F238E27FC236}">
                <a16:creationId xmlns:a16="http://schemas.microsoft.com/office/drawing/2014/main" id="{AF4FF97B-A9AD-426A-8A45-67C4B1D91D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04" name="3 Imagen">
            <a:extLst>
              <a:ext uri="{FF2B5EF4-FFF2-40B4-BE49-F238E27FC236}">
                <a16:creationId xmlns:a16="http://schemas.microsoft.com/office/drawing/2014/main" id="{DA2E4310-4689-47DD-856B-34C8C7B4A9DF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05" name="5 Conector recto">
            <a:extLst>
              <a:ext uri="{FF2B5EF4-FFF2-40B4-BE49-F238E27FC236}">
                <a16:creationId xmlns:a16="http://schemas.microsoft.com/office/drawing/2014/main" id="{7F26D65F-880C-408F-90DC-08AD32B5C771}"/>
              </a:ext>
            </a:extLst>
          </xdr:cNvPr>
          <xdr:cNvCxnSpPr>
            <a:stCxn id="304" idx="3"/>
            <a:endCxn id="30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06" name="Freeform: Shape 5">
          <a:extLst>
            <a:ext uri="{FF2B5EF4-FFF2-40B4-BE49-F238E27FC236}">
              <a16:creationId xmlns:a16="http://schemas.microsoft.com/office/drawing/2014/main" id="{A0067325-1CAB-4245-8FD1-DDC002E154CE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07" name="Freeform: Shape 6">
          <a:extLst>
            <a:ext uri="{FF2B5EF4-FFF2-40B4-BE49-F238E27FC236}">
              <a16:creationId xmlns:a16="http://schemas.microsoft.com/office/drawing/2014/main" id="{7D586CFC-234C-4B30-9702-53FEFD6E60A3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08" name="Freeform: Shape 7">
          <a:extLst>
            <a:ext uri="{FF2B5EF4-FFF2-40B4-BE49-F238E27FC236}">
              <a16:creationId xmlns:a16="http://schemas.microsoft.com/office/drawing/2014/main" id="{362C8212-FF82-4112-BF83-0D5E7C1D24E8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09" name="Freeform: Shape 8">
          <a:extLst>
            <a:ext uri="{FF2B5EF4-FFF2-40B4-BE49-F238E27FC236}">
              <a16:creationId xmlns:a16="http://schemas.microsoft.com/office/drawing/2014/main" id="{B796BEF6-1492-489B-8DFB-10161A5829B0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10" name="Freeform: Shape 9">
          <a:extLst>
            <a:ext uri="{FF2B5EF4-FFF2-40B4-BE49-F238E27FC236}">
              <a16:creationId xmlns:a16="http://schemas.microsoft.com/office/drawing/2014/main" id="{2EA73054-782F-4B60-981D-4E485F4B4C16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1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79F927-32F3-42D4-A4F1-A0EB6B15913E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12" name="Group 1">
          <a:extLst>
            <a:ext uri="{FF2B5EF4-FFF2-40B4-BE49-F238E27FC236}">
              <a16:creationId xmlns:a16="http://schemas.microsoft.com/office/drawing/2014/main" id="{397A5A61-335C-4C31-8CBE-660E9F5B41D3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13" name="irc_mi" descr="Resultado de imagen para tasa badlar">
            <a:extLst>
              <a:ext uri="{FF2B5EF4-FFF2-40B4-BE49-F238E27FC236}">
                <a16:creationId xmlns:a16="http://schemas.microsoft.com/office/drawing/2014/main" id="{970E8F83-90A3-4E16-905E-F05C04CFE35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14" name="3 Imagen">
            <a:extLst>
              <a:ext uri="{FF2B5EF4-FFF2-40B4-BE49-F238E27FC236}">
                <a16:creationId xmlns:a16="http://schemas.microsoft.com/office/drawing/2014/main" id="{75320D38-2F0E-4378-B9E0-B92B4B90D3D8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15" name="5 Conector recto">
            <a:extLst>
              <a:ext uri="{FF2B5EF4-FFF2-40B4-BE49-F238E27FC236}">
                <a16:creationId xmlns:a16="http://schemas.microsoft.com/office/drawing/2014/main" id="{7966F4B5-CA76-47C5-9EEB-F209B5AD8E1C}"/>
              </a:ext>
            </a:extLst>
          </xdr:cNvPr>
          <xdr:cNvCxnSpPr>
            <a:stCxn id="314" idx="3"/>
            <a:endCxn id="31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16" name="Freeform: Shape 5">
          <a:extLst>
            <a:ext uri="{FF2B5EF4-FFF2-40B4-BE49-F238E27FC236}">
              <a16:creationId xmlns:a16="http://schemas.microsoft.com/office/drawing/2014/main" id="{9DBE7389-5A4E-471E-AC31-B629945B714F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17" name="Freeform: Shape 6">
          <a:extLst>
            <a:ext uri="{FF2B5EF4-FFF2-40B4-BE49-F238E27FC236}">
              <a16:creationId xmlns:a16="http://schemas.microsoft.com/office/drawing/2014/main" id="{07C004BE-1752-4A81-9C99-EF82E6DBA60E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18" name="Freeform: Shape 7">
          <a:extLst>
            <a:ext uri="{FF2B5EF4-FFF2-40B4-BE49-F238E27FC236}">
              <a16:creationId xmlns:a16="http://schemas.microsoft.com/office/drawing/2014/main" id="{E6479162-E7F0-48F9-8259-CABD4FE69911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19" name="Freeform: Shape 8">
          <a:extLst>
            <a:ext uri="{FF2B5EF4-FFF2-40B4-BE49-F238E27FC236}">
              <a16:creationId xmlns:a16="http://schemas.microsoft.com/office/drawing/2014/main" id="{EA50E66D-C7C7-43F5-90A2-0A2E90880B25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20" name="Freeform: Shape 9">
          <a:extLst>
            <a:ext uri="{FF2B5EF4-FFF2-40B4-BE49-F238E27FC236}">
              <a16:creationId xmlns:a16="http://schemas.microsoft.com/office/drawing/2014/main" id="{46459678-F99D-4CFA-92D6-373A0F677E38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2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3340AA-A1AD-43F1-A038-1919F7929BCF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22" name="Group 1">
          <a:extLst>
            <a:ext uri="{FF2B5EF4-FFF2-40B4-BE49-F238E27FC236}">
              <a16:creationId xmlns:a16="http://schemas.microsoft.com/office/drawing/2014/main" id="{7EB0346A-5C58-4D1F-AA49-CE3D36FF51DC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23" name="irc_mi" descr="Resultado de imagen para tasa badlar">
            <a:extLst>
              <a:ext uri="{FF2B5EF4-FFF2-40B4-BE49-F238E27FC236}">
                <a16:creationId xmlns:a16="http://schemas.microsoft.com/office/drawing/2014/main" id="{9BB5AA80-A160-492D-BA77-788B2A225D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24" name="3 Imagen">
            <a:extLst>
              <a:ext uri="{FF2B5EF4-FFF2-40B4-BE49-F238E27FC236}">
                <a16:creationId xmlns:a16="http://schemas.microsoft.com/office/drawing/2014/main" id="{85BEB91B-0CFB-4D6A-9A94-37AB5F0B84EC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25" name="5 Conector recto">
            <a:extLst>
              <a:ext uri="{FF2B5EF4-FFF2-40B4-BE49-F238E27FC236}">
                <a16:creationId xmlns:a16="http://schemas.microsoft.com/office/drawing/2014/main" id="{5EB149C6-BE92-4B23-AD56-98E1C1E0E670}"/>
              </a:ext>
            </a:extLst>
          </xdr:cNvPr>
          <xdr:cNvCxnSpPr>
            <a:stCxn id="324" idx="3"/>
            <a:endCxn id="32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26" name="Freeform: Shape 5">
          <a:extLst>
            <a:ext uri="{FF2B5EF4-FFF2-40B4-BE49-F238E27FC236}">
              <a16:creationId xmlns:a16="http://schemas.microsoft.com/office/drawing/2014/main" id="{C9110EC2-BBC2-4C89-B861-76AF3773F3D5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27" name="Freeform: Shape 6">
          <a:extLst>
            <a:ext uri="{FF2B5EF4-FFF2-40B4-BE49-F238E27FC236}">
              <a16:creationId xmlns:a16="http://schemas.microsoft.com/office/drawing/2014/main" id="{4B863FD1-D099-48EB-BE3A-FD5B5AFB7ECD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28" name="Freeform: Shape 7">
          <a:extLst>
            <a:ext uri="{FF2B5EF4-FFF2-40B4-BE49-F238E27FC236}">
              <a16:creationId xmlns:a16="http://schemas.microsoft.com/office/drawing/2014/main" id="{63D1D27A-195B-4FE0-B0DD-43CEFB0D6228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29" name="Freeform: Shape 8">
          <a:extLst>
            <a:ext uri="{FF2B5EF4-FFF2-40B4-BE49-F238E27FC236}">
              <a16:creationId xmlns:a16="http://schemas.microsoft.com/office/drawing/2014/main" id="{8690E10D-EACF-40D1-B643-3EBF981D6070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30" name="Freeform: Shape 9">
          <a:extLst>
            <a:ext uri="{FF2B5EF4-FFF2-40B4-BE49-F238E27FC236}">
              <a16:creationId xmlns:a16="http://schemas.microsoft.com/office/drawing/2014/main" id="{F54EA2A7-665B-46B6-B2C2-435E51D9DEA3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3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B6465C-CF40-4F5B-B72F-FA1BC5C5A317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32" name="Group 1">
          <a:extLst>
            <a:ext uri="{FF2B5EF4-FFF2-40B4-BE49-F238E27FC236}">
              <a16:creationId xmlns:a16="http://schemas.microsoft.com/office/drawing/2014/main" id="{4BCCC694-1FD5-485C-A1CA-645DCBE0531C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33" name="irc_mi" descr="Resultado de imagen para tasa badlar">
            <a:extLst>
              <a:ext uri="{FF2B5EF4-FFF2-40B4-BE49-F238E27FC236}">
                <a16:creationId xmlns:a16="http://schemas.microsoft.com/office/drawing/2014/main" id="{15A70008-B696-4D16-9402-A55AB5D975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34" name="3 Imagen">
            <a:extLst>
              <a:ext uri="{FF2B5EF4-FFF2-40B4-BE49-F238E27FC236}">
                <a16:creationId xmlns:a16="http://schemas.microsoft.com/office/drawing/2014/main" id="{0AC86EED-526B-44D1-BC0D-C9908E2A985D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35" name="5 Conector recto">
            <a:extLst>
              <a:ext uri="{FF2B5EF4-FFF2-40B4-BE49-F238E27FC236}">
                <a16:creationId xmlns:a16="http://schemas.microsoft.com/office/drawing/2014/main" id="{266E36BD-105C-460F-8DA4-11D386809382}"/>
              </a:ext>
            </a:extLst>
          </xdr:cNvPr>
          <xdr:cNvCxnSpPr>
            <a:stCxn id="334" idx="3"/>
            <a:endCxn id="33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36" name="Freeform: Shape 5">
          <a:extLst>
            <a:ext uri="{FF2B5EF4-FFF2-40B4-BE49-F238E27FC236}">
              <a16:creationId xmlns:a16="http://schemas.microsoft.com/office/drawing/2014/main" id="{F87831BB-A6E3-4A74-A4BE-332DAE725AF8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37" name="Freeform: Shape 6">
          <a:extLst>
            <a:ext uri="{FF2B5EF4-FFF2-40B4-BE49-F238E27FC236}">
              <a16:creationId xmlns:a16="http://schemas.microsoft.com/office/drawing/2014/main" id="{77A57BB9-36F8-4D53-85AC-98E804DB4125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38" name="Freeform: Shape 7">
          <a:extLst>
            <a:ext uri="{FF2B5EF4-FFF2-40B4-BE49-F238E27FC236}">
              <a16:creationId xmlns:a16="http://schemas.microsoft.com/office/drawing/2014/main" id="{D273864F-3144-4B54-B21B-25FB7DF6092E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39" name="Freeform: Shape 8">
          <a:extLst>
            <a:ext uri="{FF2B5EF4-FFF2-40B4-BE49-F238E27FC236}">
              <a16:creationId xmlns:a16="http://schemas.microsoft.com/office/drawing/2014/main" id="{03C23F98-31CC-4BF6-9FDA-2B3DFCC0080C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40" name="Freeform: Shape 9">
          <a:extLst>
            <a:ext uri="{FF2B5EF4-FFF2-40B4-BE49-F238E27FC236}">
              <a16:creationId xmlns:a16="http://schemas.microsoft.com/office/drawing/2014/main" id="{BE37ACDE-17D9-40FA-8FFF-704D8359AF3A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4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4499BF-FC76-48B2-8AF5-FA72173FF19F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42" name="Group 1">
          <a:extLst>
            <a:ext uri="{FF2B5EF4-FFF2-40B4-BE49-F238E27FC236}">
              <a16:creationId xmlns:a16="http://schemas.microsoft.com/office/drawing/2014/main" id="{0964EA3D-DAD2-4DE4-8641-AF1244BDD6F4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43" name="irc_mi" descr="Resultado de imagen para tasa badlar">
            <a:extLst>
              <a:ext uri="{FF2B5EF4-FFF2-40B4-BE49-F238E27FC236}">
                <a16:creationId xmlns:a16="http://schemas.microsoft.com/office/drawing/2014/main" id="{7C57BCCA-AB82-42DF-9699-7DD40CBC4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44" name="3 Imagen">
            <a:extLst>
              <a:ext uri="{FF2B5EF4-FFF2-40B4-BE49-F238E27FC236}">
                <a16:creationId xmlns:a16="http://schemas.microsoft.com/office/drawing/2014/main" id="{00894A75-BF2F-4EF2-953D-15807934E85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45" name="5 Conector recto">
            <a:extLst>
              <a:ext uri="{FF2B5EF4-FFF2-40B4-BE49-F238E27FC236}">
                <a16:creationId xmlns:a16="http://schemas.microsoft.com/office/drawing/2014/main" id="{0063857F-20CD-4985-BC39-24EAAE680D48}"/>
              </a:ext>
            </a:extLst>
          </xdr:cNvPr>
          <xdr:cNvCxnSpPr>
            <a:stCxn id="344" idx="3"/>
            <a:endCxn id="34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46" name="Freeform: Shape 5">
          <a:extLst>
            <a:ext uri="{FF2B5EF4-FFF2-40B4-BE49-F238E27FC236}">
              <a16:creationId xmlns:a16="http://schemas.microsoft.com/office/drawing/2014/main" id="{764DA023-5FE5-4AE3-8EE8-AA062F14BD42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47" name="Freeform: Shape 6">
          <a:extLst>
            <a:ext uri="{FF2B5EF4-FFF2-40B4-BE49-F238E27FC236}">
              <a16:creationId xmlns:a16="http://schemas.microsoft.com/office/drawing/2014/main" id="{AF06AF08-BA82-4FD5-9B31-F147953CE5C3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48" name="Freeform: Shape 7">
          <a:extLst>
            <a:ext uri="{FF2B5EF4-FFF2-40B4-BE49-F238E27FC236}">
              <a16:creationId xmlns:a16="http://schemas.microsoft.com/office/drawing/2014/main" id="{FD00908C-3877-4B16-BAFE-37A8B8D9F92D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49" name="Freeform: Shape 8">
          <a:extLst>
            <a:ext uri="{FF2B5EF4-FFF2-40B4-BE49-F238E27FC236}">
              <a16:creationId xmlns:a16="http://schemas.microsoft.com/office/drawing/2014/main" id="{372D1CA4-AB32-48E0-8316-3C71CD5A326B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50" name="Freeform: Shape 9">
          <a:extLst>
            <a:ext uri="{FF2B5EF4-FFF2-40B4-BE49-F238E27FC236}">
              <a16:creationId xmlns:a16="http://schemas.microsoft.com/office/drawing/2014/main" id="{855375AD-7CC4-4CE0-86D5-523B841C0D76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5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2B1399-D11E-4AB5-93B3-75F4B170DC78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352" name="Group 1">
          <a:extLst>
            <a:ext uri="{FF2B5EF4-FFF2-40B4-BE49-F238E27FC236}">
              <a16:creationId xmlns:a16="http://schemas.microsoft.com/office/drawing/2014/main" id="{274DF9B0-78D3-4E11-9048-C28E9F1BAD08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353" name="irc_mi" descr="Resultado de imagen para tasa badlar">
            <a:extLst>
              <a:ext uri="{FF2B5EF4-FFF2-40B4-BE49-F238E27FC236}">
                <a16:creationId xmlns:a16="http://schemas.microsoft.com/office/drawing/2014/main" id="{EA035DBA-9DA4-4799-A3B3-3F335B5208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54" name="3 Imagen">
            <a:extLst>
              <a:ext uri="{FF2B5EF4-FFF2-40B4-BE49-F238E27FC236}">
                <a16:creationId xmlns:a16="http://schemas.microsoft.com/office/drawing/2014/main" id="{EED2E59A-3AC8-4A19-BB1A-D824C142565C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55" name="5 Conector recto">
            <a:extLst>
              <a:ext uri="{FF2B5EF4-FFF2-40B4-BE49-F238E27FC236}">
                <a16:creationId xmlns:a16="http://schemas.microsoft.com/office/drawing/2014/main" id="{7A98BADD-D9AA-45A1-8A91-EFB93169F203}"/>
              </a:ext>
            </a:extLst>
          </xdr:cNvPr>
          <xdr:cNvCxnSpPr>
            <a:stCxn id="354" idx="3"/>
            <a:endCxn id="35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56" name="Freeform: Shape 5">
          <a:extLst>
            <a:ext uri="{FF2B5EF4-FFF2-40B4-BE49-F238E27FC236}">
              <a16:creationId xmlns:a16="http://schemas.microsoft.com/office/drawing/2014/main" id="{2A16E7D3-DEB9-4F57-B8B9-8508510A55BF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57" name="Freeform: Shape 6">
          <a:extLst>
            <a:ext uri="{FF2B5EF4-FFF2-40B4-BE49-F238E27FC236}">
              <a16:creationId xmlns:a16="http://schemas.microsoft.com/office/drawing/2014/main" id="{2F93334A-F5FF-4AF8-9745-A8E92EBC4888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58" name="Freeform: Shape 7">
          <a:extLst>
            <a:ext uri="{FF2B5EF4-FFF2-40B4-BE49-F238E27FC236}">
              <a16:creationId xmlns:a16="http://schemas.microsoft.com/office/drawing/2014/main" id="{652CA080-2BC1-4ECB-8B19-621AC5F7184D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59" name="Freeform: Shape 8">
          <a:extLst>
            <a:ext uri="{FF2B5EF4-FFF2-40B4-BE49-F238E27FC236}">
              <a16:creationId xmlns:a16="http://schemas.microsoft.com/office/drawing/2014/main" id="{9A69C07F-0C24-43DC-A55E-73F0BFD5352D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60" name="Freeform: Shape 9">
          <a:extLst>
            <a:ext uri="{FF2B5EF4-FFF2-40B4-BE49-F238E27FC236}">
              <a16:creationId xmlns:a16="http://schemas.microsoft.com/office/drawing/2014/main" id="{E02BD086-C87D-44A7-96E6-71994D8300B8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6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ECA920-5E12-4B8F-9117-DB6C72CEC911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0</xdr:rowOff>
    </xdr:from>
    <xdr:to>
      <xdr:col>5</xdr:col>
      <xdr:colOff>1018490</xdr:colOff>
      <xdr:row>1</xdr:row>
      <xdr:rowOff>0</xdr:rowOff>
    </xdr:to>
    <xdr:grpSp>
      <xdr:nvGrpSpPr>
        <xdr:cNvPr id="362" name="Group 1">
          <a:extLst>
            <a:ext uri="{FF2B5EF4-FFF2-40B4-BE49-F238E27FC236}">
              <a16:creationId xmlns:a16="http://schemas.microsoft.com/office/drawing/2014/main" id="{AFBE3C5F-CD45-4EF6-8F42-EF87AEED29A2}"/>
            </a:ext>
          </a:extLst>
        </xdr:cNvPr>
        <xdr:cNvGrpSpPr/>
      </xdr:nvGrpSpPr>
      <xdr:grpSpPr>
        <a:xfrm>
          <a:off x="199320" y="181429"/>
          <a:ext cx="7622741" cy="0"/>
          <a:chOff x="0" y="400050"/>
          <a:chExt cx="6097604" cy="657226"/>
        </a:xfrm>
      </xdr:grpSpPr>
      <xdr:pic>
        <xdr:nvPicPr>
          <xdr:cNvPr id="363" name="irc_mi" descr="Resultado de imagen para tasa badlar">
            <a:extLst>
              <a:ext uri="{FF2B5EF4-FFF2-40B4-BE49-F238E27FC236}">
                <a16:creationId xmlns:a16="http://schemas.microsoft.com/office/drawing/2014/main" id="{B72046EF-71A8-4075-AEC7-2123EF7059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64" name="3 Imagen">
            <a:extLst>
              <a:ext uri="{FF2B5EF4-FFF2-40B4-BE49-F238E27FC236}">
                <a16:creationId xmlns:a16="http://schemas.microsoft.com/office/drawing/2014/main" id="{EC7C5AD7-E525-444A-A888-61C001E12FF5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65" name="5 Conector recto">
            <a:extLst>
              <a:ext uri="{FF2B5EF4-FFF2-40B4-BE49-F238E27FC236}">
                <a16:creationId xmlns:a16="http://schemas.microsoft.com/office/drawing/2014/main" id="{9DB931CD-7949-4120-85E7-387A687C4286}"/>
              </a:ext>
            </a:extLst>
          </xdr:cNvPr>
          <xdr:cNvCxnSpPr>
            <a:stCxn id="364" idx="3"/>
            <a:endCxn id="36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66" name="Freeform: Shape 5">
          <a:extLst>
            <a:ext uri="{FF2B5EF4-FFF2-40B4-BE49-F238E27FC236}">
              <a16:creationId xmlns:a16="http://schemas.microsoft.com/office/drawing/2014/main" id="{F21F16A6-0D80-4C3A-BF50-93D4086C5327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67" name="Freeform: Shape 6">
          <a:extLst>
            <a:ext uri="{FF2B5EF4-FFF2-40B4-BE49-F238E27FC236}">
              <a16:creationId xmlns:a16="http://schemas.microsoft.com/office/drawing/2014/main" id="{EC75BE1C-40EA-4DDD-8F25-6AD07365533E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68" name="Freeform: Shape 7">
          <a:extLst>
            <a:ext uri="{FF2B5EF4-FFF2-40B4-BE49-F238E27FC236}">
              <a16:creationId xmlns:a16="http://schemas.microsoft.com/office/drawing/2014/main" id="{72CDCD90-3AE0-475C-B56B-E6DEB52B3AEB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69" name="Freeform: Shape 8">
          <a:extLst>
            <a:ext uri="{FF2B5EF4-FFF2-40B4-BE49-F238E27FC236}">
              <a16:creationId xmlns:a16="http://schemas.microsoft.com/office/drawing/2014/main" id="{BB88EA45-8B19-4D7D-8B5C-E96C25BD9318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70" name="Freeform: Shape 9">
          <a:extLst>
            <a:ext uri="{FF2B5EF4-FFF2-40B4-BE49-F238E27FC236}">
              <a16:creationId xmlns:a16="http://schemas.microsoft.com/office/drawing/2014/main" id="{2F0328C1-8059-49B5-8901-D21CDCD04CD0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7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6F61B5-6B14-4D84-B55E-47242E039A7A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72" name="Group 1">
          <a:extLst>
            <a:ext uri="{FF2B5EF4-FFF2-40B4-BE49-F238E27FC236}">
              <a16:creationId xmlns:a16="http://schemas.microsoft.com/office/drawing/2014/main" id="{6714A23F-FCF8-4CF8-8BBB-069525BF3D90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73" name="irc_mi" descr="Resultado de imagen para tasa badlar">
            <a:extLst>
              <a:ext uri="{FF2B5EF4-FFF2-40B4-BE49-F238E27FC236}">
                <a16:creationId xmlns:a16="http://schemas.microsoft.com/office/drawing/2014/main" id="{9AADFB6E-2340-44B9-B87C-200183E3CE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74" name="3 Imagen">
            <a:extLst>
              <a:ext uri="{FF2B5EF4-FFF2-40B4-BE49-F238E27FC236}">
                <a16:creationId xmlns:a16="http://schemas.microsoft.com/office/drawing/2014/main" id="{CD4B0533-8E70-4243-ABB8-5B687021A838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75" name="5 Conector recto">
            <a:extLst>
              <a:ext uri="{FF2B5EF4-FFF2-40B4-BE49-F238E27FC236}">
                <a16:creationId xmlns:a16="http://schemas.microsoft.com/office/drawing/2014/main" id="{6F123525-272B-47FD-9C28-5BCFA760423B}"/>
              </a:ext>
            </a:extLst>
          </xdr:cNvPr>
          <xdr:cNvCxnSpPr>
            <a:stCxn id="374" idx="3"/>
            <a:endCxn id="37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76" name="Freeform: Shape 5">
          <a:extLst>
            <a:ext uri="{FF2B5EF4-FFF2-40B4-BE49-F238E27FC236}">
              <a16:creationId xmlns:a16="http://schemas.microsoft.com/office/drawing/2014/main" id="{643C5A39-6FEA-4E43-B9F1-F1DFA2F4DDA4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77" name="Freeform: Shape 6">
          <a:extLst>
            <a:ext uri="{FF2B5EF4-FFF2-40B4-BE49-F238E27FC236}">
              <a16:creationId xmlns:a16="http://schemas.microsoft.com/office/drawing/2014/main" id="{C223C81A-F06A-4BED-958C-3078A352921A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78" name="Freeform: Shape 7">
          <a:extLst>
            <a:ext uri="{FF2B5EF4-FFF2-40B4-BE49-F238E27FC236}">
              <a16:creationId xmlns:a16="http://schemas.microsoft.com/office/drawing/2014/main" id="{2C38CA71-AF61-4F2D-929F-FCBF45BAAFB6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79" name="Freeform: Shape 8">
          <a:extLst>
            <a:ext uri="{FF2B5EF4-FFF2-40B4-BE49-F238E27FC236}">
              <a16:creationId xmlns:a16="http://schemas.microsoft.com/office/drawing/2014/main" id="{9F7750EE-E62B-46B5-95A0-45C7AEBF43A9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80" name="Freeform: Shape 9">
          <a:extLst>
            <a:ext uri="{FF2B5EF4-FFF2-40B4-BE49-F238E27FC236}">
              <a16:creationId xmlns:a16="http://schemas.microsoft.com/office/drawing/2014/main" id="{20ACE1CF-122A-446C-877A-A007C048811B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8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DDA45F-6066-4258-A27A-5DB8DA7267DF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82" name="Group 1">
          <a:extLst>
            <a:ext uri="{FF2B5EF4-FFF2-40B4-BE49-F238E27FC236}">
              <a16:creationId xmlns:a16="http://schemas.microsoft.com/office/drawing/2014/main" id="{0136C307-259F-4322-8D53-24E30B47594D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83" name="irc_mi" descr="Resultado de imagen para tasa badlar">
            <a:extLst>
              <a:ext uri="{FF2B5EF4-FFF2-40B4-BE49-F238E27FC236}">
                <a16:creationId xmlns:a16="http://schemas.microsoft.com/office/drawing/2014/main" id="{9AB2A64C-78DF-43C5-8B80-BBCC8B8FB8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84" name="3 Imagen">
            <a:extLst>
              <a:ext uri="{FF2B5EF4-FFF2-40B4-BE49-F238E27FC236}">
                <a16:creationId xmlns:a16="http://schemas.microsoft.com/office/drawing/2014/main" id="{D4D42BCF-6302-4532-B70A-963656901CD6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85" name="5 Conector recto">
            <a:extLst>
              <a:ext uri="{FF2B5EF4-FFF2-40B4-BE49-F238E27FC236}">
                <a16:creationId xmlns:a16="http://schemas.microsoft.com/office/drawing/2014/main" id="{71799335-BE20-4C45-9BDA-338C879DA0A0}"/>
              </a:ext>
            </a:extLst>
          </xdr:cNvPr>
          <xdr:cNvCxnSpPr>
            <a:stCxn id="384" idx="3"/>
            <a:endCxn id="38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86" name="Freeform: Shape 5">
          <a:extLst>
            <a:ext uri="{FF2B5EF4-FFF2-40B4-BE49-F238E27FC236}">
              <a16:creationId xmlns:a16="http://schemas.microsoft.com/office/drawing/2014/main" id="{31343204-760A-485D-B5CE-371A93414410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87" name="Freeform: Shape 6">
          <a:extLst>
            <a:ext uri="{FF2B5EF4-FFF2-40B4-BE49-F238E27FC236}">
              <a16:creationId xmlns:a16="http://schemas.microsoft.com/office/drawing/2014/main" id="{5AA422C3-3A71-4F4E-BD19-3FB4DF4943FD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88" name="Freeform: Shape 7">
          <a:extLst>
            <a:ext uri="{FF2B5EF4-FFF2-40B4-BE49-F238E27FC236}">
              <a16:creationId xmlns:a16="http://schemas.microsoft.com/office/drawing/2014/main" id="{BDCF5C00-EBE2-4BF5-A7D5-05C94449DA3F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89" name="Freeform: Shape 8">
          <a:extLst>
            <a:ext uri="{FF2B5EF4-FFF2-40B4-BE49-F238E27FC236}">
              <a16:creationId xmlns:a16="http://schemas.microsoft.com/office/drawing/2014/main" id="{A6311FCE-EA39-435E-B7CE-424D8BB5299A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390" name="Freeform: Shape 9">
          <a:extLst>
            <a:ext uri="{FF2B5EF4-FFF2-40B4-BE49-F238E27FC236}">
              <a16:creationId xmlns:a16="http://schemas.microsoft.com/office/drawing/2014/main" id="{405D8C44-CC1F-45E9-B2F4-7D3D3BAC75F6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39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82E73E-C32C-48F0-8831-F79B8AE3F30B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392" name="Group 1">
          <a:extLst>
            <a:ext uri="{FF2B5EF4-FFF2-40B4-BE49-F238E27FC236}">
              <a16:creationId xmlns:a16="http://schemas.microsoft.com/office/drawing/2014/main" id="{C156692E-FB07-4F33-8689-33149CD8D28A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393" name="irc_mi" descr="Resultado de imagen para tasa badlar">
            <a:extLst>
              <a:ext uri="{FF2B5EF4-FFF2-40B4-BE49-F238E27FC236}">
                <a16:creationId xmlns:a16="http://schemas.microsoft.com/office/drawing/2014/main" id="{EEE89E8E-A8C6-4EA8-8033-6384B4D5AF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394" name="3 Imagen">
            <a:extLst>
              <a:ext uri="{FF2B5EF4-FFF2-40B4-BE49-F238E27FC236}">
                <a16:creationId xmlns:a16="http://schemas.microsoft.com/office/drawing/2014/main" id="{7E003A84-11ED-4B4D-85F9-5D4C96F7AD62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395" name="5 Conector recto">
            <a:extLst>
              <a:ext uri="{FF2B5EF4-FFF2-40B4-BE49-F238E27FC236}">
                <a16:creationId xmlns:a16="http://schemas.microsoft.com/office/drawing/2014/main" id="{A0C8743E-1A1A-4741-8CD0-B007F29323D3}"/>
              </a:ext>
            </a:extLst>
          </xdr:cNvPr>
          <xdr:cNvCxnSpPr>
            <a:stCxn id="394" idx="3"/>
            <a:endCxn id="39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396" name="Freeform: Shape 5">
          <a:extLst>
            <a:ext uri="{FF2B5EF4-FFF2-40B4-BE49-F238E27FC236}">
              <a16:creationId xmlns:a16="http://schemas.microsoft.com/office/drawing/2014/main" id="{BDC25015-AD93-4712-B658-DB8B0E80D239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397" name="Freeform: Shape 6">
          <a:extLst>
            <a:ext uri="{FF2B5EF4-FFF2-40B4-BE49-F238E27FC236}">
              <a16:creationId xmlns:a16="http://schemas.microsoft.com/office/drawing/2014/main" id="{B2F578D8-F453-44AD-82B9-C533BF77E17A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398" name="Freeform: Shape 7">
          <a:extLst>
            <a:ext uri="{FF2B5EF4-FFF2-40B4-BE49-F238E27FC236}">
              <a16:creationId xmlns:a16="http://schemas.microsoft.com/office/drawing/2014/main" id="{72E9CF3C-020E-406D-ABC3-F8240A92143C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399" name="Freeform: Shape 8">
          <a:extLst>
            <a:ext uri="{FF2B5EF4-FFF2-40B4-BE49-F238E27FC236}">
              <a16:creationId xmlns:a16="http://schemas.microsoft.com/office/drawing/2014/main" id="{8F9D8F86-C883-4982-87BA-24C38F66A1B9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00" name="Freeform: Shape 9">
          <a:extLst>
            <a:ext uri="{FF2B5EF4-FFF2-40B4-BE49-F238E27FC236}">
              <a16:creationId xmlns:a16="http://schemas.microsoft.com/office/drawing/2014/main" id="{3F1F2EDD-DBD4-4337-914A-C1F614B5401F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0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A06E0C-E34D-4226-BE5C-6C41196A89B6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402" name="Group 1">
          <a:extLst>
            <a:ext uri="{FF2B5EF4-FFF2-40B4-BE49-F238E27FC236}">
              <a16:creationId xmlns:a16="http://schemas.microsoft.com/office/drawing/2014/main" id="{F8CC308D-06E6-4A6D-AFD6-BC5A36DE1665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403" name="irc_mi" descr="Resultado de imagen para tasa badlar">
            <a:extLst>
              <a:ext uri="{FF2B5EF4-FFF2-40B4-BE49-F238E27FC236}">
                <a16:creationId xmlns:a16="http://schemas.microsoft.com/office/drawing/2014/main" id="{7568A00F-4075-4EC3-B910-206D2FB6F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04" name="3 Imagen">
            <a:extLst>
              <a:ext uri="{FF2B5EF4-FFF2-40B4-BE49-F238E27FC236}">
                <a16:creationId xmlns:a16="http://schemas.microsoft.com/office/drawing/2014/main" id="{DE492097-B269-4086-B0D7-E31467D8AE3F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405" name="5 Conector recto">
            <a:extLst>
              <a:ext uri="{FF2B5EF4-FFF2-40B4-BE49-F238E27FC236}">
                <a16:creationId xmlns:a16="http://schemas.microsoft.com/office/drawing/2014/main" id="{08B2E208-77DE-41C5-B7CD-EF8AE9E02433}"/>
              </a:ext>
            </a:extLst>
          </xdr:cNvPr>
          <xdr:cNvCxnSpPr>
            <a:stCxn id="404" idx="3"/>
            <a:endCxn id="40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406" name="Freeform: Shape 5">
          <a:extLst>
            <a:ext uri="{FF2B5EF4-FFF2-40B4-BE49-F238E27FC236}">
              <a16:creationId xmlns:a16="http://schemas.microsoft.com/office/drawing/2014/main" id="{BCE9D518-656E-4279-AF3F-978639BB2ED4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407" name="Freeform: Shape 6">
          <a:extLst>
            <a:ext uri="{FF2B5EF4-FFF2-40B4-BE49-F238E27FC236}">
              <a16:creationId xmlns:a16="http://schemas.microsoft.com/office/drawing/2014/main" id="{ADF4E283-EC35-4BF1-AF9A-D4AEB2E709DC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408" name="Freeform: Shape 7">
          <a:extLst>
            <a:ext uri="{FF2B5EF4-FFF2-40B4-BE49-F238E27FC236}">
              <a16:creationId xmlns:a16="http://schemas.microsoft.com/office/drawing/2014/main" id="{6040FE51-9902-49D8-8A21-7E54995CA5A8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409" name="Freeform: Shape 8">
          <a:extLst>
            <a:ext uri="{FF2B5EF4-FFF2-40B4-BE49-F238E27FC236}">
              <a16:creationId xmlns:a16="http://schemas.microsoft.com/office/drawing/2014/main" id="{CA7CE798-86E4-424D-A900-9FD0355F43F5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10" name="Freeform: Shape 9">
          <a:extLst>
            <a:ext uri="{FF2B5EF4-FFF2-40B4-BE49-F238E27FC236}">
              <a16:creationId xmlns:a16="http://schemas.microsoft.com/office/drawing/2014/main" id="{D8461D23-F214-4C1A-909F-62A0C04AA7E2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1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6C9C19-DD4F-47B9-9FD1-FF999A73A721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412" name="Group 1">
          <a:extLst>
            <a:ext uri="{FF2B5EF4-FFF2-40B4-BE49-F238E27FC236}">
              <a16:creationId xmlns:a16="http://schemas.microsoft.com/office/drawing/2014/main" id="{BD01193D-768C-4246-AF1C-4F99FC6BE0C6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413" name="irc_mi" descr="Resultado de imagen para tasa badlar">
            <a:extLst>
              <a:ext uri="{FF2B5EF4-FFF2-40B4-BE49-F238E27FC236}">
                <a16:creationId xmlns:a16="http://schemas.microsoft.com/office/drawing/2014/main" id="{AD1EC535-3144-40E0-9FDA-1311222B50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14" name="3 Imagen">
            <a:extLst>
              <a:ext uri="{FF2B5EF4-FFF2-40B4-BE49-F238E27FC236}">
                <a16:creationId xmlns:a16="http://schemas.microsoft.com/office/drawing/2014/main" id="{927A5271-8808-4B0A-A141-981240B5CD8E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415" name="5 Conector recto">
            <a:extLst>
              <a:ext uri="{FF2B5EF4-FFF2-40B4-BE49-F238E27FC236}">
                <a16:creationId xmlns:a16="http://schemas.microsoft.com/office/drawing/2014/main" id="{A0B0A094-9ACD-448A-83D0-2BA500C544E9}"/>
              </a:ext>
            </a:extLst>
          </xdr:cNvPr>
          <xdr:cNvCxnSpPr>
            <a:stCxn id="414" idx="3"/>
            <a:endCxn id="41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416" name="Freeform: Shape 5">
          <a:extLst>
            <a:ext uri="{FF2B5EF4-FFF2-40B4-BE49-F238E27FC236}">
              <a16:creationId xmlns:a16="http://schemas.microsoft.com/office/drawing/2014/main" id="{E2CE7C8E-4E8D-4BFE-9467-ED7EA3F1C3E4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417" name="Freeform: Shape 6">
          <a:extLst>
            <a:ext uri="{FF2B5EF4-FFF2-40B4-BE49-F238E27FC236}">
              <a16:creationId xmlns:a16="http://schemas.microsoft.com/office/drawing/2014/main" id="{79430E97-D927-4494-B859-7A2E0E0B7B3D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418" name="Freeform: Shape 7">
          <a:extLst>
            <a:ext uri="{FF2B5EF4-FFF2-40B4-BE49-F238E27FC236}">
              <a16:creationId xmlns:a16="http://schemas.microsoft.com/office/drawing/2014/main" id="{705087C1-E61F-4C14-99A8-8EDE7047A10B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419" name="Freeform: Shape 8">
          <a:extLst>
            <a:ext uri="{FF2B5EF4-FFF2-40B4-BE49-F238E27FC236}">
              <a16:creationId xmlns:a16="http://schemas.microsoft.com/office/drawing/2014/main" id="{CF95BADB-5237-4FEB-BF93-56007ACD7845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20" name="Freeform: Shape 9">
          <a:extLst>
            <a:ext uri="{FF2B5EF4-FFF2-40B4-BE49-F238E27FC236}">
              <a16:creationId xmlns:a16="http://schemas.microsoft.com/office/drawing/2014/main" id="{BC886733-5A2A-4C0D-AE38-E653D04AB089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2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F030E1-166D-4930-85FD-42D7864E2E62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422" name="Group 1">
          <a:extLst>
            <a:ext uri="{FF2B5EF4-FFF2-40B4-BE49-F238E27FC236}">
              <a16:creationId xmlns:a16="http://schemas.microsoft.com/office/drawing/2014/main" id="{F79BE333-AC67-41A8-819A-220E921B7B1A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423" name="irc_mi" descr="Resultado de imagen para tasa badlar">
            <a:extLst>
              <a:ext uri="{FF2B5EF4-FFF2-40B4-BE49-F238E27FC236}">
                <a16:creationId xmlns:a16="http://schemas.microsoft.com/office/drawing/2014/main" id="{07BD663C-A63E-42B2-BDA7-41F6C135C43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24" name="3 Imagen">
            <a:extLst>
              <a:ext uri="{FF2B5EF4-FFF2-40B4-BE49-F238E27FC236}">
                <a16:creationId xmlns:a16="http://schemas.microsoft.com/office/drawing/2014/main" id="{3189FF88-658A-4D9A-BB4E-626732D79642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425" name="5 Conector recto">
            <a:extLst>
              <a:ext uri="{FF2B5EF4-FFF2-40B4-BE49-F238E27FC236}">
                <a16:creationId xmlns:a16="http://schemas.microsoft.com/office/drawing/2014/main" id="{26D24A37-D07E-4FE4-8E3D-9FD35C1B881E}"/>
              </a:ext>
            </a:extLst>
          </xdr:cNvPr>
          <xdr:cNvCxnSpPr>
            <a:stCxn id="424" idx="3"/>
            <a:endCxn id="42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426" name="Freeform: Shape 5">
          <a:extLst>
            <a:ext uri="{FF2B5EF4-FFF2-40B4-BE49-F238E27FC236}">
              <a16:creationId xmlns:a16="http://schemas.microsoft.com/office/drawing/2014/main" id="{DD63924A-6439-4970-A60D-0A0588E151C2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427" name="Freeform: Shape 6">
          <a:extLst>
            <a:ext uri="{FF2B5EF4-FFF2-40B4-BE49-F238E27FC236}">
              <a16:creationId xmlns:a16="http://schemas.microsoft.com/office/drawing/2014/main" id="{92478ABD-E467-4BB0-A85D-0814B7B04D14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428" name="Freeform: Shape 7">
          <a:extLst>
            <a:ext uri="{FF2B5EF4-FFF2-40B4-BE49-F238E27FC236}">
              <a16:creationId xmlns:a16="http://schemas.microsoft.com/office/drawing/2014/main" id="{5FCCFA8B-14C9-4628-B252-C3F76B9C9F89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429" name="Freeform: Shape 8">
          <a:extLst>
            <a:ext uri="{FF2B5EF4-FFF2-40B4-BE49-F238E27FC236}">
              <a16:creationId xmlns:a16="http://schemas.microsoft.com/office/drawing/2014/main" id="{8CF6B29E-37FF-4624-BE49-80C026400E2A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30" name="Freeform: Shape 9">
          <a:extLst>
            <a:ext uri="{FF2B5EF4-FFF2-40B4-BE49-F238E27FC236}">
              <a16:creationId xmlns:a16="http://schemas.microsoft.com/office/drawing/2014/main" id="{CD469CF0-F624-4ED7-B752-A4A9EE6913DE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3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E82409-2C41-41AA-A242-B5DFA608F266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432" name="Group 1">
          <a:extLst>
            <a:ext uri="{FF2B5EF4-FFF2-40B4-BE49-F238E27FC236}">
              <a16:creationId xmlns:a16="http://schemas.microsoft.com/office/drawing/2014/main" id="{1847590C-0307-4A99-8352-774A1AF4A2AF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433" name="irc_mi" descr="Resultado de imagen para tasa badlar">
            <a:extLst>
              <a:ext uri="{FF2B5EF4-FFF2-40B4-BE49-F238E27FC236}">
                <a16:creationId xmlns:a16="http://schemas.microsoft.com/office/drawing/2014/main" id="{CBAB5A6D-7B34-49CD-964E-8A5FF340A6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34" name="3 Imagen">
            <a:extLst>
              <a:ext uri="{FF2B5EF4-FFF2-40B4-BE49-F238E27FC236}">
                <a16:creationId xmlns:a16="http://schemas.microsoft.com/office/drawing/2014/main" id="{CFC884B5-BE71-45C3-9E91-A75F12135C66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435" name="5 Conector recto">
            <a:extLst>
              <a:ext uri="{FF2B5EF4-FFF2-40B4-BE49-F238E27FC236}">
                <a16:creationId xmlns:a16="http://schemas.microsoft.com/office/drawing/2014/main" id="{5C5E5DD6-F743-4478-A43B-01AB108BF037}"/>
              </a:ext>
            </a:extLst>
          </xdr:cNvPr>
          <xdr:cNvCxnSpPr>
            <a:stCxn id="434" idx="3"/>
            <a:endCxn id="43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436" name="Freeform: Shape 5">
          <a:extLst>
            <a:ext uri="{FF2B5EF4-FFF2-40B4-BE49-F238E27FC236}">
              <a16:creationId xmlns:a16="http://schemas.microsoft.com/office/drawing/2014/main" id="{DF5C4938-524C-4A52-A0F1-E6B628B170A4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437" name="Freeform: Shape 6">
          <a:extLst>
            <a:ext uri="{FF2B5EF4-FFF2-40B4-BE49-F238E27FC236}">
              <a16:creationId xmlns:a16="http://schemas.microsoft.com/office/drawing/2014/main" id="{89CF8B9A-C084-451E-8B0B-AD8B5AF3C8F4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438" name="Freeform: Shape 7">
          <a:extLst>
            <a:ext uri="{FF2B5EF4-FFF2-40B4-BE49-F238E27FC236}">
              <a16:creationId xmlns:a16="http://schemas.microsoft.com/office/drawing/2014/main" id="{168465F7-17AC-4D6C-A92D-BDA78E6D0B19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439" name="Freeform: Shape 8">
          <a:extLst>
            <a:ext uri="{FF2B5EF4-FFF2-40B4-BE49-F238E27FC236}">
              <a16:creationId xmlns:a16="http://schemas.microsoft.com/office/drawing/2014/main" id="{1C3A46A4-2424-4498-A2E9-B6D68C0CC1E4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40" name="Freeform: Shape 9">
          <a:extLst>
            <a:ext uri="{FF2B5EF4-FFF2-40B4-BE49-F238E27FC236}">
              <a16:creationId xmlns:a16="http://schemas.microsoft.com/office/drawing/2014/main" id="{8EA3CF52-281E-4C76-9BA7-F363858ED27D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4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0F040B-2003-4B73-ACD4-3DFB053CEEE2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</xdr:col>
      <xdr:colOff>199320</xdr:colOff>
      <xdr:row>1</xdr:row>
      <xdr:rowOff>199676</xdr:rowOff>
    </xdr:from>
    <xdr:to>
      <xdr:col>5</xdr:col>
      <xdr:colOff>1018490</xdr:colOff>
      <xdr:row>1</xdr:row>
      <xdr:rowOff>844202</xdr:rowOff>
    </xdr:to>
    <xdr:grpSp>
      <xdr:nvGrpSpPr>
        <xdr:cNvPr id="442" name="Group 1">
          <a:extLst>
            <a:ext uri="{FF2B5EF4-FFF2-40B4-BE49-F238E27FC236}">
              <a16:creationId xmlns:a16="http://schemas.microsoft.com/office/drawing/2014/main" id="{9DBB0EF7-8A62-49CE-AA68-E4E38D5F3723}"/>
            </a:ext>
          </a:extLst>
        </xdr:cNvPr>
        <xdr:cNvGrpSpPr/>
      </xdr:nvGrpSpPr>
      <xdr:grpSpPr>
        <a:xfrm>
          <a:off x="199320" y="381105"/>
          <a:ext cx="7622741" cy="644526"/>
          <a:chOff x="0" y="400050"/>
          <a:chExt cx="6097604" cy="657226"/>
        </a:xfrm>
      </xdr:grpSpPr>
      <xdr:pic>
        <xdr:nvPicPr>
          <xdr:cNvPr id="443" name="irc_mi" descr="Resultado de imagen para tasa badlar">
            <a:extLst>
              <a:ext uri="{FF2B5EF4-FFF2-40B4-BE49-F238E27FC236}">
                <a16:creationId xmlns:a16="http://schemas.microsoft.com/office/drawing/2014/main" id="{23A632C8-4587-4BC3-AE7A-17F7F0F59A5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31871" y="400050"/>
            <a:ext cx="1365733" cy="657226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pic>
        <xdr:nvPicPr>
          <xdr:cNvPr id="444" name="3 Imagen">
            <a:extLst>
              <a:ext uri="{FF2B5EF4-FFF2-40B4-BE49-F238E27FC236}">
                <a16:creationId xmlns:a16="http://schemas.microsoft.com/office/drawing/2014/main" id="{4734649B-EABC-45EF-8B67-0D5B50253189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07535"/>
            <a:ext cx="1376137" cy="642257"/>
          </a:xfrm>
          <a:prstGeom prst="roundRect">
            <a:avLst>
              <a:gd name="adj" fmla="val 8594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>
            <a:reflection blurRad="12700" stA="38000" endPos="28000" dist="5000" dir="5400000" sy="-100000" algn="bl" rotWithShape="0"/>
          </a:effectLst>
        </xdr:spPr>
      </xdr:pic>
      <xdr:cxnSp macro="">
        <xdr:nvCxnSpPr>
          <xdr:cNvPr id="445" name="5 Conector recto">
            <a:extLst>
              <a:ext uri="{FF2B5EF4-FFF2-40B4-BE49-F238E27FC236}">
                <a16:creationId xmlns:a16="http://schemas.microsoft.com/office/drawing/2014/main" id="{8F211D69-3F56-49AA-905F-9209CC3C372C}"/>
              </a:ext>
            </a:extLst>
          </xdr:cNvPr>
          <xdr:cNvCxnSpPr>
            <a:stCxn id="444" idx="3"/>
            <a:endCxn id="443" idx="1"/>
          </xdr:cNvCxnSpPr>
        </xdr:nvCxnSpPr>
        <xdr:spPr>
          <a:xfrm flipV="1">
            <a:off x="1376137" y="728663"/>
            <a:ext cx="3355734" cy="1"/>
          </a:xfrm>
          <a:prstGeom prst="line">
            <a:avLst/>
          </a:prstGeom>
          <a:ln w="952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657677</xdr:colOff>
      <xdr:row>6</xdr:row>
      <xdr:rowOff>148168</xdr:rowOff>
    </xdr:from>
    <xdr:to>
      <xdr:col>2</xdr:col>
      <xdr:colOff>684835</xdr:colOff>
      <xdr:row>9</xdr:row>
      <xdr:rowOff>176507</xdr:rowOff>
    </xdr:to>
    <xdr:sp macro="" textlink="">
      <xdr:nvSpPr>
        <xdr:cNvPr id="446" name="Freeform: Shape 5">
          <a:extLst>
            <a:ext uri="{FF2B5EF4-FFF2-40B4-BE49-F238E27FC236}">
              <a16:creationId xmlns:a16="http://schemas.microsoft.com/office/drawing/2014/main" id="{26C76D16-C1A8-4066-87C7-A90C43D1B380}"/>
            </a:ext>
          </a:extLst>
        </xdr:cNvPr>
        <xdr:cNvSpPr/>
      </xdr:nvSpPr>
      <xdr:spPr>
        <a:xfrm>
          <a:off x="657677" y="2269068"/>
          <a:ext cx="129080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CCECF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Valores de Indicadores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829018</xdr:colOff>
      <xdr:row>6</xdr:row>
      <xdr:rowOff>148168</xdr:rowOff>
    </xdr:from>
    <xdr:to>
      <xdr:col>3</xdr:col>
      <xdr:colOff>484247</xdr:colOff>
      <xdr:row>9</xdr:row>
      <xdr:rowOff>176507</xdr:rowOff>
    </xdr:to>
    <xdr:sp macro="" textlink="">
      <xdr:nvSpPr>
        <xdr:cNvPr id="447" name="Freeform: Shape 6">
          <a:extLst>
            <a:ext uri="{FF2B5EF4-FFF2-40B4-BE49-F238E27FC236}">
              <a16:creationId xmlns:a16="http://schemas.microsoft.com/office/drawing/2014/main" id="{25D578A8-30B2-4F70-ABE7-4DD8B06A48FA}"/>
            </a:ext>
          </a:extLst>
        </xdr:cNvPr>
        <xdr:cNvSpPr/>
      </xdr:nvSpPr>
      <xdr:spPr>
        <a:xfrm>
          <a:off x="2092668" y="2269068"/>
          <a:ext cx="1865029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CE4D6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Datos Provisorios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628430</xdr:colOff>
      <xdr:row>6</xdr:row>
      <xdr:rowOff>148168</xdr:rowOff>
    </xdr:from>
    <xdr:to>
      <xdr:col>4</xdr:col>
      <xdr:colOff>282148</xdr:colOff>
      <xdr:row>9</xdr:row>
      <xdr:rowOff>176507</xdr:rowOff>
    </xdr:to>
    <xdr:sp macro="" textlink="">
      <xdr:nvSpPr>
        <xdr:cNvPr id="448" name="Freeform: Shape 7">
          <a:extLst>
            <a:ext uri="{FF2B5EF4-FFF2-40B4-BE49-F238E27FC236}">
              <a16:creationId xmlns:a16="http://schemas.microsoft.com/office/drawing/2014/main" id="{D2D37728-51C6-4806-BFE3-6A5CFF3A34BD}"/>
            </a:ext>
          </a:extLst>
        </xdr:cNvPr>
        <xdr:cNvSpPr/>
      </xdr:nvSpPr>
      <xdr:spPr>
        <a:xfrm>
          <a:off x="4101880" y="2269068"/>
          <a:ext cx="1990518" cy="422039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FFF7DF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Campos</a:t>
          </a:r>
          <a:r>
            <a:rPr lang="es-ES" sz="1100" b="1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 para el Ingreso de Datos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31691</xdr:colOff>
      <xdr:row>9</xdr:row>
      <xdr:rowOff>241855</xdr:rowOff>
    </xdr:from>
    <xdr:to>
      <xdr:col>2</xdr:col>
      <xdr:colOff>1477016</xdr:colOff>
      <xdr:row>10</xdr:row>
      <xdr:rowOff>190063</xdr:rowOff>
    </xdr:to>
    <xdr:sp macro="" textlink="">
      <xdr:nvSpPr>
        <xdr:cNvPr id="449" name="Freeform: Shape 8">
          <a:extLst>
            <a:ext uri="{FF2B5EF4-FFF2-40B4-BE49-F238E27FC236}">
              <a16:creationId xmlns:a16="http://schemas.microsoft.com/office/drawing/2014/main" id="{5A72DA09-4176-453E-8AE5-D63A41261BA3}"/>
            </a:ext>
          </a:extLst>
        </xdr:cNvPr>
        <xdr:cNvSpPr/>
      </xdr:nvSpPr>
      <xdr:spPr>
        <a:xfrm>
          <a:off x="1295341" y="2756455"/>
          <a:ext cx="1445325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E2EFD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</a:rPr>
            <a:t>Formulas</a:t>
          </a:r>
          <a:endParaRPr lang="en-US" sz="1100" b="1" kern="1200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1629118</xdr:colOff>
      <xdr:row>9</xdr:row>
      <xdr:rowOff>241856</xdr:rowOff>
    </xdr:from>
    <xdr:to>
      <xdr:col>3</xdr:col>
      <xdr:colOff>1284347</xdr:colOff>
      <xdr:row>10</xdr:row>
      <xdr:rowOff>190064</xdr:rowOff>
    </xdr:to>
    <xdr:sp macro="" textlink="">
      <xdr:nvSpPr>
        <xdr:cNvPr id="450" name="Freeform: Shape 9">
          <a:extLst>
            <a:ext uri="{FF2B5EF4-FFF2-40B4-BE49-F238E27FC236}">
              <a16:creationId xmlns:a16="http://schemas.microsoft.com/office/drawing/2014/main" id="{E5DB8904-483E-425D-9A4D-B54E5E20F839}"/>
            </a:ext>
          </a:extLst>
        </xdr:cNvPr>
        <xdr:cNvSpPr/>
      </xdr:nvSpPr>
      <xdr:spPr>
        <a:xfrm>
          <a:off x="2892768" y="2756456"/>
          <a:ext cx="1865029" cy="278408"/>
        </a:xfrm>
        <a:custGeom>
          <a:avLst/>
          <a:gdLst>
            <a:gd name="connsiteX0" fmla="*/ 0 w 1442301"/>
            <a:gd name="connsiteY0" fmla="*/ 47309 h 283851"/>
            <a:gd name="connsiteX1" fmla="*/ 47309 w 1442301"/>
            <a:gd name="connsiteY1" fmla="*/ 0 h 283851"/>
            <a:gd name="connsiteX2" fmla="*/ 1394992 w 1442301"/>
            <a:gd name="connsiteY2" fmla="*/ 0 h 283851"/>
            <a:gd name="connsiteX3" fmla="*/ 1442301 w 1442301"/>
            <a:gd name="connsiteY3" fmla="*/ 47309 h 283851"/>
            <a:gd name="connsiteX4" fmla="*/ 1442301 w 1442301"/>
            <a:gd name="connsiteY4" fmla="*/ 236542 h 283851"/>
            <a:gd name="connsiteX5" fmla="*/ 1394992 w 1442301"/>
            <a:gd name="connsiteY5" fmla="*/ 283851 h 283851"/>
            <a:gd name="connsiteX6" fmla="*/ 47309 w 1442301"/>
            <a:gd name="connsiteY6" fmla="*/ 283851 h 283851"/>
            <a:gd name="connsiteX7" fmla="*/ 0 w 1442301"/>
            <a:gd name="connsiteY7" fmla="*/ 236542 h 283851"/>
            <a:gd name="connsiteX8" fmla="*/ 0 w 1442301"/>
            <a:gd name="connsiteY8" fmla="*/ 47309 h 283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442301" h="283851">
              <a:moveTo>
                <a:pt x="0" y="47309"/>
              </a:moveTo>
              <a:cubicBezTo>
                <a:pt x="0" y="21181"/>
                <a:pt x="21181" y="0"/>
                <a:pt x="47309" y="0"/>
              </a:cubicBezTo>
              <a:lnTo>
                <a:pt x="1394992" y="0"/>
              </a:lnTo>
              <a:cubicBezTo>
                <a:pt x="1421120" y="0"/>
                <a:pt x="1442301" y="21181"/>
                <a:pt x="1442301" y="47309"/>
              </a:cubicBezTo>
              <a:lnTo>
                <a:pt x="1442301" y="236542"/>
              </a:lnTo>
              <a:cubicBezTo>
                <a:pt x="1442301" y="262670"/>
                <a:pt x="1421120" y="283851"/>
                <a:pt x="1394992" y="283851"/>
              </a:cubicBezTo>
              <a:lnTo>
                <a:pt x="47309" y="283851"/>
              </a:lnTo>
              <a:cubicBezTo>
                <a:pt x="21181" y="283851"/>
                <a:pt x="0" y="262670"/>
                <a:pt x="0" y="236542"/>
              </a:cubicBezTo>
              <a:lnTo>
                <a:pt x="0" y="47309"/>
              </a:lnTo>
              <a:close/>
            </a:path>
          </a:pathLst>
        </a:custGeom>
        <a:solidFill>
          <a:srgbClr val="44546A"/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55766" tIns="34811" rIns="55766" bIns="34811" numCol="1" spcCol="127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1" kern="1200">
              <a:latin typeface="Cambria" panose="02040503050406030204" pitchFamily="18" charset="0"/>
            </a:rPr>
            <a:t>Año</a:t>
          </a:r>
          <a:endParaRPr lang="en-US" sz="1100" b="1" kern="1200"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243412</xdr:colOff>
      <xdr:row>14</xdr:row>
      <xdr:rowOff>208639</xdr:rowOff>
    </xdr:from>
    <xdr:to>
      <xdr:col>4</xdr:col>
      <xdr:colOff>925583</xdr:colOff>
      <xdr:row>14</xdr:row>
      <xdr:rowOff>610167</xdr:rowOff>
    </xdr:to>
    <xdr:sp macro="" textlink="">
      <xdr:nvSpPr>
        <xdr:cNvPr id="451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640252-96CF-4BFD-A37C-01EA0F1C86C0}"/>
            </a:ext>
          </a:extLst>
        </xdr:cNvPr>
        <xdr:cNvSpPr txBox="1"/>
      </xdr:nvSpPr>
      <xdr:spPr>
        <a:xfrm>
          <a:off x="6053662" y="4215489"/>
          <a:ext cx="682171" cy="9672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u="sng">
              <a:solidFill>
                <a:schemeClr val="accent1"/>
              </a:solidFill>
              <a:latin typeface="Cambria" panose="02040503050406030204" pitchFamily="18" charset="0"/>
            </a:rPr>
            <a:t>Cifras Online</a:t>
          </a:r>
          <a:endParaRPr lang="en-US" sz="900" u="sng">
            <a:solidFill>
              <a:schemeClr val="accent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44</xdr:row>
      <xdr:rowOff>80962</xdr:rowOff>
    </xdr:from>
    <xdr:to>
      <xdr:col>11</xdr:col>
      <xdr:colOff>95249</xdr:colOff>
      <xdr:row>58</xdr:row>
      <xdr:rowOff>38100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44</xdr:row>
      <xdr:rowOff>161925</xdr:rowOff>
    </xdr:from>
    <xdr:to>
      <xdr:col>8</xdr:col>
      <xdr:colOff>180975</xdr:colOff>
      <xdr:row>57</xdr:row>
      <xdr:rowOff>166687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202991</xdr:colOff>
      <xdr:row>61</xdr:row>
      <xdr:rowOff>85725</xdr:rowOff>
    </xdr:from>
    <xdr:to>
      <xdr:col>19</xdr:col>
      <xdr:colOff>150882</xdr:colOff>
      <xdr:row>80</xdr:row>
      <xdr:rowOff>66167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066" y="11839575"/>
          <a:ext cx="10749241" cy="35999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52</xdr:row>
      <xdr:rowOff>1</xdr:rowOff>
    </xdr:from>
    <xdr:to>
      <xdr:col>12</xdr:col>
      <xdr:colOff>257174</xdr:colOff>
      <xdr:row>66</xdr:row>
      <xdr:rowOff>57151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38101</xdr:colOff>
      <xdr:row>21</xdr:row>
      <xdr:rowOff>9525</xdr:rowOff>
    </xdr:from>
    <xdr:to>
      <xdr:col>17</xdr:col>
      <xdr:colOff>520375</xdr:colOff>
      <xdr:row>26</xdr:row>
      <xdr:rowOff>95102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1" y="3514725"/>
          <a:ext cx="3530274" cy="89520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24</xdr:row>
      <xdr:rowOff>123825</xdr:rowOff>
    </xdr:from>
    <xdr:to>
      <xdr:col>17</xdr:col>
      <xdr:colOff>485210</xdr:colOff>
      <xdr:row>29</xdr:row>
      <xdr:rowOff>22071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4114800"/>
          <a:ext cx="3495110" cy="707871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27</xdr:row>
      <xdr:rowOff>67336</xdr:rowOff>
    </xdr:from>
    <xdr:to>
      <xdr:col>17</xdr:col>
      <xdr:colOff>570968</xdr:colOff>
      <xdr:row>32</xdr:row>
      <xdr:rowOff>104645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025" y="4544086"/>
          <a:ext cx="3590393" cy="87550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30</xdr:row>
      <xdr:rowOff>136060</xdr:rowOff>
    </xdr:from>
    <xdr:to>
      <xdr:col>17</xdr:col>
      <xdr:colOff>502761</xdr:colOff>
      <xdr:row>35</xdr:row>
      <xdr:rowOff>76200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3025" y="5098585"/>
          <a:ext cx="3522186" cy="77834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33</xdr:row>
      <xdr:rowOff>78950</xdr:rowOff>
    </xdr:from>
    <xdr:to>
      <xdr:col>17</xdr:col>
      <xdr:colOff>485214</xdr:colOff>
      <xdr:row>38</xdr:row>
      <xdr:rowOff>85594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5555825"/>
          <a:ext cx="3495114" cy="816269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36</xdr:row>
      <xdr:rowOff>133351</xdr:rowOff>
    </xdr:from>
    <xdr:to>
      <xdr:col>17</xdr:col>
      <xdr:colOff>513762</xdr:colOff>
      <xdr:row>42</xdr:row>
      <xdr:rowOff>72579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53500" y="6096001"/>
          <a:ext cx="3542712" cy="910778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40</xdr:row>
      <xdr:rowOff>107795</xdr:rowOff>
    </xdr:from>
    <xdr:to>
      <xdr:col>17</xdr:col>
      <xdr:colOff>523875</xdr:colOff>
      <xdr:row>45</xdr:row>
      <xdr:rowOff>114165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53500" y="6718145"/>
          <a:ext cx="3552825" cy="8159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43</xdr:row>
      <xdr:rowOff>158834</xdr:rowOff>
    </xdr:from>
    <xdr:to>
      <xdr:col>17</xdr:col>
      <xdr:colOff>581025</xdr:colOff>
      <xdr:row>49</xdr:row>
      <xdr:rowOff>95097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53500" y="7254959"/>
          <a:ext cx="3609975" cy="90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47</xdr:row>
      <xdr:rowOff>82094</xdr:rowOff>
    </xdr:from>
    <xdr:to>
      <xdr:col>17</xdr:col>
      <xdr:colOff>589979</xdr:colOff>
      <xdr:row>52</xdr:row>
      <xdr:rowOff>152261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63025" y="7825919"/>
          <a:ext cx="3609404" cy="8797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51</xdr:row>
      <xdr:rowOff>47625</xdr:rowOff>
    </xdr:from>
    <xdr:to>
      <xdr:col>17</xdr:col>
      <xdr:colOff>577113</xdr:colOff>
      <xdr:row>56</xdr:row>
      <xdr:rowOff>123682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72550" y="8439150"/>
          <a:ext cx="3587013" cy="88568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57</xdr:row>
      <xdr:rowOff>0</xdr:rowOff>
    </xdr:from>
    <xdr:to>
      <xdr:col>19</xdr:col>
      <xdr:colOff>418477</xdr:colOff>
      <xdr:row>64</xdr:row>
      <xdr:rowOff>85573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34450" y="9344025"/>
          <a:ext cx="4990477" cy="1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45</xdr:row>
      <xdr:rowOff>171450</xdr:rowOff>
    </xdr:from>
    <xdr:to>
      <xdr:col>10</xdr:col>
      <xdr:colOff>9525</xdr:colOff>
      <xdr:row>60</xdr:row>
      <xdr:rowOff>100011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.pan-energy.com/PSCM/Drilling%20&amp;%20Completion/D&amp;C%20Sector%20Team/1%20-%20Temas%20Generales/Tablero%20de%20Gesti&#243;n/01.%20Tablero%20de%20Contrataciones/01.%20Tablero%20de%20Contratos%2017-12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GISTICA\01%20LOGISTICA%20NQN\06%20-%20PROVEEDORES\Documentos\PECOM%20SERVICIOS%20ENERGIA%20S.A\7400011644%20(6_11238%20)%20SERV%20MTTO%20EQ%20DOSIFICADORES%20PQ\05-PRECIOS\2024\MAR%2024\PRECIOS%20MAR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GISTICA\01%20LOGISTICA%20NQN\06%20-%20PROVEEDORES\Documentos\PECOM%20SERVICIOS%20ENERGIA%20S.A\7400011644%20(6_11238%20)%20SERV%20MTTO%20EQ%20DOSIFICADORES%20PQ\05-PRECIOS\2023\SEP%2023\AJUSTE%20SEP-23-%20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GISTICA\01%20LOGISTICA%20NQN\06%20-%20PROVEEDORES\Documentos\PECOM%20SERVICIOS%20ENERGIA%20S.A\7400011644%20(6_11238%20)%20SERV%20MTTO%20EQ%20DOSIFICADORES%20PQ\05-PRECIOS\2024\FEB%2024\10.%20NOV%20y%20DIC%2022%20con%20zona%20(Vacto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ro"/>
      <sheetName val="Negociaciónes (Descuentos)"/>
      <sheetName val="Indemnidad"/>
      <sheetName val="Texto Contrato"/>
      <sheetName val="Gestiones Puntuales"/>
      <sheetName val="Texto Puntual"/>
      <sheetName val="Reportes"/>
      <sheetName val="Vencimientos"/>
      <sheetName val="Reportes Dinámicos"/>
      <sheetName val="Informe PDM"/>
      <sheetName val="Instructivo"/>
      <sheetName val="Buzón de Sugerencias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 t="str">
            <v>Action Well Services</v>
          </cell>
        </row>
        <row r="12">
          <cell r="D12" t="str">
            <v>Acys</v>
          </cell>
        </row>
        <row r="13">
          <cell r="D13" t="str">
            <v>ADA</v>
          </cell>
        </row>
        <row r="14">
          <cell r="D14" t="str">
            <v>ADG</v>
          </cell>
        </row>
        <row r="15">
          <cell r="D15" t="str">
            <v>AHW</v>
          </cell>
        </row>
        <row r="16">
          <cell r="D16" t="str">
            <v>Air Liquide</v>
          </cell>
        </row>
        <row r="17">
          <cell r="D17" t="str">
            <v>Allied Horizontal</v>
          </cell>
        </row>
        <row r="18">
          <cell r="D18" t="str">
            <v>Altos Tech</v>
          </cell>
        </row>
        <row r="19">
          <cell r="D19" t="str">
            <v>Argen</v>
          </cell>
        </row>
        <row r="20">
          <cell r="D20" t="str">
            <v>Austral</v>
          </cell>
        </row>
        <row r="21">
          <cell r="D21" t="str">
            <v>Baker</v>
          </cell>
        </row>
        <row r="22">
          <cell r="D22" t="str">
            <v>Blade Energy</v>
          </cell>
        </row>
        <row r="23">
          <cell r="D23" t="str">
            <v>Bolland</v>
          </cell>
        </row>
        <row r="24">
          <cell r="D24" t="str">
            <v>Cairone Luis Angel</v>
          </cell>
        </row>
        <row r="25">
          <cell r="D25" t="str">
            <v>Calfrac</v>
          </cell>
        </row>
        <row r="26">
          <cell r="D26" t="str">
            <v>Cameron</v>
          </cell>
        </row>
        <row r="27">
          <cell r="D27" t="str">
            <v>Chilicote</v>
          </cell>
        </row>
        <row r="28">
          <cell r="D28" t="str">
            <v>Christensen</v>
          </cell>
        </row>
        <row r="29">
          <cell r="D29" t="str">
            <v>Copgo</v>
          </cell>
        </row>
        <row r="30">
          <cell r="D30" t="str">
            <v>Crexell</v>
          </cell>
        </row>
        <row r="31">
          <cell r="D31" t="str">
            <v>Dataseismic</v>
          </cell>
        </row>
        <row r="32">
          <cell r="D32" t="str">
            <v>Delta P</v>
          </cell>
        </row>
        <row r="33">
          <cell r="D33" t="str">
            <v>DLS</v>
          </cell>
        </row>
        <row r="34">
          <cell r="D34" t="str">
            <v>DOC</v>
          </cell>
        </row>
        <row r="35">
          <cell r="D35" t="str">
            <v>E&amp;G</v>
          </cell>
        </row>
        <row r="36">
          <cell r="D36" t="str">
            <v>El Tronador</v>
          </cell>
        </row>
        <row r="37">
          <cell r="D37" t="str">
            <v>Envirohidro</v>
          </cell>
        </row>
        <row r="38">
          <cell r="D38" t="str">
            <v>ESIP</v>
          </cell>
        </row>
        <row r="39">
          <cell r="D39" t="str">
            <v>Estrella</v>
          </cell>
        </row>
        <row r="40">
          <cell r="D40" t="str">
            <v>Field Services</v>
          </cell>
        </row>
        <row r="41">
          <cell r="D41" t="str">
            <v>FMC</v>
          </cell>
        </row>
        <row r="42">
          <cell r="D42" t="str">
            <v>G. Bojarski</v>
          </cell>
        </row>
        <row r="43">
          <cell r="D43" t="str">
            <v>Geonodos</v>
          </cell>
        </row>
        <row r="44">
          <cell r="D44" t="str">
            <v>Geopatagonia</v>
          </cell>
        </row>
        <row r="45">
          <cell r="D45" t="str">
            <v>Geoprocesados</v>
          </cell>
        </row>
        <row r="46">
          <cell r="D46" t="str">
            <v>Geoservicies</v>
          </cell>
        </row>
        <row r="47">
          <cell r="D47" t="str">
            <v>Giga Consulting</v>
          </cell>
        </row>
        <row r="48">
          <cell r="D48" t="str">
            <v>Graciela E. Rial</v>
          </cell>
        </row>
        <row r="49">
          <cell r="D49" t="str">
            <v>Gyrodata</v>
          </cell>
        </row>
        <row r="50">
          <cell r="D50" t="str">
            <v>H&amp;P</v>
          </cell>
        </row>
        <row r="51">
          <cell r="D51" t="str">
            <v>Halliburton</v>
          </cell>
        </row>
        <row r="52">
          <cell r="D52" t="str">
            <v>Hot Hed</v>
          </cell>
        </row>
        <row r="53">
          <cell r="D53" t="str">
            <v>Inlab</v>
          </cell>
        </row>
        <row r="54">
          <cell r="D54" t="str">
            <v>Inteligentia</v>
          </cell>
        </row>
        <row r="55">
          <cell r="D55" t="str">
            <v>IT - Herramientas</v>
          </cell>
        </row>
        <row r="56">
          <cell r="D56" t="str">
            <v>LCV</v>
          </cell>
        </row>
        <row r="57">
          <cell r="D57" t="str">
            <v>Lloyds</v>
          </cell>
        </row>
        <row r="58">
          <cell r="D58" t="str">
            <v>Lockwood</v>
          </cell>
        </row>
        <row r="59">
          <cell r="D59" t="str">
            <v>Marbar</v>
          </cell>
        </row>
        <row r="60">
          <cell r="D60" t="str">
            <v>Mariño Ramon Orlando</v>
          </cell>
        </row>
        <row r="61">
          <cell r="D61" t="str">
            <v>Martec</v>
          </cell>
        </row>
        <row r="62">
          <cell r="D62" t="str">
            <v>MD</v>
          </cell>
        </row>
        <row r="63">
          <cell r="D63" t="str">
            <v>Melián Transportes</v>
          </cell>
        </row>
        <row r="64">
          <cell r="D64" t="str">
            <v>Moody</v>
          </cell>
        </row>
        <row r="65">
          <cell r="D65" t="str">
            <v>Mothers</v>
          </cell>
        </row>
        <row r="66">
          <cell r="D66" t="str">
            <v>Moto Mecanica</v>
          </cell>
        </row>
        <row r="67">
          <cell r="D67" t="str">
            <v>Nabors</v>
          </cell>
        </row>
        <row r="68">
          <cell r="D68" t="str">
            <v>Nalco</v>
          </cell>
        </row>
        <row r="69">
          <cell r="D69" t="str">
            <v>Net Log</v>
          </cell>
        </row>
        <row r="70">
          <cell r="D70" t="str">
            <v>Noriega</v>
          </cell>
        </row>
        <row r="71">
          <cell r="D71" t="str">
            <v>NOV Downhole</v>
          </cell>
        </row>
        <row r="72">
          <cell r="D72" t="str">
            <v>Oleum Petra</v>
          </cell>
        </row>
        <row r="73">
          <cell r="D73" t="str">
            <v>Petreven</v>
          </cell>
        </row>
        <row r="74">
          <cell r="D74" t="str">
            <v>Petrex</v>
          </cell>
        </row>
        <row r="75">
          <cell r="D75" t="str">
            <v>Petrolink</v>
          </cell>
        </row>
        <row r="76">
          <cell r="D76" t="str">
            <v>Polyar</v>
          </cell>
        </row>
        <row r="77">
          <cell r="D77" t="str">
            <v>Prodeng</v>
          </cell>
        </row>
        <row r="78">
          <cell r="D78" t="str">
            <v>Profeta Rosario Mario</v>
          </cell>
        </row>
        <row r="79">
          <cell r="D79" t="str">
            <v>Rakiduamn</v>
          </cell>
        </row>
        <row r="80">
          <cell r="D80" t="str">
            <v>Ranger Oil</v>
          </cell>
        </row>
        <row r="81">
          <cell r="D81" t="str">
            <v>Rider Scott</v>
          </cell>
        </row>
        <row r="82">
          <cell r="D82" t="str">
            <v>San Antonio</v>
          </cell>
        </row>
        <row r="83">
          <cell r="D83" t="str">
            <v>SAT</v>
          </cell>
        </row>
        <row r="84">
          <cell r="D84" t="str">
            <v>Schlumberger</v>
          </cell>
        </row>
        <row r="85">
          <cell r="D85" t="str">
            <v>Segar</v>
          </cell>
        </row>
        <row r="86">
          <cell r="D86" t="str">
            <v>Seiscenter</v>
          </cell>
        </row>
        <row r="87">
          <cell r="D87" t="str">
            <v>Seiscenter</v>
          </cell>
        </row>
        <row r="88">
          <cell r="D88" t="str">
            <v>Seismic Prospect</v>
          </cell>
        </row>
        <row r="89">
          <cell r="D89" t="str">
            <v>Servicom</v>
          </cell>
        </row>
        <row r="90">
          <cell r="D90" t="str">
            <v>SESASA</v>
          </cell>
        </row>
        <row r="91">
          <cell r="D91" t="str">
            <v>Siderca</v>
          </cell>
        </row>
        <row r="92">
          <cell r="D92" t="str">
            <v>Sima</v>
          </cell>
        </row>
        <row r="93">
          <cell r="D93" t="str">
            <v>Sinfusion</v>
          </cell>
        </row>
        <row r="94">
          <cell r="D94" t="str">
            <v>Smith</v>
          </cell>
        </row>
        <row r="95">
          <cell r="D95" t="str">
            <v>SP</v>
          </cell>
        </row>
        <row r="96">
          <cell r="D96" t="str">
            <v>Stinger</v>
          </cell>
        </row>
        <row r="97">
          <cell r="D97" t="str">
            <v>Superior</v>
          </cell>
        </row>
        <row r="98">
          <cell r="D98" t="str">
            <v>Swaco</v>
          </cell>
        </row>
        <row r="99">
          <cell r="D99" t="str">
            <v>Tacker</v>
          </cell>
        </row>
        <row r="100">
          <cell r="D100" t="str">
            <v>Tassarolli</v>
          </cell>
        </row>
        <row r="101">
          <cell r="D101" t="str">
            <v>Technova</v>
          </cell>
        </row>
        <row r="102">
          <cell r="D102" t="str">
            <v>Teledrift</v>
          </cell>
        </row>
        <row r="103">
          <cell r="D103" t="str">
            <v>Tenaris</v>
          </cell>
        </row>
        <row r="104">
          <cell r="D104" t="str">
            <v>Tesco</v>
          </cell>
        </row>
        <row r="105">
          <cell r="D105" t="str">
            <v>TH Hill</v>
          </cell>
        </row>
        <row r="106">
          <cell r="D106" t="str">
            <v>Tracerco</v>
          </cell>
        </row>
        <row r="107">
          <cell r="D107" t="str">
            <v>Tuboscope</v>
          </cell>
        </row>
        <row r="108">
          <cell r="D108" t="str">
            <v>UGA</v>
          </cell>
        </row>
        <row r="109">
          <cell r="D109" t="str">
            <v>Varel</v>
          </cell>
        </row>
        <row r="110">
          <cell r="D110" t="str">
            <v>Venver</v>
          </cell>
        </row>
        <row r="111">
          <cell r="D111" t="str">
            <v>Verasay</v>
          </cell>
        </row>
        <row r="112">
          <cell r="D112" t="str">
            <v>Weatherford</v>
          </cell>
        </row>
        <row r="113">
          <cell r="D113" t="str">
            <v>Wellfield</v>
          </cell>
        </row>
        <row r="114">
          <cell r="D114" t="str">
            <v>Wenlen</v>
          </cell>
        </row>
        <row r="115">
          <cell r="D115" t="str">
            <v>Wilog</v>
          </cell>
        </row>
        <row r="116">
          <cell r="D116" t="str">
            <v>YPF Tecnologia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ECIOS MAR24"/>
      <sheetName val="MSRV6 "/>
      <sheetName val="MO Petroleros"/>
      <sheetName val="MO Camioneros."/>
      <sheetName val="Base Centralizada de Indices"/>
      <sheetName val="DOLAR"/>
      <sheetName val="COMBUSTIBLE"/>
      <sheetName val="IPIM-Nivel General"/>
      <sheetName val="ACARA"/>
      <sheetName val="INSTRUCTIVO"/>
    </sheetNames>
    <sheetDataSet>
      <sheetData sheetId="0"/>
      <sheetData sheetId="1">
        <row r="4">
          <cell r="F4">
            <v>198478.84047075539</v>
          </cell>
        </row>
        <row r="5">
          <cell r="F5">
            <v>404987.04095165036</v>
          </cell>
        </row>
        <row r="6">
          <cell r="F6">
            <v>722831.79516765382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ECIO SEP 23"/>
      <sheetName val="MSRV6 "/>
      <sheetName val="MO Petroleros"/>
      <sheetName val="MO Camioneros"/>
      <sheetName val="MO UOCRA"/>
      <sheetName val="Base Centralizada de Indices"/>
      <sheetName val="DOLAR"/>
      <sheetName val="COMBUSTIBLE"/>
      <sheetName val="IPIM-Nivel General"/>
      <sheetName val="ACARA"/>
      <sheetName val="INSTRUCTIVO"/>
    </sheetNames>
    <sheetDataSet>
      <sheetData sheetId="0"/>
      <sheetData sheetId="1">
        <row r="3">
          <cell r="G3">
            <v>82188.076144907347</v>
          </cell>
        </row>
        <row r="4">
          <cell r="G4">
            <v>167701.02888795998</v>
          </cell>
        </row>
        <row r="5">
          <cell r="G5">
            <v>436169.84699993348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2"/>
      <sheetName val="Base Centralizada de Indices"/>
      <sheetName val="MSRV6"/>
      <sheetName val="MANO DE OBRA"/>
      <sheetName val="INDICES"/>
      <sheetName val="APERTURA INICIAL"/>
      <sheetName val="progresion ajustes"/>
    </sheetNames>
    <sheetDataSet>
      <sheetData sheetId="0" refreshError="1">
        <row r="3">
          <cell r="F3">
            <v>4891076.0537182717</v>
          </cell>
        </row>
        <row r="21">
          <cell r="L21">
            <v>0.56000000000000005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cara.org.ar/guiaprecios/precios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ec.gob.ar/indec/web/Nivel4-Tema-3-5-32" TargetMode="External"/><Relationship Id="rId18" Type="http://schemas.openxmlformats.org/officeDocument/2006/relationships/hyperlink" Target="https://www.indec.gob.ar/indec/web/Nivel4-Tema-3-5-32" TargetMode="External"/><Relationship Id="rId26" Type="http://schemas.openxmlformats.org/officeDocument/2006/relationships/hyperlink" Target="https://www.indec.gob.ar/indec/web/Nivel4-Tema-3-5-31" TargetMode="External"/><Relationship Id="rId39" Type="http://schemas.openxmlformats.org/officeDocument/2006/relationships/hyperlink" Target="https://www.fadeeac.org.ar/estudios-economicos-y-costos/" TargetMode="External"/><Relationship Id="rId21" Type="http://schemas.openxmlformats.org/officeDocument/2006/relationships/hyperlink" Target="https://www.indec.gob.ar/indec/web/Nivel4-Tema-3-5-32" TargetMode="External"/><Relationship Id="rId34" Type="http://schemas.openxmlformats.org/officeDocument/2006/relationships/hyperlink" Target="http://www.acara.org.ar/guia-oficial-de-precios.php?tipo=AUTOS&amp;marca=TOYOTA&amp;modelo=Hilux" TargetMode="External"/><Relationship Id="rId42" Type="http://schemas.openxmlformats.org/officeDocument/2006/relationships/printerSettings" Target="../printerSettings/printerSettings5.bin"/><Relationship Id="rId7" Type="http://schemas.openxmlformats.org/officeDocument/2006/relationships/hyperlink" Target="https://www.fadeeac.org.ar/estudios-economicos-y-costos/" TargetMode="External"/><Relationship Id="rId2" Type="http://schemas.openxmlformats.org/officeDocument/2006/relationships/hyperlink" Target="https://data.bls.gov/timeseries/PCU333132333132" TargetMode="External"/><Relationship Id="rId16" Type="http://schemas.openxmlformats.org/officeDocument/2006/relationships/hyperlink" Target="https://www.indec.gob.ar/indec/web/Nivel4-Tema-3-5-32" TargetMode="External"/><Relationship Id="rId20" Type="http://schemas.openxmlformats.org/officeDocument/2006/relationships/hyperlink" Target="https://www.indec.gob.ar/indec/web/Nivel4-Tema-3-5-32" TargetMode="External"/><Relationship Id="rId29" Type="http://schemas.openxmlformats.org/officeDocument/2006/relationships/hyperlink" Target="https://www.indec.gob.ar/indec/web/Nivel4-Tema-4-31-61" TargetMode="External"/><Relationship Id="rId41" Type="http://schemas.openxmlformats.org/officeDocument/2006/relationships/hyperlink" Target="https://www.bcra.gob.ar/PublicacionesEstadisticas/Principales_variables.asp" TargetMode="External"/><Relationship Id="rId1" Type="http://schemas.openxmlformats.org/officeDocument/2006/relationships/hyperlink" Target="http://res1104.se.gob.ar/consultaprecios.eess.php" TargetMode="External"/><Relationship Id="rId6" Type="http://schemas.openxmlformats.org/officeDocument/2006/relationships/hyperlink" Target="http://www.cedol.org.ar/indices-logisticos.html" TargetMode="External"/><Relationship Id="rId11" Type="http://schemas.openxmlformats.org/officeDocument/2006/relationships/hyperlink" Target="https://www.indec.gob.ar/indec/web/Nivel4-Tema-4-31-61" TargetMode="External"/><Relationship Id="rId24" Type="http://schemas.openxmlformats.org/officeDocument/2006/relationships/hyperlink" Target="https://www.indec.gob.ar/indec/web/Nivel4-Tema-3-5-32" TargetMode="External"/><Relationship Id="rId32" Type="http://schemas.openxmlformats.org/officeDocument/2006/relationships/hyperlink" Target="http://res1104.se.gob.ar/consultaprecios.eess.php" TargetMode="External"/><Relationship Id="rId37" Type="http://schemas.openxmlformats.org/officeDocument/2006/relationships/hyperlink" Target="https://www.indec.gob.ar/indec/web/Nivel4-Tema-3-5-33" TargetMode="External"/><Relationship Id="rId40" Type="http://schemas.openxmlformats.org/officeDocument/2006/relationships/hyperlink" Target="https://www.indec.gob.ar/indec/web/Nivel4-Tema-3-5-31" TargetMode="External"/><Relationship Id="rId5" Type="http://schemas.openxmlformats.org/officeDocument/2006/relationships/hyperlink" Target="http://www.cedol.org.ar/indices-logisticos.html" TargetMode="External"/><Relationship Id="rId15" Type="http://schemas.openxmlformats.org/officeDocument/2006/relationships/hyperlink" Target="https://www.indec.gob.ar/indec/web/Nivel4-Tema-3-5-33" TargetMode="External"/><Relationship Id="rId23" Type="http://schemas.openxmlformats.org/officeDocument/2006/relationships/hyperlink" Target="https://www.indec.gob.ar/indec/web/Nivel4-Tema-3-5-32" TargetMode="External"/><Relationship Id="rId28" Type="http://schemas.openxmlformats.org/officeDocument/2006/relationships/hyperlink" Target="https://www.indec.gob.ar/indec/web/Nivel4-Tema-4-31-61" TargetMode="External"/><Relationship Id="rId36" Type="http://schemas.openxmlformats.org/officeDocument/2006/relationships/hyperlink" Target="http://res1104.se.gob.ar/consultaprecios.eess.php" TargetMode="External"/><Relationship Id="rId10" Type="http://schemas.openxmlformats.org/officeDocument/2006/relationships/hyperlink" Target="https://www.indec.gob.ar/indec/web/Nivel4-Tema-3-5-33" TargetMode="External"/><Relationship Id="rId19" Type="http://schemas.openxmlformats.org/officeDocument/2006/relationships/hyperlink" Target="https://www.indec.gob.ar/indec/web/Nivel4-Tema-3-5-32" TargetMode="External"/><Relationship Id="rId31" Type="http://schemas.openxmlformats.org/officeDocument/2006/relationships/hyperlink" Target="http://www.acara.org.ar/guia-oficial-de-precios.php?tipo=AUTOS&amp;marca=TOYOTA&amp;modelo=Hilux" TargetMode="External"/><Relationship Id="rId4" Type="http://schemas.openxmlformats.org/officeDocument/2006/relationships/hyperlink" Target="http://res1104.se.gob.ar/consultaprecios.eess.php" TargetMode="External"/><Relationship Id="rId9" Type="http://schemas.openxmlformats.org/officeDocument/2006/relationships/hyperlink" Target="http://www.camarco.org.ar/indicadores" TargetMode="External"/><Relationship Id="rId14" Type="http://schemas.openxmlformats.org/officeDocument/2006/relationships/hyperlink" Target="https://www.indec.gob.ar/indec/web/Nivel4-Tema-3-5-33" TargetMode="External"/><Relationship Id="rId22" Type="http://schemas.openxmlformats.org/officeDocument/2006/relationships/hyperlink" Target="https://www.indec.gob.ar/indec/web/Nivel4-Tema-3-5-32" TargetMode="External"/><Relationship Id="rId27" Type="http://schemas.openxmlformats.org/officeDocument/2006/relationships/hyperlink" Target="https://www.indec.gob.ar/indec/web/Nivel4-Tema-4-31-61" TargetMode="External"/><Relationship Id="rId30" Type="http://schemas.openxmlformats.org/officeDocument/2006/relationships/hyperlink" Target="https://www.indec.gob.ar/indec/web/Nivel4-Tema-4-31-61" TargetMode="External"/><Relationship Id="rId35" Type="http://schemas.openxmlformats.org/officeDocument/2006/relationships/hyperlink" Target="http://www.acara.org.ar/guia-oficial-de-precios.php?tipo=AUTOS&amp;marca=TOYOTA&amp;modelo=Hilux" TargetMode="External"/><Relationship Id="rId43" Type="http://schemas.openxmlformats.org/officeDocument/2006/relationships/drawing" Target="../drawings/drawing2.xml"/><Relationship Id="rId8" Type="http://schemas.openxmlformats.org/officeDocument/2006/relationships/hyperlink" Target="http://www.camarco.org.ar/indicadores" TargetMode="External"/><Relationship Id="rId3" Type="http://schemas.openxmlformats.org/officeDocument/2006/relationships/hyperlink" Target="http://www.bna.com.ar/" TargetMode="External"/><Relationship Id="rId12" Type="http://schemas.openxmlformats.org/officeDocument/2006/relationships/hyperlink" Target="http://res1104.se.gob.ar/consultaprecios.eess.php" TargetMode="External"/><Relationship Id="rId17" Type="http://schemas.openxmlformats.org/officeDocument/2006/relationships/hyperlink" Target="https://www.indec.gob.ar/indec/web/Nivel4-Tema-3-5-32" TargetMode="External"/><Relationship Id="rId25" Type="http://schemas.openxmlformats.org/officeDocument/2006/relationships/hyperlink" Target="https://www.indec.gob.ar/indec/web/Nivel4-Tema-3-5-31" TargetMode="External"/><Relationship Id="rId33" Type="http://schemas.openxmlformats.org/officeDocument/2006/relationships/hyperlink" Target="http://res1104.se.gob.ar/consultaprecios.eess.php" TargetMode="External"/><Relationship Id="rId38" Type="http://schemas.openxmlformats.org/officeDocument/2006/relationships/hyperlink" Target="https://www.indec.gob.ar/indec/web/Nivel4-Tema-3-5-3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na.com.a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res1104.se.gob.ar/consultaprecios.eess.ph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ndec.gob.ar/nivel4_default.asp?id_tema_1=3&amp;id_tema_2=5&amp;id_tema_3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976D-861E-425B-A7BA-08AEC065E58A}">
  <dimension ref="A1:L73"/>
  <sheetViews>
    <sheetView topLeftCell="F2" workbookViewId="0">
      <selection activeCell="L62" sqref="L62:L73"/>
    </sheetView>
  </sheetViews>
  <sheetFormatPr baseColWidth="10" defaultRowHeight="14.5" x14ac:dyDescent="0.35"/>
  <cols>
    <col min="1" max="1" width="11.54296875" style="86"/>
    <col min="2" max="2" width="2" customWidth="1"/>
    <col min="3" max="3" width="48.453125" bestFit="1" customWidth="1"/>
    <col min="4" max="4" width="1.453125" customWidth="1"/>
    <col min="5" max="5" width="53.1796875" bestFit="1" customWidth="1"/>
    <col min="6" max="6" width="2" customWidth="1"/>
    <col min="7" max="7" width="43.81640625" bestFit="1" customWidth="1"/>
    <col min="8" max="8" width="1.54296875" customWidth="1"/>
    <col min="9" max="9" width="52.1796875" bestFit="1" customWidth="1"/>
    <col min="10" max="11" width="1.54296875" customWidth="1"/>
    <col min="12" max="12" width="27" customWidth="1"/>
  </cols>
  <sheetData>
    <row r="1" spans="1:12" x14ac:dyDescent="0.35">
      <c r="A1" s="87" t="s">
        <v>40</v>
      </c>
      <c r="C1" s="87" t="s">
        <v>23</v>
      </c>
      <c r="E1" s="87" t="s">
        <v>42</v>
      </c>
      <c r="G1" s="87" t="s">
        <v>21</v>
      </c>
      <c r="I1" s="87" t="s">
        <v>20</v>
      </c>
      <c r="L1" s="87" t="s">
        <v>241</v>
      </c>
    </row>
    <row r="2" spans="1:12" x14ac:dyDescent="0.35">
      <c r="A2" s="86" t="s">
        <v>204</v>
      </c>
      <c r="C2" t="s">
        <v>207</v>
      </c>
      <c r="E2" t="s">
        <v>239</v>
      </c>
      <c r="G2" s="93" t="s">
        <v>242</v>
      </c>
      <c r="I2" s="93" t="s">
        <v>244</v>
      </c>
      <c r="L2" s="94" t="s">
        <v>274</v>
      </c>
    </row>
    <row r="3" spans="1:12" x14ac:dyDescent="0.35">
      <c r="A3" s="86" t="s">
        <v>205</v>
      </c>
      <c r="C3" t="s">
        <v>208</v>
      </c>
      <c r="E3" t="s">
        <v>247</v>
      </c>
      <c r="G3" s="93" t="s">
        <v>243</v>
      </c>
      <c r="I3" s="93" t="s">
        <v>245</v>
      </c>
      <c r="L3" s="94" t="s">
        <v>275</v>
      </c>
    </row>
    <row r="4" spans="1:12" x14ac:dyDescent="0.35">
      <c r="A4" s="86" t="s">
        <v>206</v>
      </c>
      <c r="I4" s="93" t="s">
        <v>246</v>
      </c>
      <c r="L4" s="94" t="s">
        <v>276</v>
      </c>
    </row>
    <row r="5" spans="1:12" x14ac:dyDescent="0.35">
      <c r="A5" s="86" t="s">
        <v>209</v>
      </c>
      <c r="I5" s="93" t="s">
        <v>247</v>
      </c>
      <c r="L5" s="94" t="s">
        <v>277</v>
      </c>
    </row>
    <row r="6" spans="1:12" x14ac:dyDescent="0.35">
      <c r="I6" s="93" t="s">
        <v>248</v>
      </c>
      <c r="L6" s="94" t="s">
        <v>278</v>
      </c>
    </row>
    <row r="7" spans="1:12" x14ac:dyDescent="0.35">
      <c r="I7" s="8" t="s">
        <v>142</v>
      </c>
      <c r="L7" s="94" t="s">
        <v>279</v>
      </c>
    </row>
    <row r="8" spans="1:12" x14ac:dyDescent="0.35">
      <c r="I8" s="8" t="s">
        <v>144</v>
      </c>
      <c r="L8" s="94" t="s">
        <v>280</v>
      </c>
    </row>
    <row r="9" spans="1:12" x14ac:dyDescent="0.35">
      <c r="I9" s="8" t="s">
        <v>145</v>
      </c>
      <c r="L9" s="94" t="s">
        <v>281</v>
      </c>
    </row>
    <row r="10" spans="1:12" x14ac:dyDescent="0.35">
      <c r="I10" s="8" t="s">
        <v>120</v>
      </c>
      <c r="L10" s="94" t="s">
        <v>282</v>
      </c>
    </row>
    <row r="11" spans="1:12" x14ac:dyDescent="0.35">
      <c r="I11" s="8" t="s">
        <v>122</v>
      </c>
      <c r="L11" s="94" t="s">
        <v>283</v>
      </c>
    </row>
    <row r="12" spans="1:12" x14ac:dyDescent="0.35">
      <c r="I12" s="8" t="s">
        <v>124</v>
      </c>
      <c r="L12" s="94" t="s">
        <v>284</v>
      </c>
    </row>
    <row r="13" spans="1:12" x14ac:dyDescent="0.35">
      <c r="I13" s="8" t="s">
        <v>125</v>
      </c>
      <c r="L13" s="94" t="s">
        <v>285</v>
      </c>
    </row>
    <row r="14" spans="1:12" x14ac:dyDescent="0.35">
      <c r="L14" s="94" t="s">
        <v>255</v>
      </c>
    </row>
    <row r="15" spans="1:12" x14ac:dyDescent="0.35">
      <c r="L15" s="94" t="s">
        <v>256</v>
      </c>
    </row>
    <row r="16" spans="1:12" x14ac:dyDescent="0.35">
      <c r="L16" s="94" t="s">
        <v>257</v>
      </c>
    </row>
    <row r="17" spans="12:12" x14ac:dyDescent="0.35">
      <c r="L17" s="94" t="s">
        <v>258</v>
      </c>
    </row>
    <row r="18" spans="12:12" x14ac:dyDescent="0.35">
      <c r="L18" s="94" t="s">
        <v>259</v>
      </c>
    </row>
    <row r="19" spans="12:12" x14ac:dyDescent="0.35">
      <c r="L19" s="94" t="s">
        <v>260</v>
      </c>
    </row>
    <row r="20" spans="12:12" x14ac:dyDescent="0.35">
      <c r="L20" s="94" t="s">
        <v>261</v>
      </c>
    </row>
    <row r="21" spans="12:12" x14ac:dyDescent="0.35">
      <c r="L21" s="94" t="s">
        <v>262</v>
      </c>
    </row>
    <row r="22" spans="12:12" x14ac:dyDescent="0.35">
      <c r="L22" s="94" t="s">
        <v>263</v>
      </c>
    </row>
    <row r="23" spans="12:12" x14ac:dyDescent="0.35">
      <c r="L23" s="94" t="s">
        <v>264</v>
      </c>
    </row>
    <row r="24" spans="12:12" x14ac:dyDescent="0.35">
      <c r="L24" s="94" t="s">
        <v>265</v>
      </c>
    </row>
    <row r="25" spans="12:12" x14ac:dyDescent="0.35">
      <c r="L25" s="94" t="s">
        <v>266</v>
      </c>
    </row>
    <row r="26" spans="12:12" x14ac:dyDescent="0.35">
      <c r="L26" s="94" t="s">
        <v>221</v>
      </c>
    </row>
    <row r="27" spans="12:12" x14ac:dyDescent="0.35">
      <c r="L27" s="94" t="s">
        <v>222</v>
      </c>
    </row>
    <row r="28" spans="12:12" x14ac:dyDescent="0.35">
      <c r="L28" s="94" t="s">
        <v>223</v>
      </c>
    </row>
    <row r="29" spans="12:12" x14ac:dyDescent="0.35">
      <c r="L29" s="94" t="s">
        <v>224</v>
      </c>
    </row>
    <row r="30" spans="12:12" x14ac:dyDescent="0.35">
      <c r="L30" s="94" t="s">
        <v>225</v>
      </c>
    </row>
    <row r="31" spans="12:12" x14ac:dyDescent="0.35">
      <c r="L31" s="94" t="s">
        <v>226</v>
      </c>
    </row>
    <row r="32" spans="12:12" x14ac:dyDescent="0.35">
      <c r="L32" s="94" t="s">
        <v>227</v>
      </c>
    </row>
    <row r="33" spans="12:12" x14ac:dyDescent="0.35">
      <c r="L33" s="94" t="s">
        <v>228</v>
      </c>
    </row>
    <row r="34" spans="12:12" x14ac:dyDescent="0.35">
      <c r="L34" s="94" t="s">
        <v>229</v>
      </c>
    </row>
    <row r="35" spans="12:12" x14ac:dyDescent="0.35">
      <c r="L35" s="94" t="s">
        <v>230</v>
      </c>
    </row>
    <row r="36" spans="12:12" x14ac:dyDescent="0.35">
      <c r="L36" s="94" t="s">
        <v>231</v>
      </c>
    </row>
    <row r="37" spans="12:12" x14ac:dyDescent="0.35">
      <c r="L37" s="94" t="s">
        <v>232</v>
      </c>
    </row>
    <row r="38" spans="12:12" x14ac:dyDescent="0.35">
      <c r="L38" s="94" t="s">
        <v>210</v>
      </c>
    </row>
    <row r="39" spans="12:12" x14ac:dyDescent="0.35">
      <c r="L39" s="94" t="s">
        <v>211</v>
      </c>
    </row>
    <row r="40" spans="12:12" x14ac:dyDescent="0.35">
      <c r="L40" s="94" t="s">
        <v>212</v>
      </c>
    </row>
    <row r="41" spans="12:12" x14ac:dyDescent="0.35">
      <c r="L41" s="94" t="s">
        <v>213</v>
      </c>
    </row>
    <row r="42" spans="12:12" x14ac:dyDescent="0.35">
      <c r="L42" s="94" t="s">
        <v>214</v>
      </c>
    </row>
    <row r="43" spans="12:12" x14ac:dyDescent="0.35">
      <c r="L43" s="94" t="s">
        <v>215</v>
      </c>
    </row>
    <row r="44" spans="12:12" x14ac:dyDescent="0.35">
      <c r="L44" s="88" t="s">
        <v>233</v>
      </c>
    </row>
    <row r="45" spans="12:12" x14ac:dyDescent="0.35">
      <c r="L45" s="89" t="s">
        <v>234</v>
      </c>
    </row>
    <row r="46" spans="12:12" x14ac:dyDescent="0.35">
      <c r="L46" s="89" t="s">
        <v>235</v>
      </c>
    </row>
    <row r="47" spans="12:12" x14ac:dyDescent="0.35">
      <c r="L47" s="89" t="s">
        <v>236</v>
      </c>
    </row>
    <row r="48" spans="12:12" x14ac:dyDescent="0.35">
      <c r="L48" s="89" t="s">
        <v>237</v>
      </c>
    </row>
    <row r="49" spans="12:12" x14ac:dyDescent="0.35">
      <c r="L49" s="89" t="s">
        <v>238</v>
      </c>
    </row>
    <row r="50" spans="12:12" x14ac:dyDescent="0.35">
      <c r="L50" s="94" t="s">
        <v>216</v>
      </c>
    </row>
    <row r="51" spans="12:12" x14ac:dyDescent="0.35">
      <c r="L51" s="89" t="s">
        <v>217</v>
      </c>
    </row>
    <row r="52" spans="12:12" x14ac:dyDescent="0.35">
      <c r="L52" s="89" t="s">
        <v>218</v>
      </c>
    </row>
    <row r="53" spans="12:12" x14ac:dyDescent="0.35">
      <c r="L53" s="89" t="s">
        <v>219</v>
      </c>
    </row>
    <row r="54" spans="12:12" x14ac:dyDescent="0.35">
      <c r="L54" s="89" t="s">
        <v>220</v>
      </c>
    </row>
    <row r="55" spans="12:12" x14ac:dyDescent="0.35">
      <c r="L55" s="94" t="s">
        <v>267</v>
      </c>
    </row>
    <row r="56" spans="12:12" x14ac:dyDescent="0.35">
      <c r="L56" s="94" t="s">
        <v>268</v>
      </c>
    </row>
    <row r="57" spans="12:12" x14ac:dyDescent="0.35">
      <c r="L57" s="94" t="s">
        <v>269</v>
      </c>
    </row>
    <row r="58" spans="12:12" x14ac:dyDescent="0.35">
      <c r="L58" s="94" t="s">
        <v>270</v>
      </c>
    </row>
    <row r="59" spans="12:12" x14ac:dyDescent="0.35">
      <c r="L59" s="94" t="s">
        <v>271</v>
      </c>
    </row>
    <row r="60" spans="12:12" x14ac:dyDescent="0.35">
      <c r="L60" s="94" t="s">
        <v>272</v>
      </c>
    </row>
    <row r="61" spans="12:12" x14ac:dyDescent="0.35">
      <c r="L61" s="94" t="s">
        <v>273</v>
      </c>
    </row>
    <row r="62" spans="12:12" x14ac:dyDescent="0.35">
      <c r="L62" s="88" t="s">
        <v>304</v>
      </c>
    </row>
    <row r="63" spans="12:12" x14ac:dyDescent="0.35">
      <c r="L63" s="88" t="s">
        <v>305</v>
      </c>
    </row>
    <row r="64" spans="12:12" x14ac:dyDescent="0.35">
      <c r="L64" s="88" t="s">
        <v>306</v>
      </c>
    </row>
    <row r="65" spans="12:12" x14ac:dyDescent="0.35">
      <c r="L65" s="88" t="s">
        <v>307</v>
      </c>
    </row>
    <row r="66" spans="12:12" x14ac:dyDescent="0.35">
      <c r="L66" s="88" t="s">
        <v>312</v>
      </c>
    </row>
    <row r="67" spans="12:12" x14ac:dyDescent="0.35">
      <c r="L67" s="88" t="s">
        <v>313</v>
      </c>
    </row>
    <row r="68" spans="12:12" x14ac:dyDescent="0.35">
      <c r="L68" s="88" t="s">
        <v>314</v>
      </c>
    </row>
    <row r="69" spans="12:12" x14ac:dyDescent="0.35">
      <c r="L69" s="88" t="s">
        <v>315</v>
      </c>
    </row>
    <row r="70" spans="12:12" x14ac:dyDescent="0.35">
      <c r="L70" s="88" t="s">
        <v>316</v>
      </c>
    </row>
    <row r="71" spans="12:12" x14ac:dyDescent="0.35">
      <c r="L71" s="88" t="s">
        <v>317</v>
      </c>
    </row>
    <row r="72" spans="12:12" x14ac:dyDescent="0.35">
      <c r="L72" s="88" t="s">
        <v>318</v>
      </c>
    </row>
    <row r="73" spans="12:12" x14ac:dyDescent="0.35">
      <c r="L73" s="88" t="s">
        <v>319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P696"/>
  <sheetViews>
    <sheetView showGridLines="0" workbookViewId="0">
      <pane ySplit="7" topLeftCell="A46" activePane="bottomLeft" state="frozen"/>
      <selection activeCell="A2" sqref="A2:L2"/>
      <selection pane="bottomLeft" activeCell="A2" sqref="A2:L2"/>
    </sheetView>
  </sheetViews>
  <sheetFormatPr baseColWidth="10" defaultColWidth="9.1796875" defaultRowHeight="14.5" x14ac:dyDescent="0.35"/>
  <cols>
    <col min="1" max="1" width="5.1796875" customWidth="1"/>
    <col min="2" max="2" width="8.1796875" bestFit="1" customWidth="1"/>
    <col min="3" max="3" width="15" bestFit="1" customWidth="1"/>
    <col min="4" max="4" width="10" bestFit="1" customWidth="1"/>
    <col min="5" max="5" width="12.1796875" customWidth="1"/>
    <col min="6" max="6" width="10" customWidth="1"/>
    <col min="7" max="7" width="10.453125" customWidth="1"/>
    <col min="11" max="11" width="4.81640625" customWidth="1"/>
  </cols>
  <sheetData>
    <row r="1" spans="1:94" s="8" customFormat="1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3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</row>
    <row r="2" spans="1:94" x14ac:dyDescent="0.35">
      <c r="A2" s="54"/>
      <c r="B2" s="371" t="s">
        <v>23</v>
      </c>
      <c r="C2" s="371"/>
      <c r="D2" s="371"/>
      <c r="E2" s="371"/>
      <c r="F2" s="371"/>
      <c r="G2" s="371"/>
      <c r="H2" s="371"/>
      <c r="I2" s="371"/>
      <c r="J2" s="371"/>
      <c r="K2" s="5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</row>
    <row r="3" spans="1:94" s="8" customFormat="1" x14ac:dyDescent="0.35">
      <c r="A3" s="54"/>
      <c r="B3" s="388" t="s">
        <v>25</v>
      </c>
      <c r="C3" s="388"/>
      <c r="D3" s="388"/>
      <c r="E3" s="388" t="s">
        <v>24</v>
      </c>
      <c r="F3" s="388"/>
      <c r="G3" s="388" t="s">
        <v>28</v>
      </c>
      <c r="H3" s="388"/>
      <c r="I3" s="388"/>
      <c r="J3" s="388"/>
      <c r="K3" s="5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</row>
    <row r="4" spans="1:94" s="8" customFormat="1" x14ac:dyDescent="0.35">
      <c r="A4" s="54"/>
      <c r="B4" s="387" t="s">
        <v>26</v>
      </c>
      <c r="C4" s="387"/>
      <c r="D4" s="387"/>
      <c r="E4" s="387" t="s">
        <v>27</v>
      </c>
      <c r="F4" s="387"/>
      <c r="G4" s="387" t="s">
        <v>29</v>
      </c>
      <c r="H4" s="387"/>
      <c r="I4" s="387"/>
      <c r="J4" s="387"/>
      <c r="K4" s="55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</row>
    <row r="5" spans="1:94" s="8" customFormat="1" x14ac:dyDescent="0.35">
      <c r="A5" s="54"/>
      <c r="B5" s="372" t="s">
        <v>31</v>
      </c>
      <c r="C5" s="387"/>
      <c r="D5" s="387"/>
      <c r="E5" s="387"/>
      <c r="F5" s="387"/>
      <c r="G5" s="387"/>
      <c r="H5" s="387"/>
      <c r="I5" s="387"/>
      <c r="J5" s="387"/>
      <c r="K5" s="5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</row>
    <row r="6" spans="1:94" x14ac:dyDescent="0.35">
      <c r="A6" s="54"/>
      <c r="B6" s="56"/>
      <c r="C6" s="56"/>
      <c r="D6" s="56"/>
      <c r="E6" s="56"/>
      <c r="F6" s="56"/>
      <c r="G6" s="56"/>
      <c r="H6" s="56"/>
      <c r="I6" s="56"/>
      <c r="J6" s="56"/>
      <c r="K6" s="55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</row>
    <row r="7" spans="1:94" x14ac:dyDescent="0.35">
      <c r="A7" s="54"/>
      <c r="B7" s="9" t="s">
        <v>0</v>
      </c>
      <c r="C7" s="9" t="s">
        <v>1</v>
      </c>
      <c r="D7" s="56"/>
      <c r="E7" s="56"/>
      <c r="F7" s="56"/>
      <c r="G7" s="56"/>
      <c r="H7" s="56"/>
      <c r="I7" s="56"/>
      <c r="J7" s="56"/>
      <c r="K7" s="55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</row>
    <row r="8" spans="1:94" x14ac:dyDescent="0.35">
      <c r="A8" s="54"/>
      <c r="B8" s="1">
        <v>41913</v>
      </c>
      <c r="C8" s="62">
        <v>344900</v>
      </c>
      <c r="D8" s="56"/>
      <c r="E8" s="56"/>
      <c r="F8" s="56"/>
      <c r="G8" s="56"/>
      <c r="H8" s="56"/>
      <c r="I8" s="56"/>
      <c r="J8" s="56"/>
      <c r="K8" s="55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</row>
    <row r="9" spans="1:94" x14ac:dyDescent="0.35">
      <c r="A9" s="54"/>
      <c r="B9" s="1">
        <v>41944</v>
      </c>
      <c r="C9" s="62">
        <v>355200</v>
      </c>
      <c r="D9" s="56"/>
      <c r="E9" s="56"/>
      <c r="F9" s="56"/>
      <c r="G9" s="56"/>
      <c r="H9" s="56"/>
      <c r="I9" s="56"/>
      <c r="J9" s="56"/>
      <c r="K9" s="55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</row>
    <row r="10" spans="1:94" x14ac:dyDescent="0.35">
      <c r="A10" s="54"/>
      <c r="B10" s="1">
        <v>41974</v>
      </c>
      <c r="C10" s="62">
        <v>355200</v>
      </c>
      <c r="D10" s="56"/>
      <c r="E10" s="56"/>
      <c r="F10" s="56"/>
      <c r="G10" s="56"/>
      <c r="H10" s="56"/>
      <c r="I10" s="56"/>
      <c r="J10" s="56"/>
      <c r="K10" s="55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</row>
    <row r="11" spans="1:94" x14ac:dyDescent="0.35">
      <c r="A11" s="54"/>
      <c r="B11" s="1">
        <v>42005</v>
      </c>
      <c r="C11" s="63">
        <v>360000</v>
      </c>
      <c r="D11" s="56" t="s">
        <v>30</v>
      </c>
      <c r="E11" s="56"/>
      <c r="F11" s="56"/>
      <c r="G11" s="56"/>
      <c r="H11" s="56"/>
      <c r="I11" s="56"/>
      <c r="J11" s="56"/>
      <c r="K11" s="55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</row>
    <row r="12" spans="1:94" x14ac:dyDescent="0.35">
      <c r="A12" s="54"/>
      <c r="B12" s="1">
        <v>42036</v>
      </c>
      <c r="C12" s="63">
        <v>362000</v>
      </c>
      <c r="D12" s="56" t="s">
        <v>30</v>
      </c>
      <c r="E12" s="56"/>
      <c r="F12" s="56"/>
      <c r="G12" s="56"/>
      <c r="H12" s="56"/>
      <c r="I12" s="56"/>
      <c r="J12" s="56"/>
      <c r="K12" s="55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</row>
    <row r="13" spans="1:94" x14ac:dyDescent="0.35">
      <c r="A13" s="54"/>
      <c r="B13" s="1">
        <v>42064</v>
      </c>
      <c r="C13" s="63">
        <v>369000</v>
      </c>
      <c r="D13" s="56" t="s">
        <v>30</v>
      </c>
      <c r="E13" s="56"/>
      <c r="F13" s="56"/>
      <c r="G13" s="56"/>
      <c r="H13" s="56"/>
      <c r="I13" s="56"/>
      <c r="J13" s="56"/>
      <c r="K13" s="5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</row>
    <row r="14" spans="1:94" x14ac:dyDescent="0.35">
      <c r="A14" s="54"/>
      <c r="B14" s="1">
        <v>42095</v>
      </c>
      <c r="C14" s="63">
        <v>380000</v>
      </c>
      <c r="D14" s="56" t="s">
        <v>30</v>
      </c>
      <c r="E14" s="56"/>
      <c r="F14" s="56"/>
      <c r="G14" s="56"/>
      <c r="H14" s="56"/>
      <c r="I14" s="56"/>
      <c r="J14" s="56"/>
      <c r="K14" s="5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</row>
    <row r="15" spans="1:94" x14ac:dyDescent="0.35">
      <c r="A15" s="54"/>
      <c r="B15" s="1">
        <v>42125</v>
      </c>
      <c r="C15" s="63">
        <v>395000</v>
      </c>
      <c r="D15" s="56" t="s">
        <v>30</v>
      </c>
      <c r="E15" s="56"/>
      <c r="F15" s="56"/>
      <c r="G15" s="56"/>
      <c r="H15" s="56"/>
      <c r="I15" s="56"/>
      <c r="J15" s="56"/>
      <c r="K15" s="5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</row>
    <row r="16" spans="1:94" x14ac:dyDescent="0.35">
      <c r="A16" s="54"/>
      <c r="B16" s="1">
        <v>42156</v>
      </c>
      <c r="C16" s="63">
        <v>415000</v>
      </c>
      <c r="D16" s="56" t="s">
        <v>30</v>
      </c>
      <c r="E16" s="56"/>
      <c r="F16" s="56"/>
      <c r="G16" s="56"/>
      <c r="H16" s="56"/>
      <c r="I16" s="56"/>
      <c r="J16" s="56"/>
      <c r="K16" s="5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</row>
    <row r="17" spans="1:94" x14ac:dyDescent="0.35">
      <c r="A17" s="54"/>
      <c r="B17" s="1">
        <v>42186</v>
      </c>
      <c r="C17" s="62">
        <v>421700</v>
      </c>
      <c r="D17" s="56"/>
      <c r="E17" s="56"/>
      <c r="F17" s="56"/>
      <c r="G17" s="56"/>
      <c r="H17" s="56"/>
      <c r="I17" s="56"/>
      <c r="J17" s="56"/>
      <c r="K17" s="55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</row>
    <row r="18" spans="1:94" x14ac:dyDescent="0.35">
      <c r="A18" s="54"/>
      <c r="B18" s="1">
        <v>42217</v>
      </c>
      <c r="C18" s="62">
        <v>421700</v>
      </c>
      <c r="D18" s="56"/>
      <c r="E18" s="56"/>
      <c r="F18" s="56"/>
      <c r="G18" s="56"/>
      <c r="H18" s="56"/>
      <c r="I18" s="56"/>
      <c r="J18" s="56"/>
      <c r="K18" s="55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</row>
    <row r="19" spans="1:94" x14ac:dyDescent="0.35">
      <c r="A19" s="54"/>
      <c r="B19" s="1">
        <v>42248</v>
      </c>
      <c r="C19" s="63">
        <v>430000</v>
      </c>
      <c r="D19" s="56" t="s">
        <v>30</v>
      </c>
      <c r="E19" s="56"/>
      <c r="F19" s="56"/>
      <c r="G19" s="56"/>
      <c r="H19" s="56"/>
      <c r="I19" s="56"/>
      <c r="J19" s="56"/>
      <c r="K19" s="5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</row>
    <row r="20" spans="1:94" x14ac:dyDescent="0.35">
      <c r="A20" s="54"/>
      <c r="B20" s="1">
        <v>42278</v>
      </c>
      <c r="C20" s="63">
        <v>450000</v>
      </c>
      <c r="D20" s="56" t="s">
        <v>30</v>
      </c>
      <c r="E20" s="56"/>
      <c r="F20" s="56"/>
      <c r="G20" s="56"/>
      <c r="H20" s="56"/>
      <c r="I20" s="56"/>
      <c r="J20" s="56"/>
      <c r="K20" s="55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</row>
    <row r="21" spans="1:94" x14ac:dyDescent="0.35">
      <c r="A21" s="54"/>
      <c r="B21" s="1">
        <v>42309</v>
      </c>
      <c r="C21" s="63">
        <v>450000</v>
      </c>
      <c r="D21" s="56" t="s">
        <v>30</v>
      </c>
      <c r="E21" s="56"/>
      <c r="F21" s="56"/>
      <c r="G21" s="56"/>
      <c r="H21" s="56"/>
      <c r="I21" s="56"/>
      <c r="J21" s="56"/>
      <c r="K21" s="55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</row>
    <row r="22" spans="1:94" x14ac:dyDescent="0.35">
      <c r="A22" s="54"/>
      <c r="B22" s="1">
        <v>42339</v>
      </c>
      <c r="C22" s="63">
        <v>460000</v>
      </c>
      <c r="D22" s="56" t="s">
        <v>30</v>
      </c>
      <c r="E22" s="56"/>
      <c r="F22" s="56"/>
      <c r="G22" s="56"/>
      <c r="H22" s="56"/>
      <c r="I22" s="56"/>
      <c r="J22" s="56"/>
      <c r="K22" s="55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</row>
    <row r="23" spans="1:94" x14ac:dyDescent="0.35">
      <c r="A23" s="54"/>
      <c r="B23" s="1">
        <v>42370</v>
      </c>
      <c r="C23" s="63">
        <v>530000</v>
      </c>
      <c r="D23" s="56" t="s">
        <v>30</v>
      </c>
      <c r="E23" s="56"/>
      <c r="F23" s="56"/>
      <c r="G23" s="56"/>
      <c r="H23" s="56"/>
      <c r="I23" s="56"/>
      <c r="J23" s="56"/>
      <c r="K23" s="55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</row>
    <row r="24" spans="1:94" x14ac:dyDescent="0.35">
      <c r="A24" s="54"/>
      <c r="B24" s="1">
        <v>42401</v>
      </c>
      <c r="C24" s="63">
        <v>540000</v>
      </c>
      <c r="D24" s="56" t="s">
        <v>30</v>
      </c>
      <c r="E24" s="56"/>
      <c r="F24" s="56"/>
      <c r="G24" s="56"/>
      <c r="H24" s="56"/>
      <c r="I24" s="56"/>
      <c r="J24" s="56"/>
      <c r="K24" s="5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</row>
    <row r="25" spans="1:94" x14ac:dyDescent="0.35">
      <c r="A25" s="54"/>
      <c r="B25" s="1">
        <v>42430</v>
      </c>
      <c r="C25" s="63">
        <v>550000</v>
      </c>
      <c r="D25" s="56" t="s">
        <v>30</v>
      </c>
      <c r="E25" s="56"/>
      <c r="F25" s="56"/>
      <c r="G25" s="56"/>
      <c r="H25" s="56"/>
      <c r="I25" s="56"/>
      <c r="J25" s="56"/>
      <c r="K25" s="55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</row>
    <row r="26" spans="1:94" x14ac:dyDescent="0.35">
      <c r="A26" s="54"/>
      <c r="B26" s="1">
        <v>42461</v>
      </c>
      <c r="C26" s="62">
        <v>565100</v>
      </c>
      <c r="D26" s="61">
        <f t="shared" ref="D26:D38" si="0">+C26/C25-1</f>
        <v>2.7454545454545398E-2</v>
      </c>
      <c r="E26" s="56"/>
      <c r="F26" s="56"/>
      <c r="G26" s="56"/>
      <c r="H26" s="56"/>
      <c r="I26" s="56"/>
      <c r="J26" s="56"/>
      <c r="K26" s="55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</row>
    <row r="27" spans="1:94" x14ac:dyDescent="0.35">
      <c r="A27" s="54"/>
      <c r="B27" s="1">
        <v>42491</v>
      </c>
      <c r="C27" s="62">
        <v>565100</v>
      </c>
      <c r="D27" s="61">
        <f t="shared" si="0"/>
        <v>0</v>
      </c>
      <c r="E27" s="56"/>
      <c r="F27" s="56"/>
      <c r="G27" s="56"/>
      <c r="H27" s="56"/>
      <c r="I27" s="56"/>
      <c r="J27" s="56"/>
      <c r="K27" s="55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</row>
    <row r="28" spans="1:94" x14ac:dyDescent="0.35">
      <c r="A28" s="54"/>
      <c r="B28" s="1">
        <v>42522</v>
      </c>
      <c r="C28" s="62">
        <v>565100</v>
      </c>
      <c r="D28" s="61">
        <f t="shared" si="0"/>
        <v>0</v>
      </c>
      <c r="E28" s="56"/>
      <c r="F28" s="56"/>
      <c r="G28" s="56"/>
      <c r="H28" s="56"/>
      <c r="I28" s="56"/>
      <c r="J28" s="56"/>
      <c r="K28" s="55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</row>
    <row r="29" spans="1:94" x14ac:dyDescent="0.35">
      <c r="A29" s="54"/>
      <c r="B29" s="1">
        <v>42552</v>
      </c>
      <c r="C29" s="62">
        <v>570100</v>
      </c>
      <c r="D29" s="61">
        <f t="shared" si="0"/>
        <v>8.8479915059280767E-3</v>
      </c>
      <c r="E29" s="56"/>
      <c r="F29" s="56"/>
      <c r="G29" s="56"/>
      <c r="H29" s="56"/>
      <c r="I29" s="56"/>
      <c r="J29" s="56"/>
      <c r="K29" s="5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</row>
    <row r="30" spans="1:94" x14ac:dyDescent="0.35">
      <c r="A30" s="54"/>
      <c r="B30" s="1">
        <v>42583</v>
      </c>
      <c r="C30" s="62">
        <v>570100</v>
      </c>
      <c r="D30" s="61">
        <f t="shared" si="0"/>
        <v>0</v>
      </c>
      <c r="E30" s="56"/>
      <c r="F30" s="56"/>
      <c r="G30" s="56"/>
      <c r="H30" s="56"/>
      <c r="I30" s="56"/>
      <c r="J30" s="56"/>
      <c r="K30" s="55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</row>
    <row r="31" spans="1:94" x14ac:dyDescent="0.35">
      <c r="A31" s="54"/>
      <c r="B31" s="1">
        <v>42614</v>
      </c>
      <c r="C31" s="62">
        <v>574200</v>
      </c>
      <c r="D31" s="61">
        <f t="shared" si="0"/>
        <v>7.1917207507454783E-3</v>
      </c>
      <c r="E31" s="56"/>
      <c r="F31" s="56"/>
      <c r="G31" s="56"/>
      <c r="H31" s="56"/>
      <c r="I31" s="56"/>
      <c r="J31" s="56"/>
      <c r="K31" s="55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</row>
    <row r="32" spans="1:94" x14ac:dyDescent="0.35">
      <c r="A32" s="54"/>
      <c r="B32" s="1">
        <v>42644</v>
      </c>
      <c r="C32" s="62">
        <v>579900</v>
      </c>
      <c r="D32" s="61">
        <f t="shared" si="0"/>
        <v>9.9268547544408836E-3</v>
      </c>
      <c r="E32" s="56"/>
      <c r="F32" s="56"/>
      <c r="G32" s="56"/>
      <c r="H32" s="56"/>
      <c r="I32" s="56"/>
      <c r="J32" s="56"/>
      <c r="K32" s="55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</row>
    <row r="33" spans="1:94" x14ac:dyDescent="0.35">
      <c r="A33" s="54"/>
      <c r="B33" s="1">
        <v>42675</v>
      </c>
      <c r="C33" s="62">
        <v>585900</v>
      </c>
      <c r="D33" s="61">
        <f t="shared" si="0"/>
        <v>1.034661148473881E-2</v>
      </c>
      <c r="E33" s="56"/>
      <c r="F33" s="56"/>
      <c r="G33" s="56"/>
      <c r="H33" s="56"/>
      <c r="I33" s="56"/>
      <c r="J33" s="56"/>
      <c r="K33" s="55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</row>
    <row r="34" spans="1:94" x14ac:dyDescent="0.35">
      <c r="A34" s="54"/>
      <c r="B34" s="1">
        <v>42705</v>
      </c>
      <c r="C34" s="62">
        <v>591900</v>
      </c>
      <c r="D34" s="61">
        <f t="shared" si="0"/>
        <v>1.0240655401945631E-2</v>
      </c>
      <c r="E34" s="56"/>
      <c r="F34" s="56"/>
      <c r="G34" s="56"/>
      <c r="H34" s="56"/>
      <c r="I34" s="56"/>
      <c r="J34" s="56"/>
      <c r="K34" s="55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</row>
    <row r="35" spans="1:94" x14ac:dyDescent="0.35">
      <c r="A35" s="54"/>
      <c r="B35" s="1">
        <v>42736</v>
      </c>
      <c r="C35" s="62">
        <v>591900</v>
      </c>
      <c r="D35" s="61">
        <f t="shared" si="0"/>
        <v>0</v>
      </c>
      <c r="E35" s="56"/>
      <c r="F35" s="56"/>
      <c r="G35" s="56"/>
      <c r="H35" s="56"/>
      <c r="I35" s="56"/>
      <c r="J35" s="56"/>
      <c r="K35" s="55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</row>
    <row r="36" spans="1:94" x14ac:dyDescent="0.35">
      <c r="A36" s="54"/>
      <c r="B36" s="1">
        <v>42767</v>
      </c>
      <c r="C36" s="62">
        <v>597300</v>
      </c>
      <c r="D36" s="61">
        <f t="shared" si="0"/>
        <v>9.1231626964014545E-3</v>
      </c>
      <c r="E36" s="56"/>
      <c r="F36" s="56"/>
      <c r="G36" s="56"/>
      <c r="H36" s="56"/>
      <c r="I36" s="56"/>
      <c r="J36" s="56"/>
      <c r="K36" s="55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</row>
    <row r="37" spans="1:94" x14ac:dyDescent="0.35">
      <c r="A37" s="54"/>
      <c r="B37" s="1">
        <v>42795</v>
      </c>
      <c r="C37" s="62">
        <v>604200</v>
      </c>
      <c r="D37" s="61">
        <f t="shared" si="0"/>
        <v>1.1551983927674536E-2</v>
      </c>
      <c r="E37" s="56"/>
      <c r="F37" s="56"/>
      <c r="G37" s="56"/>
      <c r="H37" s="56"/>
      <c r="I37" s="56"/>
      <c r="J37" s="56"/>
      <c r="K37" s="55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</row>
    <row r="38" spans="1:94" x14ac:dyDescent="0.35">
      <c r="A38" s="54"/>
      <c r="B38" s="1">
        <v>42826</v>
      </c>
      <c r="C38" s="62">
        <v>607800</v>
      </c>
      <c r="D38" s="61">
        <f t="shared" si="0"/>
        <v>5.9582919563059278E-3</v>
      </c>
      <c r="E38" s="56"/>
      <c r="F38" s="56"/>
      <c r="G38" s="56"/>
      <c r="H38" s="56"/>
      <c r="I38" s="56"/>
      <c r="J38" s="56"/>
      <c r="K38" s="55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</row>
    <row r="39" spans="1:94" x14ac:dyDescent="0.35">
      <c r="A39" s="54"/>
      <c r="B39" s="1">
        <v>42856</v>
      </c>
      <c r="C39" s="62">
        <v>613500</v>
      </c>
      <c r="D39" s="61">
        <f>+C39/C38-1</f>
        <v>9.378084896347394E-3</v>
      </c>
      <c r="E39" s="56"/>
      <c r="F39" s="56"/>
      <c r="G39" s="56"/>
      <c r="H39" s="56"/>
      <c r="I39" s="56"/>
      <c r="J39" s="56"/>
      <c r="K39" s="55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</row>
    <row r="40" spans="1:94" x14ac:dyDescent="0.35">
      <c r="A40" s="54"/>
      <c r="B40" s="1">
        <v>42887</v>
      </c>
      <c r="C40" s="62">
        <v>613500</v>
      </c>
      <c r="D40" s="61">
        <f>+C40/C39-1</f>
        <v>0</v>
      </c>
      <c r="E40" s="56"/>
      <c r="F40" s="56"/>
      <c r="G40" s="56"/>
      <c r="H40" s="56"/>
      <c r="I40" s="56"/>
      <c r="J40" s="56"/>
      <c r="K40" s="55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</row>
    <row r="41" spans="1:94" x14ac:dyDescent="0.35">
      <c r="A41" s="54"/>
      <c r="B41" s="1">
        <v>42917</v>
      </c>
      <c r="C41" s="62">
        <v>617900</v>
      </c>
      <c r="D41" s="61">
        <f>+C41/C40-1</f>
        <v>7.1719641401792877E-3</v>
      </c>
      <c r="E41" s="56"/>
      <c r="F41" s="56"/>
      <c r="G41" s="56"/>
      <c r="H41" s="56"/>
      <c r="I41" s="56"/>
      <c r="J41" s="56"/>
      <c r="K41" s="55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</row>
    <row r="42" spans="1:94" x14ac:dyDescent="0.35">
      <c r="A42" s="54"/>
      <c r="B42" s="1">
        <v>42948</v>
      </c>
      <c r="C42" s="62">
        <v>617900</v>
      </c>
      <c r="D42" s="61">
        <f t="shared" ref="D42:D60" si="1">+C42/C41-1</f>
        <v>0</v>
      </c>
      <c r="E42" s="56"/>
      <c r="F42" s="56"/>
      <c r="G42" s="56"/>
      <c r="H42" s="56"/>
      <c r="I42" s="56"/>
      <c r="J42" s="56"/>
      <c r="K42" s="55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</row>
    <row r="43" spans="1:94" x14ac:dyDescent="0.35">
      <c r="A43" s="54"/>
      <c r="B43" s="1">
        <v>42979</v>
      </c>
      <c r="C43" s="62">
        <v>624700</v>
      </c>
      <c r="D43" s="61">
        <f t="shared" si="1"/>
        <v>1.1005016993040906E-2</v>
      </c>
      <c r="E43" s="56"/>
      <c r="F43" s="56"/>
      <c r="G43" s="56"/>
      <c r="H43" s="56"/>
      <c r="I43" s="56"/>
      <c r="J43" s="56"/>
      <c r="K43" s="55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</row>
    <row r="44" spans="1:94" x14ac:dyDescent="0.35">
      <c r="A44" s="54"/>
      <c r="B44" s="1">
        <v>43009</v>
      </c>
      <c r="C44" s="62">
        <v>631600</v>
      </c>
      <c r="D44" s="61">
        <f t="shared" si="1"/>
        <v>1.1045301744837532E-2</v>
      </c>
      <c r="E44" s="56"/>
      <c r="F44" s="56"/>
      <c r="G44" s="56"/>
      <c r="H44" s="56"/>
      <c r="I44" s="56"/>
      <c r="J44" s="56"/>
      <c r="K44" s="55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</row>
    <row r="45" spans="1:94" x14ac:dyDescent="0.35">
      <c r="A45" s="54"/>
      <c r="B45" s="1">
        <v>43040</v>
      </c>
      <c r="C45" s="62">
        <v>638800</v>
      </c>
      <c r="D45" s="61">
        <f t="shared" si="1"/>
        <v>1.1399620012666256E-2</v>
      </c>
      <c r="E45" s="56"/>
      <c r="F45" s="56"/>
      <c r="G45" s="56"/>
      <c r="H45" s="56"/>
      <c r="I45" s="56"/>
      <c r="J45" s="56"/>
      <c r="K45" s="55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</row>
    <row r="46" spans="1:94" x14ac:dyDescent="0.35">
      <c r="A46" s="54"/>
      <c r="B46" s="1">
        <v>43070</v>
      </c>
      <c r="C46" s="62">
        <v>655000</v>
      </c>
      <c r="D46" s="61">
        <f t="shared" si="1"/>
        <v>2.5360050093926167E-2</v>
      </c>
      <c r="E46" s="56"/>
      <c r="F46" s="56"/>
      <c r="G46" s="56"/>
      <c r="H46" s="56"/>
      <c r="I46" s="56"/>
      <c r="J46" s="56"/>
      <c r="K46" s="55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</row>
    <row r="47" spans="1:94" x14ac:dyDescent="0.35">
      <c r="A47" s="54"/>
      <c r="B47" s="1">
        <v>43101</v>
      </c>
      <c r="C47" s="62">
        <v>655000</v>
      </c>
      <c r="D47" s="61">
        <f t="shared" si="1"/>
        <v>0</v>
      </c>
      <c r="E47" s="56"/>
      <c r="F47" s="56"/>
      <c r="G47" s="56"/>
      <c r="H47" s="56"/>
      <c r="I47" s="56"/>
      <c r="J47" s="56"/>
      <c r="K47" s="55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</row>
    <row r="48" spans="1:94" x14ac:dyDescent="0.35">
      <c r="A48" s="54"/>
      <c r="B48" s="1">
        <v>43132</v>
      </c>
      <c r="C48" s="62">
        <v>662800</v>
      </c>
      <c r="D48" s="61">
        <f t="shared" si="1"/>
        <v>1.1908396946564981E-2</v>
      </c>
      <c r="E48" s="56"/>
      <c r="F48" s="56"/>
      <c r="G48" s="56"/>
      <c r="H48" s="56"/>
      <c r="I48" s="56"/>
      <c r="J48" s="56"/>
      <c r="K48" s="55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</row>
    <row r="49" spans="1:94" x14ac:dyDescent="0.35">
      <c r="A49" s="54"/>
      <c r="B49" s="1">
        <v>43160</v>
      </c>
      <c r="C49" s="62">
        <v>673000</v>
      </c>
      <c r="D49" s="61">
        <f>+C49/C48-1</f>
        <v>1.5389257694628844E-2</v>
      </c>
      <c r="E49" s="56"/>
      <c r="F49" s="56"/>
      <c r="G49" s="56"/>
      <c r="H49" s="56"/>
      <c r="I49" s="56"/>
      <c r="J49" s="56"/>
      <c r="K49" s="5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</row>
    <row r="50" spans="1:94" x14ac:dyDescent="0.35">
      <c r="A50" s="54"/>
      <c r="B50" s="1">
        <v>43191</v>
      </c>
      <c r="C50" s="62">
        <v>686500</v>
      </c>
      <c r="D50" s="61">
        <f t="shared" si="1"/>
        <v>2.0059435364041533E-2</v>
      </c>
      <c r="E50" s="56"/>
      <c r="F50" s="56"/>
      <c r="G50" s="56"/>
      <c r="H50" s="56"/>
      <c r="I50" s="56"/>
      <c r="J50" s="56"/>
      <c r="K50" s="55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</row>
    <row r="51" spans="1:94" x14ac:dyDescent="0.35">
      <c r="A51" s="54"/>
      <c r="B51" s="1">
        <v>43221</v>
      </c>
      <c r="C51" s="62">
        <v>703900</v>
      </c>
      <c r="D51" s="61">
        <f t="shared" si="1"/>
        <v>2.5345957756736981E-2</v>
      </c>
      <c r="E51" s="56"/>
      <c r="F51" s="56"/>
      <c r="G51" s="56"/>
      <c r="H51" s="56"/>
      <c r="I51" s="56"/>
      <c r="J51" s="56"/>
      <c r="K51" s="55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</row>
    <row r="52" spans="1:94" x14ac:dyDescent="0.35">
      <c r="A52" s="54"/>
      <c r="B52" s="1">
        <v>43252</v>
      </c>
      <c r="C52" s="62">
        <v>725300</v>
      </c>
      <c r="D52" s="61">
        <f t="shared" si="1"/>
        <v>3.0402045745134165E-2</v>
      </c>
      <c r="E52" s="56"/>
      <c r="F52" s="56"/>
      <c r="G52" s="56"/>
      <c r="H52" s="56"/>
      <c r="I52" s="56"/>
      <c r="J52" s="56"/>
      <c r="K52" s="5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</row>
    <row r="53" spans="1:94" x14ac:dyDescent="0.35">
      <c r="A53" s="54"/>
      <c r="B53" s="1">
        <v>43282</v>
      </c>
      <c r="C53" s="62">
        <v>776100</v>
      </c>
      <c r="D53" s="61">
        <f t="shared" si="1"/>
        <v>7.0039983455121968E-2</v>
      </c>
      <c r="E53" s="56"/>
      <c r="F53" s="56"/>
      <c r="G53" s="56"/>
      <c r="H53" s="56"/>
      <c r="I53" s="56"/>
      <c r="J53" s="56"/>
      <c r="K53" s="55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</row>
    <row r="54" spans="1:94" x14ac:dyDescent="0.35">
      <c r="A54" s="54"/>
      <c r="B54" s="1">
        <v>43313</v>
      </c>
      <c r="C54" s="62">
        <v>836200</v>
      </c>
      <c r="D54" s="61">
        <f t="shared" si="1"/>
        <v>7.7438474423399128E-2</v>
      </c>
      <c r="E54" s="56"/>
      <c r="F54" s="56"/>
      <c r="G54" s="56"/>
      <c r="H54" s="56"/>
      <c r="I54" s="56"/>
      <c r="J54" s="56"/>
      <c r="K54" s="55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</row>
    <row r="55" spans="1:94" x14ac:dyDescent="0.35">
      <c r="A55" s="54"/>
      <c r="B55" s="1">
        <v>43344</v>
      </c>
      <c r="C55" s="62">
        <v>888500</v>
      </c>
      <c r="D55" s="61">
        <f t="shared" si="1"/>
        <v>6.2544845730686527E-2</v>
      </c>
      <c r="E55" s="56"/>
      <c r="F55" s="56"/>
      <c r="G55" s="56"/>
      <c r="H55" s="56"/>
      <c r="I55" s="56"/>
      <c r="J55" s="56"/>
      <c r="K55" s="55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</row>
    <row r="56" spans="1:94" x14ac:dyDescent="0.35">
      <c r="A56" s="54"/>
      <c r="B56" s="1">
        <v>43374</v>
      </c>
      <c r="C56" s="62">
        <v>928500</v>
      </c>
      <c r="D56" s="61">
        <f t="shared" si="1"/>
        <v>4.5019696117051256E-2</v>
      </c>
      <c r="E56" s="61"/>
      <c r="F56" s="56"/>
      <c r="G56" s="56"/>
      <c r="H56" s="56"/>
      <c r="I56" s="56"/>
      <c r="J56" s="56"/>
      <c r="K56" s="55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</row>
    <row r="57" spans="1:94" x14ac:dyDescent="0.35">
      <c r="A57" s="54"/>
      <c r="B57" s="1">
        <v>43405</v>
      </c>
      <c r="C57" s="62">
        <v>928500</v>
      </c>
      <c r="D57" s="61">
        <f t="shared" si="1"/>
        <v>0</v>
      </c>
      <c r="E57" s="56"/>
      <c r="F57" s="56"/>
      <c r="G57" s="56"/>
      <c r="H57" s="56"/>
      <c r="I57" s="56"/>
      <c r="J57" s="56"/>
      <c r="K57" s="55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</row>
    <row r="58" spans="1:94" x14ac:dyDescent="0.35">
      <c r="A58" s="54"/>
      <c r="B58" s="1">
        <v>43435</v>
      </c>
      <c r="C58" s="62">
        <v>1112200</v>
      </c>
      <c r="D58" s="61">
        <f t="shared" si="1"/>
        <v>0.19784598815293486</v>
      </c>
      <c r="E58" s="56"/>
      <c r="F58" s="56"/>
      <c r="G58" s="56"/>
      <c r="H58" s="56"/>
      <c r="I58" s="56"/>
      <c r="J58" s="56"/>
      <c r="K58" s="5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</row>
    <row r="59" spans="1:94" x14ac:dyDescent="0.35">
      <c r="A59" s="54"/>
      <c r="B59" s="1">
        <v>43466</v>
      </c>
      <c r="C59" s="62">
        <v>1145600</v>
      </c>
      <c r="D59" s="61">
        <f t="shared" si="1"/>
        <v>3.003057004135945E-2</v>
      </c>
      <c r="E59" s="56"/>
      <c r="F59" s="56"/>
      <c r="G59" s="56"/>
      <c r="H59" s="56"/>
      <c r="I59" s="56"/>
      <c r="J59" s="56"/>
      <c r="K59" s="55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</row>
    <row r="60" spans="1:94" x14ac:dyDescent="0.35">
      <c r="A60" s="54"/>
      <c r="B60" s="1">
        <v>43497</v>
      </c>
      <c r="C60" s="62">
        <v>1145600</v>
      </c>
      <c r="D60" s="61">
        <f t="shared" si="1"/>
        <v>0</v>
      </c>
      <c r="E60" s="56"/>
      <c r="F60" s="56"/>
      <c r="G60" s="56"/>
      <c r="H60" s="56"/>
      <c r="I60" s="56"/>
      <c r="J60" s="56"/>
      <c r="K60" s="55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</row>
    <row r="61" spans="1:94" x14ac:dyDescent="0.35">
      <c r="A61" s="54"/>
      <c r="B61" s="1">
        <v>43525</v>
      </c>
      <c r="C61" s="62"/>
      <c r="D61" s="56"/>
      <c r="E61" s="56"/>
      <c r="F61" s="56"/>
      <c r="G61" s="56"/>
      <c r="H61" s="56"/>
      <c r="I61" s="56"/>
      <c r="J61" s="56"/>
      <c r="K61" s="55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</row>
    <row r="62" spans="1:94" x14ac:dyDescent="0.35">
      <c r="A62" s="54"/>
      <c r="B62" s="1">
        <v>43556</v>
      </c>
      <c r="C62" s="62"/>
      <c r="D62" s="56"/>
      <c r="E62" s="56"/>
      <c r="F62" s="56"/>
      <c r="G62" s="56"/>
      <c r="H62" s="56"/>
      <c r="I62" s="56"/>
      <c r="J62" s="56"/>
      <c r="K62" s="55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</row>
    <row r="63" spans="1:94" x14ac:dyDescent="0.35">
      <c r="A63" s="54"/>
      <c r="B63" s="1">
        <v>43586</v>
      </c>
      <c r="C63" s="62"/>
      <c r="D63" s="56"/>
      <c r="E63" s="56"/>
      <c r="F63" s="56"/>
      <c r="G63" s="56"/>
      <c r="H63" s="56"/>
      <c r="I63" s="56"/>
      <c r="J63" s="56"/>
      <c r="K63" s="55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</row>
    <row r="64" spans="1:94" x14ac:dyDescent="0.35">
      <c r="A64" s="54"/>
      <c r="B64" s="1">
        <v>43617</v>
      </c>
      <c r="C64" s="62"/>
      <c r="D64" s="56"/>
      <c r="E64" s="56"/>
      <c r="F64" s="56"/>
      <c r="G64" s="56"/>
      <c r="H64" s="56"/>
      <c r="I64" s="56"/>
      <c r="J64" s="56"/>
      <c r="K64" s="55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x14ac:dyDescent="0.35">
      <c r="A65" s="54"/>
      <c r="B65" s="1">
        <v>43647</v>
      </c>
      <c r="C65" s="62"/>
      <c r="D65" s="56"/>
      <c r="E65" s="56"/>
      <c r="F65" s="56"/>
      <c r="G65" s="56"/>
      <c r="H65" s="56"/>
      <c r="I65" s="56"/>
      <c r="J65" s="56"/>
      <c r="K65" s="55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</row>
    <row r="66" spans="1:94" x14ac:dyDescent="0.35">
      <c r="A66" s="54"/>
      <c r="B66" s="1">
        <v>43678</v>
      </c>
      <c r="C66" s="62"/>
      <c r="D66" s="56"/>
      <c r="E66" s="56"/>
      <c r="F66" s="56"/>
      <c r="G66" s="56"/>
      <c r="H66" s="56"/>
      <c r="I66" s="56"/>
      <c r="J66" s="56"/>
      <c r="K66" s="55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</row>
    <row r="67" spans="1:94" x14ac:dyDescent="0.35">
      <c r="A67" s="54"/>
      <c r="B67" s="1">
        <v>43709</v>
      </c>
      <c r="C67" s="62"/>
      <c r="D67" s="56"/>
      <c r="E67" s="56"/>
      <c r="F67" s="56"/>
      <c r="G67" s="56"/>
      <c r="H67" s="56"/>
      <c r="I67" s="56"/>
      <c r="J67" s="56"/>
      <c r="K67" s="55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</row>
    <row r="68" spans="1:94" x14ac:dyDescent="0.35">
      <c r="A68" s="54"/>
      <c r="B68" s="1">
        <v>43739</v>
      </c>
      <c r="C68" s="62"/>
      <c r="D68" s="56"/>
      <c r="E68" s="56"/>
      <c r="F68" s="56"/>
      <c r="G68" s="56"/>
      <c r="H68" s="56"/>
      <c r="I68" s="56"/>
      <c r="J68" s="56"/>
      <c r="K68" s="55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</row>
    <row r="69" spans="1:94" x14ac:dyDescent="0.35">
      <c r="A69" s="54"/>
      <c r="B69" s="1">
        <v>43770</v>
      </c>
      <c r="C69" s="62"/>
      <c r="D69" s="56"/>
      <c r="E69" s="56"/>
      <c r="F69" s="56"/>
      <c r="G69" s="56"/>
      <c r="H69" s="56"/>
      <c r="I69" s="56"/>
      <c r="J69" s="56"/>
      <c r="K69" s="55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</row>
    <row r="70" spans="1:94" x14ac:dyDescent="0.35">
      <c r="A70" s="54"/>
      <c r="B70" s="1">
        <v>43800</v>
      </c>
      <c r="C70" s="62"/>
      <c r="D70" s="56"/>
      <c r="E70" s="56"/>
      <c r="F70" s="56"/>
      <c r="G70" s="56"/>
      <c r="H70" s="56"/>
      <c r="I70" s="56"/>
      <c r="J70" s="56"/>
      <c r="K70" s="55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</row>
    <row r="71" spans="1:94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</row>
    <row r="72" spans="1:94" x14ac:dyDescent="0.3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</row>
    <row r="73" spans="1:94" x14ac:dyDescent="0.3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</row>
    <row r="74" spans="1:94" x14ac:dyDescent="0.3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</row>
    <row r="75" spans="1:94" x14ac:dyDescent="0.3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</row>
    <row r="76" spans="1:94" x14ac:dyDescent="0.3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</row>
    <row r="77" spans="1:94" x14ac:dyDescent="0.3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</row>
    <row r="78" spans="1:94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</row>
    <row r="79" spans="1:94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</row>
    <row r="80" spans="1:94" x14ac:dyDescent="0.3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</row>
    <row r="81" spans="1:94" x14ac:dyDescent="0.3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</row>
    <row r="82" spans="1:94" x14ac:dyDescent="0.3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</row>
    <row r="83" spans="1:94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</row>
    <row r="84" spans="1:94" x14ac:dyDescent="0.3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</row>
    <row r="85" spans="1:94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</row>
    <row r="86" spans="1:94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</row>
    <row r="87" spans="1:94" x14ac:dyDescent="0.3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</row>
    <row r="88" spans="1:94" x14ac:dyDescent="0.3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</row>
    <row r="89" spans="1:94" x14ac:dyDescent="0.3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</row>
    <row r="90" spans="1:94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</row>
    <row r="91" spans="1:94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</row>
    <row r="92" spans="1:94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</row>
    <row r="93" spans="1:94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</row>
    <row r="94" spans="1:94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</row>
    <row r="95" spans="1:94" x14ac:dyDescent="0.3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</row>
    <row r="96" spans="1:94" x14ac:dyDescent="0.3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</row>
    <row r="97" spans="1:94" x14ac:dyDescent="0.3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</row>
    <row r="98" spans="1:94" x14ac:dyDescent="0.3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</row>
    <row r="99" spans="1:94" x14ac:dyDescent="0.3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</row>
    <row r="100" spans="1:94" x14ac:dyDescent="0.3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</row>
    <row r="101" spans="1:94" x14ac:dyDescent="0.3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</row>
    <row r="102" spans="1:94" x14ac:dyDescent="0.3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</row>
    <row r="103" spans="1:94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</row>
    <row r="104" spans="1:94" x14ac:dyDescent="0.3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</row>
    <row r="105" spans="1:94" x14ac:dyDescent="0.3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</row>
    <row r="106" spans="1:94" x14ac:dyDescent="0.3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</row>
    <row r="107" spans="1:94" x14ac:dyDescent="0.3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</row>
    <row r="108" spans="1:94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</row>
    <row r="109" spans="1:94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</row>
    <row r="110" spans="1:94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</row>
    <row r="111" spans="1:94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</row>
    <row r="112" spans="1:94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</row>
    <row r="113" spans="1:94" x14ac:dyDescent="0.3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</row>
    <row r="114" spans="1:94" x14ac:dyDescent="0.3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</row>
    <row r="115" spans="1:94" x14ac:dyDescent="0.3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</row>
    <row r="116" spans="1:94" x14ac:dyDescent="0.3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</row>
    <row r="117" spans="1:94" x14ac:dyDescent="0.3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</row>
    <row r="118" spans="1:94" x14ac:dyDescent="0.3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</row>
    <row r="119" spans="1:94" x14ac:dyDescent="0.3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</row>
    <row r="120" spans="1:94" x14ac:dyDescent="0.3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</row>
    <row r="121" spans="1:94" x14ac:dyDescent="0.3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</row>
    <row r="122" spans="1:94" x14ac:dyDescent="0.3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</row>
    <row r="123" spans="1:94" x14ac:dyDescent="0.3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</row>
    <row r="124" spans="1:94" x14ac:dyDescent="0.3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</row>
    <row r="125" spans="1:94" x14ac:dyDescent="0.3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</row>
    <row r="126" spans="1:94" x14ac:dyDescent="0.3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</row>
    <row r="127" spans="1:94" x14ac:dyDescent="0.3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</row>
    <row r="128" spans="1:94" x14ac:dyDescent="0.3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</row>
    <row r="129" spans="1:94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</row>
    <row r="130" spans="1:94" x14ac:dyDescent="0.3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</row>
    <row r="131" spans="1:94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</row>
    <row r="132" spans="1:94" x14ac:dyDescent="0.3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</row>
    <row r="133" spans="1:94" x14ac:dyDescent="0.3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</row>
    <row r="134" spans="1:94" x14ac:dyDescent="0.3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</row>
    <row r="135" spans="1:94" x14ac:dyDescent="0.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</row>
    <row r="136" spans="1:94" x14ac:dyDescent="0.3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</row>
    <row r="137" spans="1:94" x14ac:dyDescent="0.3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</row>
    <row r="138" spans="1:94" x14ac:dyDescent="0.3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</row>
    <row r="139" spans="1:94" x14ac:dyDescent="0.3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</row>
    <row r="140" spans="1:94" x14ac:dyDescent="0.3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</row>
    <row r="141" spans="1:94" x14ac:dyDescent="0.3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</row>
    <row r="142" spans="1:94" x14ac:dyDescent="0.3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</row>
    <row r="143" spans="1:94" x14ac:dyDescent="0.3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</row>
    <row r="144" spans="1:94" x14ac:dyDescent="0.3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</row>
    <row r="145" spans="1:94" x14ac:dyDescent="0.3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</row>
    <row r="146" spans="1:94" x14ac:dyDescent="0.3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</row>
    <row r="147" spans="1:94" x14ac:dyDescent="0.3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</row>
    <row r="148" spans="1:94" x14ac:dyDescent="0.3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</row>
    <row r="149" spans="1:94" x14ac:dyDescent="0.3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</row>
    <row r="150" spans="1:94" x14ac:dyDescent="0.3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</row>
    <row r="151" spans="1:94" x14ac:dyDescent="0.3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</row>
    <row r="152" spans="1:94" x14ac:dyDescent="0.3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</row>
    <row r="153" spans="1:94" x14ac:dyDescent="0.3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</row>
    <row r="154" spans="1:94" x14ac:dyDescent="0.3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</row>
    <row r="155" spans="1:94" x14ac:dyDescent="0.3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</row>
    <row r="156" spans="1:94" x14ac:dyDescent="0.3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</row>
    <row r="157" spans="1:94" x14ac:dyDescent="0.3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</row>
    <row r="158" spans="1:94" x14ac:dyDescent="0.3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</row>
    <row r="159" spans="1:94" x14ac:dyDescent="0.3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</row>
    <row r="160" spans="1:94" x14ac:dyDescent="0.3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</row>
    <row r="161" spans="1:94" x14ac:dyDescent="0.3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</row>
    <row r="162" spans="1:94" x14ac:dyDescent="0.3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</row>
    <row r="163" spans="1:94" x14ac:dyDescent="0.3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</row>
    <row r="164" spans="1:94" x14ac:dyDescent="0.3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</row>
    <row r="165" spans="1:94" x14ac:dyDescent="0.3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</row>
    <row r="166" spans="1:94" x14ac:dyDescent="0.3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</row>
    <row r="167" spans="1:94" x14ac:dyDescent="0.3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</row>
    <row r="168" spans="1:94" x14ac:dyDescent="0.3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</row>
    <row r="169" spans="1:94" x14ac:dyDescent="0.3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</row>
    <row r="170" spans="1:94" x14ac:dyDescent="0.3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</row>
    <row r="171" spans="1:94" x14ac:dyDescent="0.3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</row>
    <row r="172" spans="1:94" x14ac:dyDescent="0.3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</row>
    <row r="173" spans="1:94" x14ac:dyDescent="0.3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</row>
    <row r="174" spans="1:94" x14ac:dyDescent="0.3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</row>
    <row r="175" spans="1:94" x14ac:dyDescent="0.3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</row>
    <row r="176" spans="1:94" x14ac:dyDescent="0.3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</row>
    <row r="177" spans="1:94" x14ac:dyDescent="0.3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</row>
    <row r="178" spans="1:94" x14ac:dyDescent="0.3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</row>
    <row r="179" spans="1:94" x14ac:dyDescent="0.3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</row>
    <row r="180" spans="1:94" x14ac:dyDescent="0.3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</row>
    <row r="181" spans="1:94" x14ac:dyDescent="0.3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</row>
    <row r="182" spans="1:94" x14ac:dyDescent="0.3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</row>
    <row r="183" spans="1:94" x14ac:dyDescent="0.3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</row>
    <row r="184" spans="1:94" x14ac:dyDescent="0.3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</row>
    <row r="185" spans="1:94" x14ac:dyDescent="0.3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</row>
    <row r="186" spans="1:94" x14ac:dyDescent="0.3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</row>
    <row r="187" spans="1:94" x14ac:dyDescent="0.3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</row>
    <row r="188" spans="1:94" x14ac:dyDescent="0.3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</row>
    <row r="189" spans="1:94" x14ac:dyDescent="0.3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</row>
    <row r="190" spans="1:94" x14ac:dyDescent="0.3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</row>
    <row r="191" spans="1:94" x14ac:dyDescent="0.3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</row>
    <row r="192" spans="1:94" x14ac:dyDescent="0.3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</row>
    <row r="193" spans="1:94" x14ac:dyDescent="0.3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</row>
    <row r="194" spans="1:94" x14ac:dyDescent="0.3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</row>
    <row r="195" spans="1:94" x14ac:dyDescent="0.3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</row>
    <row r="196" spans="1:94" x14ac:dyDescent="0.3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</row>
    <row r="197" spans="1:94" x14ac:dyDescent="0.3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</row>
    <row r="198" spans="1:94" x14ac:dyDescent="0.3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</row>
    <row r="199" spans="1:94" x14ac:dyDescent="0.3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</row>
    <row r="200" spans="1:94" x14ac:dyDescent="0.3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</row>
    <row r="201" spans="1:94" x14ac:dyDescent="0.3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</row>
    <row r="202" spans="1:94" x14ac:dyDescent="0.3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</row>
    <row r="203" spans="1:94" x14ac:dyDescent="0.3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</row>
    <row r="204" spans="1:94" x14ac:dyDescent="0.3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</row>
    <row r="205" spans="1:94" x14ac:dyDescent="0.3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</row>
    <row r="206" spans="1:94" x14ac:dyDescent="0.3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</row>
    <row r="207" spans="1:94" x14ac:dyDescent="0.3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</row>
    <row r="208" spans="1:94" x14ac:dyDescent="0.3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</row>
    <row r="209" spans="1:94" x14ac:dyDescent="0.3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</row>
    <row r="210" spans="1:94" x14ac:dyDescent="0.3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</row>
    <row r="211" spans="1:94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</row>
    <row r="212" spans="1:94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</row>
    <row r="213" spans="1:94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</row>
    <row r="214" spans="1:94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</row>
    <row r="215" spans="1:94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</row>
    <row r="216" spans="1:94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</row>
    <row r="217" spans="1:94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</row>
    <row r="218" spans="1:94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</row>
    <row r="219" spans="1:94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</row>
    <row r="220" spans="1:94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</row>
    <row r="221" spans="1:94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</row>
    <row r="222" spans="1:94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</row>
    <row r="223" spans="1:94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</row>
    <row r="224" spans="1:94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</row>
    <row r="225" spans="1:94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</row>
    <row r="226" spans="1:94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</row>
    <row r="227" spans="1:94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</row>
    <row r="228" spans="1:94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</row>
    <row r="229" spans="1:94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</row>
    <row r="230" spans="1:94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</row>
    <row r="231" spans="1:94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</row>
    <row r="232" spans="1:94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</row>
    <row r="233" spans="1:94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</row>
    <row r="234" spans="1:94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</row>
    <row r="235" spans="1:94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</row>
    <row r="236" spans="1:94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</row>
    <row r="237" spans="1:94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</row>
    <row r="238" spans="1:94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</row>
    <row r="239" spans="1:94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</row>
    <row r="240" spans="1:94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</row>
    <row r="241" spans="1:94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</row>
    <row r="242" spans="1:94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</row>
    <row r="243" spans="1:94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</row>
    <row r="244" spans="1:94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</row>
    <row r="245" spans="1:94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</row>
    <row r="246" spans="1:94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</row>
    <row r="247" spans="1:94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</row>
    <row r="248" spans="1:94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</row>
    <row r="249" spans="1:94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</row>
    <row r="250" spans="1:94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</row>
    <row r="251" spans="1:94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</row>
    <row r="252" spans="1:94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</row>
    <row r="253" spans="1:94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</row>
    <row r="254" spans="1:94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</row>
    <row r="255" spans="1:94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</row>
    <row r="256" spans="1:94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</row>
    <row r="257" spans="1:94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</row>
    <row r="258" spans="1:94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</row>
    <row r="259" spans="1:94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</row>
    <row r="260" spans="1:94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</row>
    <row r="261" spans="1:94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</row>
    <row r="262" spans="1:94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</row>
    <row r="263" spans="1:94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</row>
    <row r="264" spans="1:94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</row>
    <row r="265" spans="1:94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</row>
    <row r="266" spans="1:94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</row>
    <row r="267" spans="1:94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</row>
    <row r="268" spans="1:94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</row>
    <row r="269" spans="1:94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</row>
    <row r="270" spans="1:94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</row>
    <row r="271" spans="1:94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</row>
    <row r="272" spans="1:94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</row>
    <row r="273" spans="1:94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</row>
    <row r="274" spans="1:94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</row>
    <row r="275" spans="1:94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</row>
    <row r="276" spans="1:94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</row>
    <row r="277" spans="1:94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</row>
    <row r="278" spans="1:94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</row>
    <row r="279" spans="1:94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</row>
    <row r="280" spans="1:94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</row>
    <row r="281" spans="1:94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</row>
    <row r="282" spans="1:94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</row>
    <row r="283" spans="1:94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</row>
    <row r="284" spans="1:94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</row>
    <row r="285" spans="1:94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</row>
    <row r="286" spans="1:94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</row>
    <row r="287" spans="1:94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</row>
    <row r="288" spans="1:94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</row>
    <row r="289" spans="1:94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</row>
    <row r="290" spans="1:94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</row>
    <row r="291" spans="1:94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</row>
    <row r="292" spans="1:94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</row>
    <row r="293" spans="1:94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</row>
    <row r="294" spans="1:94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</row>
    <row r="295" spans="1:94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</row>
    <row r="296" spans="1:94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</row>
    <row r="297" spans="1:94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</row>
    <row r="298" spans="1:94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</row>
    <row r="299" spans="1:94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</row>
    <row r="300" spans="1:94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</row>
    <row r="301" spans="1:94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</row>
    <row r="302" spans="1:94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</row>
    <row r="303" spans="1:94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</row>
    <row r="304" spans="1:94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</row>
    <row r="305" spans="1:94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</row>
    <row r="306" spans="1:94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</row>
    <row r="307" spans="1:94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</row>
    <row r="308" spans="1:94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</row>
    <row r="309" spans="1:94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</row>
    <row r="310" spans="1:94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</row>
    <row r="311" spans="1:94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</row>
    <row r="312" spans="1:94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</row>
    <row r="313" spans="1:94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</row>
    <row r="314" spans="1:94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</row>
    <row r="315" spans="1:94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</row>
    <row r="316" spans="1:94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</row>
    <row r="317" spans="1:94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</row>
    <row r="318" spans="1:94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</row>
    <row r="319" spans="1:94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</row>
    <row r="320" spans="1:94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</row>
    <row r="321" spans="1:94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</row>
    <row r="322" spans="1:94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</row>
    <row r="323" spans="1:94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</row>
    <row r="324" spans="1:94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</row>
    <row r="325" spans="1:94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</row>
    <row r="326" spans="1:94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</row>
    <row r="327" spans="1:94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</row>
    <row r="328" spans="1:94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</row>
    <row r="329" spans="1:94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</row>
    <row r="330" spans="1:94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</row>
    <row r="331" spans="1:94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</row>
    <row r="332" spans="1:94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</row>
    <row r="333" spans="1:94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</row>
    <row r="334" spans="1:94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</row>
    <row r="335" spans="1:94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</row>
    <row r="336" spans="1:94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</row>
    <row r="337" spans="1:94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</row>
    <row r="338" spans="1:94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</row>
    <row r="339" spans="1:94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</row>
    <row r="340" spans="1:94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</row>
    <row r="341" spans="1:94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</row>
    <row r="342" spans="1:94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</row>
    <row r="343" spans="1:94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</row>
    <row r="344" spans="1:94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</row>
    <row r="345" spans="1:94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</row>
    <row r="346" spans="1:94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</row>
    <row r="347" spans="1:94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</row>
    <row r="348" spans="1:94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</row>
    <row r="349" spans="1:94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</row>
    <row r="350" spans="1:94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</row>
    <row r="351" spans="1:94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</row>
    <row r="352" spans="1:94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</row>
    <row r="353" spans="1:94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</row>
    <row r="354" spans="1:94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</row>
    <row r="355" spans="1:94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</row>
    <row r="356" spans="1:94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</row>
    <row r="357" spans="1:94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</row>
    <row r="358" spans="1:94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</row>
    <row r="359" spans="1:94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</row>
    <row r="360" spans="1:94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</row>
    <row r="361" spans="1:94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</row>
    <row r="362" spans="1:94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</row>
    <row r="363" spans="1:94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</row>
    <row r="364" spans="1:94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</row>
    <row r="365" spans="1:94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</row>
    <row r="366" spans="1:94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</row>
    <row r="367" spans="1:94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</row>
    <row r="368" spans="1:94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</row>
    <row r="369" spans="1:94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</row>
    <row r="370" spans="1:94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</row>
    <row r="371" spans="1:94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</row>
    <row r="372" spans="1:94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</row>
    <row r="373" spans="1:94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</row>
    <row r="374" spans="1:94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</row>
    <row r="375" spans="1:94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</row>
    <row r="376" spans="1:94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</row>
    <row r="377" spans="1:94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</row>
    <row r="378" spans="1:94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</row>
    <row r="379" spans="1:94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</row>
    <row r="380" spans="1:94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</row>
    <row r="381" spans="1:94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</row>
    <row r="382" spans="1:94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</row>
    <row r="383" spans="1:94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</row>
    <row r="384" spans="1:94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</row>
    <row r="385" spans="1:94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</row>
    <row r="386" spans="1:94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</row>
    <row r="387" spans="1:94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</row>
    <row r="388" spans="1:94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</row>
    <row r="389" spans="1:94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</row>
    <row r="390" spans="1:94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</row>
    <row r="391" spans="1:94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</row>
    <row r="392" spans="1:94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</row>
    <row r="393" spans="1:94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</row>
    <row r="394" spans="1:94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</row>
    <row r="395" spans="1:94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</row>
    <row r="396" spans="1:94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</row>
    <row r="397" spans="1:94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</row>
    <row r="398" spans="1:94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</row>
    <row r="399" spans="1:94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</row>
    <row r="400" spans="1:94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</row>
    <row r="401" spans="1:94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</row>
    <row r="402" spans="1:94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</row>
    <row r="403" spans="1:94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</row>
    <row r="404" spans="1:94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</row>
    <row r="405" spans="1:94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</row>
    <row r="406" spans="1:94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</row>
    <row r="407" spans="1:94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</row>
    <row r="408" spans="1:94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</row>
    <row r="409" spans="1:94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</row>
    <row r="410" spans="1:94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</row>
    <row r="411" spans="1:94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</row>
    <row r="412" spans="1:94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</row>
    <row r="413" spans="1:94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</row>
    <row r="414" spans="1:94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</row>
    <row r="415" spans="1:94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</row>
    <row r="416" spans="1:94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</row>
    <row r="417" spans="1:94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</row>
    <row r="418" spans="1:94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</row>
    <row r="419" spans="1:94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</row>
    <row r="420" spans="1:94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</row>
    <row r="421" spans="1:94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</row>
    <row r="422" spans="1:94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</row>
    <row r="423" spans="1:94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</row>
    <row r="424" spans="1:94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</row>
    <row r="425" spans="1:94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</row>
    <row r="426" spans="1:94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</row>
    <row r="427" spans="1:94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</row>
    <row r="428" spans="1:94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</row>
    <row r="429" spans="1:94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</row>
    <row r="430" spans="1:94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</row>
    <row r="431" spans="1:94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</row>
    <row r="432" spans="1:94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</row>
    <row r="433" spans="1:94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</row>
    <row r="434" spans="1:94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</row>
    <row r="435" spans="1:94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</row>
    <row r="436" spans="1:94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</row>
    <row r="437" spans="1:94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</row>
    <row r="438" spans="1:94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</row>
    <row r="439" spans="1:94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</row>
    <row r="440" spans="1:94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</row>
    <row r="441" spans="1:94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</row>
    <row r="442" spans="1:94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</row>
    <row r="443" spans="1:94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</row>
    <row r="444" spans="1:94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</row>
    <row r="445" spans="1:94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</row>
    <row r="446" spans="1:94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</row>
    <row r="447" spans="1:94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</row>
    <row r="448" spans="1:94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</row>
    <row r="449" spans="1:94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</row>
    <row r="450" spans="1:94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</row>
    <row r="451" spans="1:94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</row>
    <row r="452" spans="1:94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</row>
    <row r="453" spans="1:94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</row>
    <row r="454" spans="1:94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</row>
    <row r="455" spans="1:94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</row>
    <row r="456" spans="1:94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</row>
    <row r="457" spans="1:94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</row>
    <row r="458" spans="1:94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</row>
    <row r="459" spans="1:94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</row>
    <row r="460" spans="1:94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</row>
    <row r="461" spans="1:94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</row>
    <row r="462" spans="1:94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</row>
    <row r="463" spans="1:94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</row>
    <row r="464" spans="1:94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</row>
    <row r="465" spans="1:94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</row>
    <row r="466" spans="1:94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</row>
    <row r="467" spans="1:94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</row>
    <row r="468" spans="1:94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</row>
    <row r="469" spans="1:94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</row>
    <row r="470" spans="1:94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</row>
    <row r="471" spans="1:94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</row>
    <row r="472" spans="1:94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</row>
    <row r="473" spans="1:94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</row>
    <row r="474" spans="1:94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</row>
    <row r="475" spans="1:94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</row>
    <row r="476" spans="1:94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</row>
    <row r="477" spans="1:94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</row>
    <row r="478" spans="1:94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</row>
    <row r="479" spans="1:94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</row>
    <row r="480" spans="1:94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</row>
    <row r="481" spans="1:94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</row>
    <row r="482" spans="1:94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</row>
    <row r="483" spans="1:94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</row>
    <row r="484" spans="1:94" x14ac:dyDescent="0.3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</row>
    <row r="485" spans="1:94" x14ac:dyDescent="0.3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</row>
    <row r="486" spans="1:94" x14ac:dyDescent="0.3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</row>
    <row r="487" spans="1:94" x14ac:dyDescent="0.3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</row>
    <row r="488" spans="1:94" x14ac:dyDescent="0.3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</row>
    <row r="489" spans="1:94" x14ac:dyDescent="0.3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</row>
    <row r="490" spans="1:94" x14ac:dyDescent="0.3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</row>
    <row r="491" spans="1:94" x14ac:dyDescent="0.3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</row>
    <row r="492" spans="1:94" x14ac:dyDescent="0.3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</row>
    <row r="493" spans="1:94" x14ac:dyDescent="0.3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</row>
    <row r="494" spans="1:94" x14ac:dyDescent="0.3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</row>
    <row r="495" spans="1:94" x14ac:dyDescent="0.3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</row>
    <row r="496" spans="1:94" x14ac:dyDescent="0.3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</row>
    <row r="497" spans="1:94" x14ac:dyDescent="0.3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</row>
    <row r="498" spans="1:94" x14ac:dyDescent="0.3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</row>
    <row r="499" spans="1:94" x14ac:dyDescent="0.3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</row>
    <row r="500" spans="1:94" x14ac:dyDescent="0.3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</row>
    <row r="501" spans="1:94" x14ac:dyDescent="0.3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</row>
    <row r="502" spans="1:94" x14ac:dyDescent="0.3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</row>
    <row r="503" spans="1:94" x14ac:dyDescent="0.3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</row>
    <row r="504" spans="1:94" x14ac:dyDescent="0.3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</row>
    <row r="505" spans="1:94" x14ac:dyDescent="0.3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</row>
    <row r="506" spans="1:94" x14ac:dyDescent="0.3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</row>
    <row r="507" spans="1:94" x14ac:dyDescent="0.3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</row>
    <row r="508" spans="1:94" x14ac:dyDescent="0.3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</row>
    <row r="509" spans="1:94" x14ac:dyDescent="0.3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</row>
    <row r="510" spans="1:94" x14ac:dyDescent="0.3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</row>
    <row r="511" spans="1:94" x14ac:dyDescent="0.3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</row>
    <row r="512" spans="1:94" x14ac:dyDescent="0.3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</row>
    <row r="513" spans="1:94" x14ac:dyDescent="0.3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</row>
    <row r="514" spans="1:94" x14ac:dyDescent="0.3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0"/>
      <c r="CJ514" s="20"/>
      <c r="CK514" s="20"/>
      <c r="CL514" s="20"/>
      <c r="CM514" s="20"/>
      <c r="CN514" s="20"/>
      <c r="CO514" s="20"/>
      <c r="CP514" s="20"/>
    </row>
    <row r="515" spans="1:94" x14ac:dyDescent="0.3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0"/>
      <c r="CJ515" s="20"/>
      <c r="CK515" s="20"/>
      <c r="CL515" s="20"/>
      <c r="CM515" s="20"/>
      <c r="CN515" s="20"/>
      <c r="CO515" s="20"/>
      <c r="CP515" s="20"/>
    </row>
    <row r="516" spans="1:94" x14ac:dyDescent="0.3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0"/>
      <c r="CJ516" s="20"/>
      <c r="CK516" s="20"/>
      <c r="CL516" s="20"/>
      <c r="CM516" s="20"/>
      <c r="CN516" s="20"/>
      <c r="CO516" s="20"/>
      <c r="CP516" s="20"/>
    </row>
    <row r="517" spans="1:94" x14ac:dyDescent="0.3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0"/>
      <c r="CJ517" s="20"/>
      <c r="CK517" s="20"/>
      <c r="CL517" s="20"/>
      <c r="CM517" s="20"/>
      <c r="CN517" s="20"/>
      <c r="CO517" s="20"/>
      <c r="CP517" s="20"/>
    </row>
    <row r="518" spans="1:94" x14ac:dyDescent="0.3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0"/>
      <c r="CJ518" s="20"/>
      <c r="CK518" s="20"/>
      <c r="CL518" s="20"/>
      <c r="CM518" s="20"/>
      <c r="CN518" s="20"/>
      <c r="CO518" s="20"/>
      <c r="CP518" s="20"/>
    </row>
    <row r="519" spans="1:94" x14ac:dyDescent="0.3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0"/>
      <c r="CJ519" s="20"/>
      <c r="CK519" s="20"/>
      <c r="CL519" s="20"/>
      <c r="CM519" s="20"/>
      <c r="CN519" s="20"/>
      <c r="CO519" s="20"/>
      <c r="CP519" s="20"/>
    </row>
    <row r="520" spans="1:94" x14ac:dyDescent="0.3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0"/>
      <c r="CJ520" s="20"/>
      <c r="CK520" s="20"/>
      <c r="CL520" s="20"/>
      <c r="CM520" s="20"/>
      <c r="CN520" s="20"/>
      <c r="CO520" s="20"/>
      <c r="CP520" s="20"/>
    </row>
    <row r="521" spans="1:94" x14ac:dyDescent="0.3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0"/>
      <c r="CJ521" s="20"/>
      <c r="CK521" s="20"/>
      <c r="CL521" s="20"/>
      <c r="CM521" s="20"/>
      <c r="CN521" s="20"/>
      <c r="CO521" s="20"/>
      <c r="CP521" s="20"/>
    </row>
    <row r="522" spans="1:94" x14ac:dyDescent="0.3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0"/>
      <c r="CJ522" s="20"/>
      <c r="CK522" s="20"/>
      <c r="CL522" s="20"/>
      <c r="CM522" s="20"/>
      <c r="CN522" s="20"/>
      <c r="CO522" s="20"/>
      <c r="CP522" s="20"/>
    </row>
    <row r="523" spans="1:94" x14ac:dyDescent="0.3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</row>
    <row r="524" spans="1:94" x14ac:dyDescent="0.3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</row>
    <row r="525" spans="1:94" x14ac:dyDescent="0.3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  <c r="CO525" s="20"/>
      <c r="CP525" s="20"/>
    </row>
    <row r="526" spans="1:94" x14ac:dyDescent="0.3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  <c r="CO526" s="20"/>
      <c r="CP526" s="20"/>
    </row>
    <row r="527" spans="1:94" x14ac:dyDescent="0.3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0"/>
      <c r="CJ527" s="20"/>
      <c r="CK527" s="20"/>
      <c r="CL527" s="20"/>
      <c r="CM527" s="20"/>
      <c r="CN527" s="20"/>
      <c r="CO527" s="20"/>
      <c r="CP527" s="20"/>
    </row>
    <row r="528" spans="1:94" x14ac:dyDescent="0.3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0"/>
      <c r="CJ528" s="20"/>
      <c r="CK528" s="20"/>
      <c r="CL528" s="20"/>
      <c r="CM528" s="20"/>
      <c r="CN528" s="20"/>
      <c r="CO528" s="20"/>
      <c r="CP528" s="20"/>
    </row>
    <row r="529" spans="1:94" x14ac:dyDescent="0.3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0"/>
      <c r="CJ529" s="20"/>
      <c r="CK529" s="20"/>
      <c r="CL529" s="20"/>
      <c r="CM529" s="20"/>
      <c r="CN529" s="20"/>
      <c r="CO529" s="20"/>
      <c r="CP529" s="20"/>
    </row>
    <row r="530" spans="1:94" x14ac:dyDescent="0.3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</row>
    <row r="531" spans="1:94" x14ac:dyDescent="0.3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</row>
    <row r="532" spans="1:94" x14ac:dyDescent="0.3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</row>
    <row r="533" spans="1:94" x14ac:dyDescent="0.3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20"/>
      <c r="CP533" s="20"/>
    </row>
    <row r="534" spans="1:94" x14ac:dyDescent="0.3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20"/>
      <c r="CP534" s="20"/>
    </row>
    <row r="535" spans="1:94" x14ac:dyDescent="0.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20"/>
      <c r="CP535" s="20"/>
    </row>
    <row r="536" spans="1:94" x14ac:dyDescent="0.3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  <c r="CH536" s="20"/>
      <c r="CI536" s="20"/>
      <c r="CJ536" s="20"/>
      <c r="CK536" s="20"/>
      <c r="CL536" s="20"/>
      <c r="CM536" s="20"/>
      <c r="CN536" s="20"/>
      <c r="CO536" s="20"/>
      <c r="CP536" s="20"/>
    </row>
    <row r="537" spans="1:94" x14ac:dyDescent="0.3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  <c r="CH537" s="20"/>
      <c r="CI537" s="20"/>
      <c r="CJ537" s="20"/>
      <c r="CK537" s="20"/>
      <c r="CL537" s="20"/>
      <c r="CM537" s="20"/>
      <c r="CN537" s="20"/>
      <c r="CO537" s="20"/>
      <c r="CP537" s="20"/>
    </row>
    <row r="538" spans="1:94" x14ac:dyDescent="0.3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0"/>
      <c r="CJ538" s="20"/>
      <c r="CK538" s="20"/>
      <c r="CL538" s="20"/>
      <c r="CM538" s="20"/>
      <c r="CN538" s="20"/>
      <c r="CO538" s="20"/>
      <c r="CP538" s="20"/>
    </row>
    <row r="539" spans="1:94" x14ac:dyDescent="0.3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0"/>
      <c r="CJ539" s="20"/>
      <c r="CK539" s="20"/>
      <c r="CL539" s="20"/>
      <c r="CM539" s="20"/>
      <c r="CN539" s="20"/>
      <c r="CO539" s="20"/>
      <c r="CP539" s="20"/>
    </row>
    <row r="540" spans="1:94" x14ac:dyDescent="0.3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0"/>
      <c r="CJ540" s="20"/>
      <c r="CK540" s="20"/>
      <c r="CL540" s="20"/>
      <c r="CM540" s="20"/>
      <c r="CN540" s="20"/>
      <c r="CO540" s="20"/>
      <c r="CP540" s="20"/>
    </row>
    <row r="541" spans="1:94" x14ac:dyDescent="0.3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0"/>
      <c r="CJ541" s="20"/>
      <c r="CK541" s="20"/>
      <c r="CL541" s="20"/>
      <c r="CM541" s="20"/>
      <c r="CN541" s="20"/>
      <c r="CO541" s="20"/>
      <c r="CP541" s="20"/>
    </row>
    <row r="542" spans="1:94" x14ac:dyDescent="0.3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</row>
    <row r="543" spans="1:94" x14ac:dyDescent="0.3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</row>
    <row r="544" spans="1:94" x14ac:dyDescent="0.3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</row>
    <row r="545" spans="1:94" x14ac:dyDescent="0.3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</row>
    <row r="546" spans="1:94" x14ac:dyDescent="0.3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0"/>
      <c r="CJ546" s="20"/>
      <c r="CK546" s="20"/>
      <c r="CL546" s="20"/>
      <c r="CM546" s="20"/>
      <c r="CN546" s="20"/>
      <c r="CO546" s="20"/>
      <c r="CP546" s="20"/>
    </row>
    <row r="547" spans="1:94" x14ac:dyDescent="0.3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0"/>
      <c r="CJ547" s="20"/>
      <c r="CK547" s="20"/>
      <c r="CL547" s="20"/>
      <c r="CM547" s="20"/>
      <c r="CN547" s="20"/>
      <c r="CO547" s="20"/>
      <c r="CP547" s="20"/>
    </row>
    <row r="548" spans="1:94" x14ac:dyDescent="0.3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  <c r="CH548" s="20"/>
      <c r="CI548" s="20"/>
      <c r="CJ548" s="20"/>
      <c r="CK548" s="20"/>
      <c r="CL548" s="20"/>
      <c r="CM548" s="20"/>
      <c r="CN548" s="20"/>
      <c r="CO548" s="20"/>
      <c r="CP548" s="20"/>
    </row>
    <row r="549" spans="1:94" x14ac:dyDescent="0.3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  <c r="CH549" s="20"/>
      <c r="CI549" s="20"/>
      <c r="CJ549" s="20"/>
      <c r="CK549" s="20"/>
      <c r="CL549" s="20"/>
      <c r="CM549" s="20"/>
      <c r="CN549" s="20"/>
      <c r="CO549" s="20"/>
      <c r="CP549" s="20"/>
    </row>
    <row r="550" spans="1:94" x14ac:dyDescent="0.3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  <c r="CH550" s="20"/>
      <c r="CI550" s="20"/>
      <c r="CJ550" s="20"/>
      <c r="CK550" s="20"/>
      <c r="CL550" s="20"/>
      <c r="CM550" s="20"/>
      <c r="CN550" s="20"/>
      <c r="CO550" s="20"/>
      <c r="CP550" s="20"/>
    </row>
    <row r="551" spans="1:94" x14ac:dyDescent="0.3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  <c r="CH551" s="20"/>
      <c r="CI551" s="20"/>
      <c r="CJ551" s="20"/>
      <c r="CK551" s="20"/>
      <c r="CL551" s="20"/>
      <c r="CM551" s="20"/>
      <c r="CN551" s="20"/>
      <c r="CO551" s="20"/>
      <c r="CP551" s="20"/>
    </row>
    <row r="552" spans="1:94" x14ac:dyDescent="0.3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  <c r="CH552" s="20"/>
      <c r="CI552" s="20"/>
      <c r="CJ552" s="20"/>
      <c r="CK552" s="20"/>
      <c r="CL552" s="20"/>
      <c r="CM552" s="20"/>
      <c r="CN552" s="20"/>
      <c r="CO552" s="20"/>
      <c r="CP552" s="20"/>
    </row>
    <row r="553" spans="1:94" x14ac:dyDescent="0.3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20"/>
    </row>
    <row r="554" spans="1:94" x14ac:dyDescent="0.3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20"/>
    </row>
    <row r="555" spans="1:94" x14ac:dyDescent="0.3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  <c r="CH555" s="20"/>
      <c r="CI555" s="20"/>
      <c r="CJ555" s="20"/>
      <c r="CK555" s="20"/>
      <c r="CL555" s="20"/>
      <c r="CM555" s="20"/>
      <c r="CN555" s="20"/>
      <c r="CO555" s="20"/>
      <c r="CP555" s="20"/>
    </row>
    <row r="556" spans="1:94" x14ac:dyDescent="0.3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  <c r="CH556" s="20"/>
      <c r="CI556" s="20"/>
      <c r="CJ556" s="20"/>
      <c r="CK556" s="20"/>
      <c r="CL556" s="20"/>
      <c r="CM556" s="20"/>
      <c r="CN556" s="20"/>
      <c r="CO556" s="20"/>
      <c r="CP556" s="20"/>
    </row>
    <row r="557" spans="1:94" x14ac:dyDescent="0.3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</row>
    <row r="558" spans="1:94" x14ac:dyDescent="0.3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</row>
    <row r="559" spans="1:94" x14ac:dyDescent="0.3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</row>
    <row r="560" spans="1:94" x14ac:dyDescent="0.3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</row>
    <row r="561" spans="1:94" x14ac:dyDescent="0.3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</row>
    <row r="562" spans="1:94" x14ac:dyDescent="0.3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</row>
    <row r="563" spans="1:94" x14ac:dyDescent="0.3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20"/>
    </row>
    <row r="564" spans="1:94" x14ac:dyDescent="0.3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</row>
    <row r="565" spans="1:94" x14ac:dyDescent="0.3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</row>
    <row r="566" spans="1:94" x14ac:dyDescent="0.3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20"/>
    </row>
    <row r="567" spans="1:94" x14ac:dyDescent="0.3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20"/>
    </row>
    <row r="568" spans="1:94" x14ac:dyDescent="0.3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20"/>
      <c r="CP568" s="20"/>
    </row>
    <row r="569" spans="1:94" x14ac:dyDescent="0.3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20"/>
      <c r="CP569" s="20"/>
    </row>
    <row r="570" spans="1:94" x14ac:dyDescent="0.3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20"/>
      <c r="CP570" s="20"/>
    </row>
    <row r="571" spans="1:94" x14ac:dyDescent="0.3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20"/>
      <c r="CP571" s="20"/>
    </row>
    <row r="572" spans="1:94" x14ac:dyDescent="0.3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20"/>
      <c r="CP572" s="20"/>
    </row>
    <row r="573" spans="1:94" x14ac:dyDescent="0.3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20"/>
      <c r="CP573" s="20"/>
    </row>
    <row r="574" spans="1:94" x14ac:dyDescent="0.3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</row>
    <row r="575" spans="1:94" x14ac:dyDescent="0.3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</row>
    <row r="576" spans="1:94" x14ac:dyDescent="0.3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</row>
    <row r="577" spans="1:94" x14ac:dyDescent="0.3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</row>
    <row r="578" spans="1:94" x14ac:dyDescent="0.3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</row>
    <row r="579" spans="1:94" x14ac:dyDescent="0.3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</row>
    <row r="580" spans="1:94" x14ac:dyDescent="0.3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</row>
    <row r="581" spans="1:94" x14ac:dyDescent="0.3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</row>
    <row r="582" spans="1:94" x14ac:dyDescent="0.3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  <c r="CH582" s="20"/>
      <c r="CI582" s="20"/>
      <c r="CJ582" s="20"/>
      <c r="CK582" s="20"/>
      <c r="CL582" s="20"/>
      <c r="CM582" s="20"/>
      <c r="CN582" s="20"/>
      <c r="CO582" s="20"/>
      <c r="CP582" s="20"/>
    </row>
    <row r="583" spans="1:94" x14ac:dyDescent="0.3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  <c r="CH583" s="20"/>
      <c r="CI583" s="20"/>
      <c r="CJ583" s="20"/>
      <c r="CK583" s="20"/>
      <c r="CL583" s="20"/>
      <c r="CM583" s="20"/>
      <c r="CN583" s="20"/>
      <c r="CO583" s="20"/>
      <c r="CP583" s="20"/>
    </row>
    <row r="584" spans="1:94" x14ac:dyDescent="0.3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  <c r="CH584" s="20"/>
      <c r="CI584" s="20"/>
      <c r="CJ584" s="20"/>
      <c r="CK584" s="20"/>
      <c r="CL584" s="20"/>
      <c r="CM584" s="20"/>
      <c r="CN584" s="20"/>
      <c r="CO584" s="20"/>
      <c r="CP584" s="20"/>
    </row>
    <row r="585" spans="1:94" x14ac:dyDescent="0.3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  <c r="CH585" s="20"/>
      <c r="CI585" s="20"/>
      <c r="CJ585" s="20"/>
      <c r="CK585" s="20"/>
      <c r="CL585" s="20"/>
      <c r="CM585" s="20"/>
      <c r="CN585" s="20"/>
      <c r="CO585" s="20"/>
      <c r="CP585" s="20"/>
    </row>
    <row r="586" spans="1:94" x14ac:dyDescent="0.3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  <c r="CH586" s="20"/>
      <c r="CI586" s="20"/>
      <c r="CJ586" s="20"/>
      <c r="CK586" s="20"/>
      <c r="CL586" s="20"/>
      <c r="CM586" s="20"/>
      <c r="CN586" s="20"/>
      <c r="CO586" s="20"/>
      <c r="CP586" s="20"/>
    </row>
    <row r="587" spans="1:94" x14ac:dyDescent="0.3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  <c r="CH587" s="20"/>
      <c r="CI587" s="20"/>
      <c r="CJ587" s="20"/>
      <c r="CK587" s="20"/>
      <c r="CL587" s="20"/>
      <c r="CM587" s="20"/>
      <c r="CN587" s="20"/>
      <c r="CO587" s="20"/>
      <c r="CP587" s="20"/>
    </row>
    <row r="588" spans="1:94" x14ac:dyDescent="0.3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  <c r="CH588" s="20"/>
      <c r="CI588" s="20"/>
      <c r="CJ588" s="20"/>
      <c r="CK588" s="20"/>
      <c r="CL588" s="20"/>
      <c r="CM588" s="20"/>
      <c r="CN588" s="20"/>
      <c r="CO588" s="20"/>
      <c r="CP588" s="20"/>
    </row>
    <row r="589" spans="1:94" x14ac:dyDescent="0.3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  <c r="CH589" s="20"/>
      <c r="CI589" s="20"/>
      <c r="CJ589" s="20"/>
      <c r="CK589" s="20"/>
      <c r="CL589" s="20"/>
      <c r="CM589" s="20"/>
      <c r="CN589" s="20"/>
      <c r="CO589" s="20"/>
      <c r="CP589" s="20"/>
    </row>
    <row r="590" spans="1:94" x14ac:dyDescent="0.3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  <c r="CH590" s="20"/>
      <c r="CI590" s="20"/>
      <c r="CJ590" s="20"/>
      <c r="CK590" s="20"/>
      <c r="CL590" s="20"/>
      <c r="CM590" s="20"/>
      <c r="CN590" s="20"/>
      <c r="CO590" s="20"/>
      <c r="CP590" s="20"/>
    </row>
    <row r="591" spans="1:94" x14ac:dyDescent="0.3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  <c r="CH591" s="20"/>
      <c r="CI591" s="20"/>
      <c r="CJ591" s="20"/>
      <c r="CK591" s="20"/>
      <c r="CL591" s="20"/>
      <c r="CM591" s="20"/>
      <c r="CN591" s="20"/>
      <c r="CO591" s="20"/>
      <c r="CP591" s="20"/>
    </row>
    <row r="592" spans="1:94" x14ac:dyDescent="0.3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  <c r="CH592" s="20"/>
      <c r="CI592" s="20"/>
      <c r="CJ592" s="20"/>
      <c r="CK592" s="20"/>
      <c r="CL592" s="20"/>
      <c r="CM592" s="20"/>
      <c r="CN592" s="20"/>
      <c r="CO592" s="20"/>
      <c r="CP592" s="20"/>
    </row>
    <row r="593" spans="1:94" x14ac:dyDescent="0.3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  <c r="CH593" s="20"/>
      <c r="CI593" s="20"/>
      <c r="CJ593" s="20"/>
      <c r="CK593" s="20"/>
      <c r="CL593" s="20"/>
      <c r="CM593" s="20"/>
      <c r="CN593" s="20"/>
      <c r="CO593" s="20"/>
      <c r="CP593" s="20"/>
    </row>
    <row r="594" spans="1:94" x14ac:dyDescent="0.3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  <c r="CH594" s="20"/>
      <c r="CI594" s="20"/>
      <c r="CJ594" s="20"/>
      <c r="CK594" s="20"/>
      <c r="CL594" s="20"/>
      <c r="CM594" s="20"/>
      <c r="CN594" s="20"/>
      <c r="CO594" s="20"/>
      <c r="CP594" s="20"/>
    </row>
    <row r="595" spans="1:94" x14ac:dyDescent="0.3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  <c r="CH595" s="20"/>
      <c r="CI595" s="20"/>
      <c r="CJ595" s="20"/>
      <c r="CK595" s="20"/>
      <c r="CL595" s="20"/>
      <c r="CM595" s="20"/>
      <c r="CN595" s="20"/>
      <c r="CO595" s="20"/>
      <c r="CP595" s="20"/>
    </row>
    <row r="596" spans="1:94" x14ac:dyDescent="0.3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  <c r="CH596" s="20"/>
      <c r="CI596" s="20"/>
      <c r="CJ596" s="20"/>
      <c r="CK596" s="20"/>
      <c r="CL596" s="20"/>
      <c r="CM596" s="20"/>
      <c r="CN596" s="20"/>
      <c r="CO596" s="20"/>
      <c r="CP596" s="20"/>
    </row>
    <row r="597" spans="1:94" x14ac:dyDescent="0.3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  <c r="CH597" s="20"/>
      <c r="CI597" s="20"/>
      <c r="CJ597" s="20"/>
      <c r="CK597" s="20"/>
      <c r="CL597" s="20"/>
      <c r="CM597" s="20"/>
      <c r="CN597" s="20"/>
      <c r="CO597" s="20"/>
      <c r="CP597" s="20"/>
    </row>
    <row r="598" spans="1:94" x14ac:dyDescent="0.3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  <c r="CH598" s="20"/>
      <c r="CI598" s="20"/>
      <c r="CJ598" s="20"/>
      <c r="CK598" s="20"/>
      <c r="CL598" s="20"/>
      <c r="CM598" s="20"/>
      <c r="CN598" s="20"/>
      <c r="CO598" s="20"/>
      <c r="CP598" s="20"/>
    </row>
    <row r="599" spans="1:94" x14ac:dyDescent="0.3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  <c r="CH599" s="20"/>
      <c r="CI599" s="20"/>
      <c r="CJ599" s="20"/>
      <c r="CK599" s="20"/>
      <c r="CL599" s="20"/>
      <c r="CM599" s="20"/>
      <c r="CN599" s="20"/>
      <c r="CO599" s="20"/>
      <c r="CP599" s="20"/>
    </row>
    <row r="600" spans="1:94" x14ac:dyDescent="0.3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  <c r="CH600" s="20"/>
      <c r="CI600" s="20"/>
      <c r="CJ600" s="20"/>
      <c r="CK600" s="20"/>
      <c r="CL600" s="20"/>
      <c r="CM600" s="20"/>
      <c r="CN600" s="20"/>
      <c r="CO600" s="20"/>
      <c r="CP600" s="20"/>
    </row>
    <row r="601" spans="1:94" x14ac:dyDescent="0.3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  <c r="CH601" s="20"/>
      <c r="CI601" s="20"/>
      <c r="CJ601" s="20"/>
      <c r="CK601" s="20"/>
      <c r="CL601" s="20"/>
      <c r="CM601" s="20"/>
      <c r="CN601" s="20"/>
      <c r="CO601" s="20"/>
      <c r="CP601" s="20"/>
    </row>
    <row r="602" spans="1:94" x14ac:dyDescent="0.3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  <c r="CH602" s="20"/>
      <c r="CI602" s="20"/>
      <c r="CJ602" s="20"/>
      <c r="CK602" s="20"/>
      <c r="CL602" s="20"/>
      <c r="CM602" s="20"/>
      <c r="CN602" s="20"/>
      <c r="CO602" s="20"/>
      <c r="CP602" s="20"/>
    </row>
    <row r="603" spans="1:94" x14ac:dyDescent="0.3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  <c r="CH603" s="20"/>
      <c r="CI603" s="20"/>
      <c r="CJ603" s="20"/>
      <c r="CK603" s="20"/>
      <c r="CL603" s="20"/>
      <c r="CM603" s="20"/>
      <c r="CN603" s="20"/>
      <c r="CO603" s="20"/>
      <c r="CP603" s="20"/>
    </row>
    <row r="604" spans="1:94" x14ac:dyDescent="0.3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  <c r="CH604" s="20"/>
      <c r="CI604" s="20"/>
      <c r="CJ604" s="20"/>
      <c r="CK604" s="20"/>
      <c r="CL604" s="20"/>
      <c r="CM604" s="20"/>
      <c r="CN604" s="20"/>
      <c r="CO604" s="20"/>
      <c r="CP604" s="20"/>
    </row>
    <row r="605" spans="1:94" x14ac:dyDescent="0.3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  <c r="CH605" s="20"/>
      <c r="CI605" s="20"/>
      <c r="CJ605" s="20"/>
      <c r="CK605" s="20"/>
      <c r="CL605" s="20"/>
      <c r="CM605" s="20"/>
      <c r="CN605" s="20"/>
      <c r="CO605" s="20"/>
      <c r="CP605" s="20"/>
    </row>
    <row r="606" spans="1:94" x14ac:dyDescent="0.3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</row>
    <row r="607" spans="1:94" x14ac:dyDescent="0.3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</row>
    <row r="608" spans="1:94" x14ac:dyDescent="0.3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20"/>
      <c r="CP608" s="20"/>
    </row>
    <row r="609" spans="1:94" x14ac:dyDescent="0.3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20"/>
      <c r="CP609" s="20"/>
    </row>
    <row r="610" spans="1:94" x14ac:dyDescent="0.3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20"/>
      <c r="CP610" s="20"/>
    </row>
    <row r="611" spans="1:94" x14ac:dyDescent="0.3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20"/>
      <c r="CP611" s="20"/>
    </row>
    <row r="612" spans="1:94" x14ac:dyDescent="0.3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</row>
    <row r="613" spans="1:94" x14ac:dyDescent="0.3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</row>
    <row r="614" spans="1:94" x14ac:dyDescent="0.3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</row>
    <row r="615" spans="1:94" x14ac:dyDescent="0.3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</row>
    <row r="616" spans="1:94" x14ac:dyDescent="0.3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</row>
    <row r="617" spans="1:94" x14ac:dyDescent="0.3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20"/>
    </row>
    <row r="618" spans="1:94" x14ac:dyDescent="0.3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20"/>
    </row>
    <row r="619" spans="1:94" x14ac:dyDescent="0.3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</row>
    <row r="620" spans="1:94" x14ac:dyDescent="0.3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</row>
    <row r="621" spans="1:94" x14ac:dyDescent="0.3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20"/>
      <c r="CP621" s="20"/>
    </row>
    <row r="622" spans="1:94" x14ac:dyDescent="0.3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20"/>
      <c r="CP622" s="20"/>
    </row>
    <row r="623" spans="1:94" x14ac:dyDescent="0.3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20"/>
      <c r="CP623" s="20"/>
    </row>
    <row r="624" spans="1:94" x14ac:dyDescent="0.3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</row>
    <row r="625" spans="1:94" x14ac:dyDescent="0.3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</row>
    <row r="626" spans="1:94" x14ac:dyDescent="0.3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</row>
    <row r="627" spans="1:94" x14ac:dyDescent="0.3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</row>
    <row r="628" spans="1:94" x14ac:dyDescent="0.3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</row>
    <row r="629" spans="1:94" x14ac:dyDescent="0.3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</row>
    <row r="630" spans="1:94" x14ac:dyDescent="0.3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</row>
    <row r="631" spans="1:94" x14ac:dyDescent="0.3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</row>
    <row r="632" spans="1:94" x14ac:dyDescent="0.3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  <c r="CH632" s="20"/>
      <c r="CI632" s="20"/>
      <c r="CJ632" s="20"/>
      <c r="CK632" s="20"/>
      <c r="CL632" s="20"/>
      <c r="CM632" s="20"/>
      <c r="CN632" s="20"/>
      <c r="CO632" s="20"/>
      <c r="CP632" s="20"/>
    </row>
    <row r="633" spans="1:94" x14ac:dyDescent="0.3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  <c r="CH633" s="20"/>
      <c r="CI633" s="20"/>
      <c r="CJ633" s="20"/>
      <c r="CK633" s="20"/>
      <c r="CL633" s="20"/>
      <c r="CM633" s="20"/>
      <c r="CN633" s="20"/>
      <c r="CO633" s="20"/>
      <c r="CP633" s="20"/>
    </row>
    <row r="634" spans="1:94" x14ac:dyDescent="0.3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/>
      <c r="CO634" s="20"/>
      <c r="CP634" s="20"/>
    </row>
    <row r="635" spans="1:94" x14ac:dyDescent="0.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  <c r="CH635" s="20"/>
      <c r="CI635" s="20"/>
      <c r="CJ635" s="20"/>
      <c r="CK635" s="20"/>
      <c r="CL635" s="20"/>
      <c r="CM635" s="20"/>
      <c r="CN635" s="20"/>
      <c r="CO635" s="20"/>
      <c r="CP635" s="20"/>
    </row>
    <row r="636" spans="1:94" x14ac:dyDescent="0.3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  <c r="CH636" s="20"/>
      <c r="CI636" s="20"/>
      <c r="CJ636" s="20"/>
      <c r="CK636" s="20"/>
      <c r="CL636" s="20"/>
      <c r="CM636" s="20"/>
      <c r="CN636" s="20"/>
      <c r="CO636" s="20"/>
      <c r="CP636" s="20"/>
    </row>
    <row r="637" spans="1:94" x14ac:dyDescent="0.3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  <c r="CH637" s="20"/>
      <c r="CI637" s="20"/>
      <c r="CJ637" s="20"/>
      <c r="CK637" s="20"/>
      <c r="CL637" s="20"/>
      <c r="CM637" s="20"/>
      <c r="CN637" s="20"/>
      <c r="CO637" s="20"/>
      <c r="CP637" s="20"/>
    </row>
    <row r="638" spans="1:94" x14ac:dyDescent="0.3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/>
      <c r="CO638" s="20"/>
      <c r="CP638" s="20"/>
    </row>
    <row r="639" spans="1:94" x14ac:dyDescent="0.3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  <c r="CH639" s="20"/>
      <c r="CI639" s="20"/>
      <c r="CJ639" s="20"/>
      <c r="CK639" s="20"/>
      <c r="CL639" s="20"/>
      <c r="CM639" s="20"/>
      <c r="CN639" s="20"/>
      <c r="CO639" s="20"/>
      <c r="CP639" s="20"/>
    </row>
    <row r="640" spans="1:94" x14ac:dyDescent="0.3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  <c r="CH640" s="20"/>
      <c r="CI640" s="20"/>
      <c r="CJ640" s="20"/>
      <c r="CK640" s="20"/>
      <c r="CL640" s="20"/>
      <c r="CM640" s="20"/>
      <c r="CN640" s="20"/>
      <c r="CO640" s="20"/>
      <c r="CP640" s="20"/>
    </row>
    <row r="641" spans="1:94" x14ac:dyDescent="0.3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  <c r="CH641" s="20"/>
      <c r="CI641" s="20"/>
      <c r="CJ641" s="20"/>
      <c r="CK641" s="20"/>
      <c r="CL641" s="20"/>
      <c r="CM641" s="20"/>
      <c r="CN641" s="20"/>
      <c r="CO641" s="20"/>
      <c r="CP641" s="20"/>
    </row>
    <row r="642" spans="1:94" x14ac:dyDescent="0.3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  <c r="CH642" s="20"/>
      <c r="CI642" s="20"/>
      <c r="CJ642" s="20"/>
      <c r="CK642" s="20"/>
      <c r="CL642" s="20"/>
      <c r="CM642" s="20"/>
      <c r="CN642" s="20"/>
      <c r="CO642" s="20"/>
      <c r="CP642" s="20"/>
    </row>
    <row r="643" spans="1:94" x14ac:dyDescent="0.3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/>
      <c r="CO643" s="20"/>
      <c r="CP643" s="20"/>
    </row>
    <row r="644" spans="1:94" x14ac:dyDescent="0.3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0"/>
      <c r="CJ644" s="20"/>
      <c r="CK644" s="20"/>
      <c r="CL644" s="20"/>
      <c r="CM644" s="20"/>
      <c r="CN644" s="20"/>
      <c r="CO644" s="20"/>
      <c r="CP644" s="20"/>
    </row>
    <row r="645" spans="1:94" x14ac:dyDescent="0.3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0"/>
      <c r="CJ645" s="20"/>
      <c r="CK645" s="20"/>
      <c r="CL645" s="20"/>
      <c r="CM645" s="20"/>
      <c r="CN645" s="20"/>
      <c r="CO645" s="20"/>
      <c r="CP645" s="20"/>
    </row>
    <row r="646" spans="1:94" x14ac:dyDescent="0.3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0"/>
      <c r="CJ646" s="20"/>
      <c r="CK646" s="20"/>
      <c r="CL646" s="20"/>
      <c r="CM646" s="20"/>
      <c r="CN646" s="20"/>
      <c r="CO646" s="20"/>
      <c r="CP646" s="20"/>
    </row>
    <row r="647" spans="1:94" x14ac:dyDescent="0.3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  <c r="CH647" s="20"/>
      <c r="CI647" s="20"/>
      <c r="CJ647" s="20"/>
      <c r="CK647" s="20"/>
      <c r="CL647" s="20"/>
      <c r="CM647" s="20"/>
      <c r="CN647" s="20"/>
      <c r="CO647" s="20"/>
      <c r="CP647" s="20"/>
    </row>
    <row r="648" spans="1:94" x14ac:dyDescent="0.3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  <c r="CH648" s="20"/>
      <c r="CI648" s="20"/>
      <c r="CJ648" s="20"/>
      <c r="CK648" s="20"/>
      <c r="CL648" s="20"/>
      <c r="CM648" s="20"/>
      <c r="CN648" s="20"/>
      <c r="CO648" s="20"/>
      <c r="CP648" s="20"/>
    </row>
    <row r="649" spans="1:94" x14ac:dyDescent="0.3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0"/>
      <c r="CJ649" s="20"/>
      <c r="CK649" s="20"/>
      <c r="CL649" s="20"/>
      <c r="CM649" s="20"/>
      <c r="CN649" s="20"/>
      <c r="CO649" s="20"/>
      <c r="CP649" s="20"/>
    </row>
    <row r="650" spans="1:94" x14ac:dyDescent="0.3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0"/>
      <c r="CJ650" s="20"/>
      <c r="CK650" s="20"/>
      <c r="CL650" s="20"/>
      <c r="CM650" s="20"/>
      <c r="CN650" s="20"/>
      <c r="CO650" s="20"/>
      <c r="CP650" s="20"/>
    </row>
    <row r="651" spans="1:94" x14ac:dyDescent="0.3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/>
      <c r="CO651" s="20"/>
      <c r="CP651" s="20"/>
    </row>
    <row r="652" spans="1:94" x14ac:dyDescent="0.3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0"/>
      <c r="CJ652" s="20"/>
      <c r="CK652" s="20"/>
      <c r="CL652" s="20"/>
      <c r="CM652" s="20"/>
      <c r="CN652" s="20"/>
      <c r="CO652" s="20"/>
      <c r="CP652" s="20"/>
    </row>
    <row r="653" spans="1:94" x14ac:dyDescent="0.3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0"/>
      <c r="CJ653" s="20"/>
      <c r="CK653" s="20"/>
      <c r="CL653" s="20"/>
      <c r="CM653" s="20"/>
      <c r="CN653" s="20"/>
      <c r="CO653" s="20"/>
      <c r="CP653" s="20"/>
    </row>
    <row r="654" spans="1:94" x14ac:dyDescent="0.3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0"/>
      <c r="CJ654" s="20"/>
      <c r="CK654" s="20"/>
      <c r="CL654" s="20"/>
      <c r="CM654" s="20"/>
      <c r="CN654" s="20"/>
      <c r="CO654" s="20"/>
      <c r="CP654" s="20"/>
    </row>
    <row r="655" spans="1:94" x14ac:dyDescent="0.3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/>
      <c r="CO655" s="20"/>
      <c r="CP655" s="20"/>
    </row>
    <row r="656" spans="1:94" x14ac:dyDescent="0.3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0"/>
      <c r="CJ656" s="20"/>
      <c r="CK656" s="20"/>
      <c r="CL656" s="20"/>
      <c r="CM656" s="20"/>
      <c r="CN656" s="20"/>
      <c r="CO656" s="20"/>
      <c r="CP656" s="20"/>
    </row>
    <row r="657" spans="1:94" x14ac:dyDescent="0.3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  <c r="CH657" s="20"/>
      <c r="CI657" s="20"/>
      <c r="CJ657" s="20"/>
      <c r="CK657" s="20"/>
      <c r="CL657" s="20"/>
      <c r="CM657" s="20"/>
      <c r="CN657" s="20"/>
      <c r="CO657" s="20"/>
      <c r="CP657" s="20"/>
    </row>
    <row r="658" spans="1:94" x14ac:dyDescent="0.3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  <c r="CH658" s="20"/>
      <c r="CI658" s="20"/>
      <c r="CJ658" s="20"/>
      <c r="CK658" s="20"/>
      <c r="CL658" s="20"/>
      <c r="CM658" s="20"/>
      <c r="CN658" s="20"/>
      <c r="CO658" s="20"/>
      <c r="CP658" s="20"/>
    </row>
    <row r="659" spans="1:94" x14ac:dyDescent="0.3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/>
      <c r="CO659" s="20"/>
      <c r="CP659" s="20"/>
    </row>
    <row r="660" spans="1:94" x14ac:dyDescent="0.3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  <c r="CH660" s="20"/>
      <c r="CI660" s="20"/>
      <c r="CJ660" s="20"/>
      <c r="CK660" s="20"/>
      <c r="CL660" s="20"/>
      <c r="CM660" s="20"/>
      <c r="CN660" s="20"/>
      <c r="CO660" s="20"/>
      <c r="CP660" s="20"/>
    </row>
    <row r="661" spans="1:94" x14ac:dyDescent="0.3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  <c r="CH661" s="20"/>
      <c r="CI661" s="20"/>
      <c r="CJ661" s="20"/>
      <c r="CK661" s="20"/>
      <c r="CL661" s="20"/>
      <c r="CM661" s="20"/>
      <c r="CN661" s="20"/>
      <c r="CO661" s="20"/>
      <c r="CP661" s="20"/>
    </row>
    <row r="662" spans="1:94" x14ac:dyDescent="0.3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  <c r="CH662" s="20"/>
      <c r="CI662" s="20"/>
      <c r="CJ662" s="20"/>
      <c r="CK662" s="20"/>
      <c r="CL662" s="20"/>
      <c r="CM662" s="20"/>
      <c r="CN662" s="20"/>
      <c r="CO662" s="20"/>
      <c r="CP662" s="20"/>
    </row>
    <row r="663" spans="1:94" x14ac:dyDescent="0.3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  <c r="CH663" s="20"/>
      <c r="CI663" s="20"/>
      <c r="CJ663" s="20"/>
      <c r="CK663" s="20"/>
      <c r="CL663" s="20"/>
      <c r="CM663" s="20"/>
      <c r="CN663" s="20"/>
      <c r="CO663" s="20"/>
      <c r="CP663" s="20"/>
    </row>
    <row r="664" spans="1:94" x14ac:dyDescent="0.3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  <c r="CH664" s="20"/>
      <c r="CI664" s="20"/>
      <c r="CJ664" s="20"/>
      <c r="CK664" s="20"/>
      <c r="CL664" s="20"/>
      <c r="CM664" s="20"/>
      <c r="CN664" s="20"/>
      <c r="CO664" s="20"/>
      <c r="CP664" s="20"/>
    </row>
    <row r="665" spans="1:94" x14ac:dyDescent="0.3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  <c r="CH665" s="20"/>
      <c r="CI665" s="20"/>
      <c r="CJ665" s="20"/>
      <c r="CK665" s="20"/>
      <c r="CL665" s="20"/>
      <c r="CM665" s="20"/>
      <c r="CN665" s="20"/>
      <c r="CO665" s="20"/>
      <c r="CP665" s="20"/>
    </row>
    <row r="666" spans="1:94" x14ac:dyDescent="0.3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  <c r="CH666" s="20"/>
      <c r="CI666" s="20"/>
      <c r="CJ666" s="20"/>
      <c r="CK666" s="20"/>
      <c r="CL666" s="20"/>
      <c r="CM666" s="20"/>
      <c r="CN666" s="20"/>
      <c r="CO666" s="20"/>
      <c r="CP666" s="20"/>
    </row>
    <row r="667" spans="1:94" x14ac:dyDescent="0.3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  <c r="CH667" s="20"/>
      <c r="CI667" s="20"/>
      <c r="CJ667" s="20"/>
      <c r="CK667" s="20"/>
      <c r="CL667" s="20"/>
      <c r="CM667" s="20"/>
      <c r="CN667" s="20"/>
      <c r="CO667" s="20"/>
      <c r="CP667" s="20"/>
    </row>
    <row r="668" spans="1:94" x14ac:dyDescent="0.3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  <c r="CH668" s="20"/>
      <c r="CI668" s="20"/>
      <c r="CJ668" s="20"/>
      <c r="CK668" s="20"/>
      <c r="CL668" s="20"/>
      <c r="CM668" s="20"/>
      <c r="CN668" s="20"/>
      <c r="CO668" s="20"/>
      <c r="CP668" s="20"/>
    </row>
    <row r="669" spans="1:94" x14ac:dyDescent="0.3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  <c r="CH669" s="20"/>
      <c r="CI669" s="20"/>
      <c r="CJ669" s="20"/>
      <c r="CK669" s="20"/>
      <c r="CL669" s="20"/>
      <c r="CM669" s="20"/>
      <c r="CN669" s="20"/>
      <c r="CO669" s="20"/>
      <c r="CP669" s="20"/>
    </row>
    <row r="670" spans="1:94" x14ac:dyDescent="0.3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  <c r="CH670" s="20"/>
      <c r="CI670" s="20"/>
      <c r="CJ670" s="20"/>
      <c r="CK670" s="20"/>
      <c r="CL670" s="20"/>
      <c r="CM670" s="20"/>
      <c r="CN670" s="20"/>
      <c r="CO670" s="20"/>
      <c r="CP670" s="20"/>
    </row>
    <row r="671" spans="1:94" x14ac:dyDescent="0.3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  <c r="CH671" s="20"/>
      <c r="CI671" s="20"/>
      <c r="CJ671" s="20"/>
      <c r="CK671" s="20"/>
      <c r="CL671" s="20"/>
      <c r="CM671" s="20"/>
      <c r="CN671" s="20"/>
      <c r="CO671" s="20"/>
      <c r="CP671" s="20"/>
    </row>
    <row r="672" spans="1:94" x14ac:dyDescent="0.3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  <c r="CH672" s="20"/>
      <c r="CI672" s="20"/>
      <c r="CJ672" s="20"/>
      <c r="CK672" s="20"/>
      <c r="CL672" s="20"/>
      <c r="CM672" s="20"/>
      <c r="CN672" s="20"/>
      <c r="CO672" s="20"/>
      <c r="CP672" s="20"/>
    </row>
    <row r="673" spans="1:94" x14ac:dyDescent="0.3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  <c r="CH673" s="20"/>
      <c r="CI673" s="20"/>
      <c r="CJ673" s="20"/>
      <c r="CK673" s="20"/>
      <c r="CL673" s="20"/>
      <c r="CM673" s="20"/>
      <c r="CN673" s="20"/>
      <c r="CO673" s="20"/>
      <c r="CP673" s="20"/>
    </row>
    <row r="674" spans="1:94" x14ac:dyDescent="0.3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0"/>
      <c r="CJ674" s="20"/>
      <c r="CK674" s="20"/>
      <c r="CL674" s="20"/>
      <c r="CM674" s="20"/>
      <c r="CN674" s="20"/>
      <c r="CO674" s="20"/>
      <c r="CP674" s="20"/>
    </row>
    <row r="675" spans="1:94" x14ac:dyDescent="0.3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  <c r="CH675" s="20"/>
      <c r="CI675" s="20"/>
      <c r="CJ675" s="20"/>
      <c r="CK675" s="20"/>
      <c r="CL675" s="20"/>
      <c r="CM675" s="20"/>
      <c r="CN675" s="20"/>
      <c r="CO675" s="20"/>
      <c r="CP675" s="20"/>
    </row>
    <row r="676" spans="1:94" x14ac:dyDescent="0.3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  <c r="CH676" s="20"/>
      <c r="CI676" s="20"/>
      <c r="CJ676" s="20"/>
      <c r="CK676" s="20"/>
      <c r="CL676" s="20"/>
      <c r="CM676" s="20"/>
      <c r="CN676" s="20"/>
      <c r="CO676" s="20"/>
      <c r="CP676" s="20"/>
    </row>
    <row r="677" spans="1:94" x14ac:dyDescent="0.3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  <c r="CH677" s="20"/>
      <c r="CI677" s="20"/>
      <c r="CJ677" s="20"/>
      <c r="CK677" s="20"/>
      <c r="CL677" s="20"/>
      <c r="CM677" s="20"/>
      <c r="CN677" s="20"/>
      <c r="CO677" s="20"/>
      <c r="CP677" s="20"/>
    </row>
    <row r="678" spans="1:94" x14ac:dyDescent="0.3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  <c r="CH678" s="20"/>
      <c r="CI678" s="20"/>
      <c r="CJ678" s="20"/>
      <c r="CK678" s="20"/>
      <c r="CL678" s="20"/>
      <c r="CM678" s="20"/>
      <c r="CN678" s="20"/>
      <c r="CO678" s="20"/>
      <c r="CP678" s="20"/>
    </row>
    <row r="679" spans="1:94" x14ac:dyDescent="0.3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  <c r="CH679" s="20"/>
      <c r="CI679" s="20"/>
      <c r="CJ679" s="20"/>
      <c r="CK679" s="20"/>
      <c r="CL679" s="20"/>
      <c r="CM679" s="20"/>
      <c r="CN679" s="20"/>
      <c r="CO679" s="20"/>
      <c r="CP679" s="20"/>
    </row>
    <row r="680" spans="1:94" x14ac:dyDescent="0.3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  <c r="CH680" s="20"/>
      <c r="CI680" s="20"/>
      <c r="CJ680" s="20"/>
      <c r="CK680" s="20"/>
      <c r="CL680" s="20"/>
      <c r="CM680" s="20"/>
      <c r="CN680" s="20"/>
      <c r="CO680" s="20"/>
      <c r="CP680" s="20"/>
    </row>
    <row r="681" spans="1:94" x14ac:dyDescent="0.3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  <c r="CH681" s="20"/>
      <c r="CI681" s="20"/>
      <c r="CJ681" s="20"/>
      <c r="CK681" s="20"/>
      <c r="CL681" s="20"/>
      <c r="CM681" s="20"/>
      <c r="CN681" s="20"/>
      <c r="CO681" s="20"/>
      <c r="CP681" s="20"/>
    </row>
    <row r="682" spans="1:94" x14ac:dyDescent="0.3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  <c r="CH682" s="20"/>
      <c r="CI682" s="20"/>
      <c r="CJ682" s="20"/>
      <c r="CK682" s="20"/>
      <c r="CL682" s="20"/>
      <c r="CM682" s="20"/>
      <c r="CN682" s="20"/>
      <c r="CO682" s="20"/>
      <c r="CP682" s="20"/>
    </row>
    <row r="683" spans="1:94" x14ac:dyDescent="0.3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  <c r="CH683" s="20"/>
      <c r="CI683" s="20"/>
      <c r="CJ683" s="20"/>
      <c r="CK683" s="20"/>
      <c r="CL683" s="20"/>
      <c r="CM683" s="20"/>
      <c r="CN683" s="20"/>
      <c r="CO683" s="20"/>
      <c r="CP683" s="20"/>
    </row>
    <row r="684" spans="1:94" x14ac:dyDescent="0.3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  <c r="CH684" s="20"/>
      <c r="CI684" s="20"/>
      <c r="CJ684" s="20"/>
      <c r="CK684" s="20"/>
      <c r="CL684" s="20"/>
      <c r="CM684" s="20"/>
      <c r="CN684" s="20"/>
      <c r="CO684" s="20"/>
      <c r="CP684" s="20"/>
    </row>
    <row r="685" spans="1:94" x14ac:dyDescent="0.3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  <c r="CH685" s="20"/>
      <c r="CI685" s="20"/>
      <c r="CJ685" s="20"/>
      <c r="CK685" s="20"/>
      <c r="CL685" s="20"/>
      <c r="CM685" s="20"/>
      <c r="CN685" s="20"/>
      <c r="CO685" s="20"/>
      <c r="CP685" s="20"/>
    </row>
    <row r="686" spans="1:94" x14ac:dyDescent="0.3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  <c r="CH686" s="20"/>
      <c r="CI686" s="20"/>
      <c r="CJ686" s="20"/>
      <c r="CK686" s="20"/>
      <c r="CL686" s="20"/>
      <c r="CM686" s="20"/>
      <c r="CN686" s="20"/>
      <c r="CO686" s="20"/>
      <c r="CP686" s="20"/>
    </row>
    <row r="687" spans="1:94" x14ac:dyDescent="0.3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  <c r="CH687" s="20"/>
      <c r="CI687" s="20"/>
      <c r="CJ687" s="20"/>
      <c r="CK687" s="20"/>
      <c r="CL687" s="20"/>
      <c r="CM687" s="20"/>
      <c r="CN687" s="20"/>
      <c r="CO687" s="20"/>
      <c r="CP687" s="20"/>
    </row>
    <row r="688" spans="1:94" x14ac:dyDescent="0.3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  <c r="CH688" s="20"/>
      <c r="CI688" s="20"/>
      <c r="CJ688" s="20"/>
      <c r="CK688" s="20"/>
      <c r="CL688" s="20"/>
      <c r="CM688" s="20"/>
      <c r="CN688" s="20"/>
      <c r="CO688" s="20"/>
      <c r="CP688" s="20"/>
    </row>
    <row r="689" spans="1:94" x14ac:dyDescent="0.3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  <c r="CH689" s="20"/>
      <c r="CI689" s="20"/>
      <c r="CJ689" s="20"/>
      <c r="CK689" s="20"/>
      <c r="CL689" s="20"/>
      <c r="CM689" s="20"/>
      <c r="CN689" s="20"/>
      <c r="CO689" s="20"/>
      <c r="CP689" s="20"/>
    </row>
    <row r="690" spans="1:94" x14ac:dyDescent="0.3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  <c r="CH690" s="20"/>
      <c r="CI690" s="20"/>
      <c r="CJ690" s="20"/>
      <c r="CK690" s="20"/>
      <c r="CL690" s="20"/>
      <c r="CM690" s="20"/>
      <c r="CN690" s="20"/>
      <c r="CO690" s="20"/>
      <c r="CP690" s="20"/>
    </row>
    <row r="691" spans="1:94" x14ac:dyDescent="0.3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  <c r="CH691" s="20"/>
      <c r="CI691" s="20"/>
      <c r="CJ691" s="20"/>
      <c r="CK691" s="20"/>
      <c r="CL691" s="20"/>
      <c r="CM691" s="20"/>
      <c r="CN691" s="20"/>
      <c r="CO691" s="20"/>
      <c r="CP691" s="20"/>
    </row>
    <row r="692" spans="1:94" x14ac:dyDescent="0.3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  <c r="CH692" s="20"/>
      <c r="CI692" s="20"/>
      <c r="CJ692" s="20"/>
      <c r="CK692" s="20"/>
      <c r="CL692" s="20"/>
      <c r="CM692" s="20"/>
      <c r="CN692" s="20"/>
      <c r="CO692" s="20"/>
      <c r="CP692" s="20"/>
    </row>
    <row r="693" spans="1:94" x14ac:dyDescent="0.3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  <c r="CH693" s="20"/>
      <c r="CI693" s="20"/>
      <c r="CJ693" s="20"/>
      <c r="CK693" s="20"/>
      <c r="CL693" s="20"/>
      <c r="CM693" s="20"/>
      <c r="CN693" s="20"/>
      <c r="CO693" s="20"/>
      <c r="CP693" s="20"/>
    </row>
    <row r="694" spans="1:94" x14ac:dyDescent="0.3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  <c r="CH694" s="20"/>
      <c r="CI694" s="20"/>
      <c r="CJ694" s="20"/>
      <c r="CK694" s="20"/>
      <c r="CL694" s="20"/>
      <c r="CM694" s="20"/>
      <c r="CN694" s="20"/>
      <c r="CO694" s="20"/>
      <c r="CP694" s="20"/>
    </row>
    <row r="695" spans="1:94" x14ac:dyDescent="0.3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  <c r="CH695" s="20"/>
      <c r="CI695" s="20"/>
      <c r="CJ695" s="20"/>
      <c r="CK695" s="20"/>
      <c r="CL695" s="20"/>
      <c r="CM695" s="20"/>
      <c r="CN695" s="20"/>
      <c r="CO695" s="20"/>
      <c r="CP695" s="20"/>
    </row>
    <row r="696" spans="1:94" x14ac:dyDescent="0.3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  <c r="CH696" s="20"/>
      <c r="CI696" s="20"/>
      <c r="CJ696" s="20"/>
      <c r="CK696" s="20"/>
      <c r="CL696" s="20"/>
      <c r="CM696" s="20"/>
      <c r="CN696" s="20"/>
      <c r="CO696" s="20"/>
      <c r="CP696" s="20"/>
    </row>
  </sheetData>
  <mergeCells count="8">
    <mergeCell ref="B5:J5"/>
    <mergeCell ref="B2:J2"/>
    <mergeCell ref="B3:D3"/>
    <mergeCell ref="B4:D4"/>
    <mergeCell ref="G3:J3"/>
    <mergeCell ref="G4:J4"/>
    <mergeCell ref="E3:F3"/>
    <mergeCell ref="E4:F4"/>
  </mergeCells>
  <hyperlinks>
    <hyperlink ref="B5" r:id="rId1" xr:uid="{00000000-0004-0000-0600-00000000000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2" sqref="A2:L2"/>
    </sheetView>
  </sheetViews>
  <sheetFormatPr baseColWidth="10" defaultRowHeight="14.5" x14ac:dyDescent="0.35"/>
  <cols>
    <col min="1" max="1" width="4.54296875" customWidth="1"/>
    <col min="2" max="2" width="18" style="8" bestFit="1" customWidth="1"/>
  </cols>
  <sheetData>
    <row r="1" spans="1:3" x14ac:dyDescent="0.35">
      <c r="B1" s="8" t="s">
        <v>56</v>
      </c>
      <c r="C1" t="s">
        <v>57</v>
      </c>
    </row>
    <row r="2" spans="1:3" x14ac:dyDescent="0.35">
      <c r="A2">
        <v>1</v>
      </c>
      <c r="B2" s="8" t="s">
        <v>60</v>
      </c>
      <c r="C2" t="s">
        <v>62</v>
      </c>
    </row>
    <row r="3" spans="1:3" x14ac:dyDescent="0.35">
      <c r="A3">
        <f>+A2+1</f>
        <v>2</v>
      </c>
      <c r="B3" s="8" t="s">
        <v>21</v>
      </c>
      <c r="C3" t="s">
        <v>62</v>
      </c>
    </row>
    <row r="4" spans="1:3" x14ac:dyDescent="0.35">
      <c r="A4" s="8">
        <f t="shared" ref="A4:A11" si="0">+A3+1</f>
        <v>3</v>
      </c>
      <c r="B4" s="8" t="s">
        <v>61</v>
      </c>
      <c r="C4" t="s">
        <v>62</v>
      </c>
    </row>
    <row r="5" spans="1:3" x14ac:dyDescent="0.35">
      <c r="A5" s="8">
        <f t="shared" si="0"/>
        <v>4</v>
      </c>
      <c r="B5" s="8" t="s">
        <v>23</v>
      </c>
      <c r="C5" t="s">
        <v>62</v>
      </c>
    </row>
    <row r="6" spans="1:3" x14ac:dyDescent="0.35">
      <c r="A6" s="8">
        <f t="shared" si="0"/>
        <v>5</v>
      </c>
      <c r="C6" t="s">
        <v>54</v>
      </c>
    </row>
    <row r="7" spans="1:3" x14ac:dyDescent="0.35">
      <c r="A7" s="8">
        <f t="shared" si="0"/>
        <v>6</v>
      </c>
      <c r="B7" s="8" t="s">
        <v>58</v>
      </c>
      <c r="C7" t="s">
        <v>59</v>
      </c>
    </row>
    <row r="8" spans="1:3" x14ac:dyDescent="0.35">
      <c r="A8" s="8">
        <f t="shared" si="0"/>
        <v>7</v>
      </c>
      <c r="B8" s="8" t="s">
        <v>58</v>
      </c>
      <c r="C8" t="s">
        <v>55</v>
      </c>
    </row>
    <row r="9" spans="1:3" x14ac:dyDescent="0.35">
      <c r="A9" s="8">
        <f t="shared" si="0"/>
        <v>8</v>
      </c>
      <c r="B9" s="8" t="s">
        <v>63</v>
      </c>
      <c r="C9" t="s">
        <v>64</v>
      </c>
    </row>
    <row r="10" spans="1:3" x14ac:dyDescent="0.35">
      <c r="A10" s="8">
        <f t="shared" si="0"/>
        <v>9</v>
      </c>
      <c r="B10" s="8" t="s">
        <v>63</v>
      </c>
      <c r="C10" t="s">
        <v>65</v>
      </c>
    </row>
    <row r="11" spans="1:3" x14ac:dyDescent="0.35">
      <c r="A11" s="8">
        <f t="shared" si="0"/>
        <v>10</v>
      </c>
      <c r="B11" s="8" t="s">
        <v>63</v>
      </c>
      <c r="C11" t="s">
        <v>66</v>
      </c>
    </row>
    <row r="12" spans="1:3" x14ac:dyDescent="0.35">
      <c r="A12" s="8"/>
    </row>
    <row r="13" spans="1:3" x14ac:dyDescent="0.35">
      <c r="A13" s="8"/>
    </row>
    <row r="14" spans="1:3" x14ac:dyDescent="0.35">
      <c r="A14" s="8"/>
    </row>
    <row r="15" spans="1:3" x14ac:dyDescent="0.35">
      <c r="A15" s="8"/>
    </row>
    <row r="16" spans="1:3" x14ac:dyDescent="0.35">
      <c r="A16" s="8"/>
    </row>
    <row r="17" spans="1:1" x14ac:dyDescent="0.35">
      <c r="A17" s="8"/>
    </row>
    <row r="18" spans="1:1" x14ac:dyDescent="0.35">
      <c r="A18" s="8"/>
    </row>
    <row r="19" spans="1:1" x14ac:dyDescent="0.35">
      <c r="A19" s="8"/>
    </row>
    <row r="20" spans="1:1" x14ac:dyDescent="0.35">
      <c r="A20" s="8"/>
    </row>
    <row r="21" spans="1:1" x14ac:dyDescent="0.35">
      <c r="A21" s="8"/>
    </row>
    <row r="22" spans="1:1" x14ac:dyDescent="0.35">
      <c r="A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6232-9545-4F3F-96D5-0B75959030EC}">
  <dimension ref="A1:T88"/>
  <sheetViews>
    <sheetView tabSelected="1" topLeftCell="D1" zoomScale="85" zoomScaleNormal="85" workbookViewId="0">
      <selection activeCell="I6" sqref="I6"/>
    </sheetView>
  </sheetViews>
  <sheetFormatPr baseColWidth="10" defaultColWidth="35.1796875" defaultRowHeight="12.5" x14ac:dyDescent="0.25"/>
  <cols>
    <col min="1" max="1" width="14.36328125" style="67" customWidth="1"/>
    <col min="2" max="2" width="13.453125" style="67" bestFit="1" customWidth="1"/>
    <col min="3" max="3" width="46.453125" style="67" bestFit="1" customWidth="1"/>
    <col min="4" max="4" width="5" style="84" bestFit="1" customWidth="1"/>
    <col min="5" max="5" width="16.453125" style="84" hidden="1" customWidth="1"/>
    <col min="6" max="6" width="16.453125" style="84" bestFit="1" customWidth="1"/>
    <col min="7" max="7" width="13.81640625" style="67" hidden="1" customWidth="1"/>
    <col min="8" max="8" width="16.6328125" style="97" customWidth="1"/>
    <col min="9" max="9" width="14" style="97" bestFit="1" customWidth="1"/>
    <col min="10" max="10" width="6.36328125" style="97" customWidth="1"/>
    <col min="11" max="11" width="15.54296875" style="67" customWidth="1"/>
    <col min="12" max="12" width="50.81640625" style="67" customWidth="1"/>
    <col min="13" max="13" width="13.54296875" style="147" customWidth="1"/>
    <col min="14" max="14" width="17.1796875" style="67" customWidth="1"/>
    <col min="15" max="15" width="16" style="67" customWidth="1"/>
    <col min="16" max="16" width="14.81640625" style="67" customWidth="1"/>
    <col min="17" max="17" width="12.453125" style="67" customWidth="1"/>
    <col min="18" max="18" width="14.81640625" style="67" bestFit="1" customWidth="1"/>
    <col min="19" max="19" width="9" style="67" bestFit="1" customWidth="1"/>
    <col min="20" max="16384" width="35.1796875" style="67"/>
  </cols>
  <sheetData>
    <row r="1" spans="1:19" s="97" customFormat="1" x14ac:dyDescent="0.25">
      <c r="D1" s="217"/>
      <c r="E1" s="217"/>
      <c r="F1" s="217"/>
      <c r="K1" s="91" t="s">
        <v>240</v>
      </c>
      <c r="M1" s="147"/>
    </row>
    <row r="2" spans="1:19" s="66" customFormat="1" ht="18.5" customHeight="1" x14ac:dyDescent="0.35">
      <c r="F2" s="152"/>
      <c r="H2" s="215"/>
      <c r="I2" s="215"/>
      <c r="M2" s="329"/>
    </row>
    <row r="3" spans="1:19" s="69" customFormat="1" ht="26" customHeight="1" x14ac:dyDescent="0.35">
      <c r="A3" s="68" t="s">
        <v>189</v>
      </c>
      <c r="B3" s="98" t="s">
        <v>33</v>
      </c>
      <c r="C3" s="98" t="s">
        <v>34</v>
      </c>
      <c r="D3" s="98" t="s">
        <v>18</v>
      </c>
      <c r="E3" s="110" t="str">
        <f>+N7</f>
        <v>Septiembre-2023</v>
      </c>
      <c r="F3" s="110" t="str">
        <f>+O7</f>
        <v>Mayo-2024</v>
      </c>
      <c r="G3" s="98" t="s">
        <v>335</v>
      </c>
      <c r="H3" s="98" t="s">
        <v>334</v>
      </c>
      <c r="I3" s="215"/>
      <c r="J3" s="66"/>
      <c r="M3" s="330"/>
    </row>
    <row r="4" spans="1:19" ht="14.5" x14ac:dyDescent="0.35">
      <c r="A4" s="85">
        <f>+'MSRV6 '!B3</f>
        <v>1</v>
      </c>
      <c r="B4" s="70">
        <f>+'MSRV6 '!C3</f>
        <v>701410194600</v>
      </c>
      <c r="C4" s="71" t="str">
        <f>+'MSRV6 '!D3</f>
        <v>MTTO PREVENT-CORRECT BBA DOSIF PROD QCO</v>
      </c>
      <c r="D4" s="71" t="str">
        <f>+'MSRV6 '!F3</f>
        <v>C/U</v>
      </c>
      <c r="E4" s="72">
        <f>+'MSRV6 '!G3</f>
        <v>82188.076144907347</v>
      </c>
      <c r="F4" s="72">
        <f>+'MSRV6 '!AO3</f>
        <v>236245.95564314464</v>
      </c>
      <c r="G4" s="107">
        <f>+F4/E4-1</f>
        <v>1.8744553556237884</v>
      </c>
      <c r="H4" s="107">
        <f>+F4/'[2]PRECIOS MAR24'!F4-1</f>
        <v>0.19028282855145973</v>
      </c>
      <c r="I4" s="216">
        <v>234488.7944955597</v>
      </c>
      <c r="J4" s="154"/>
      <c r="K4" s="339">
        <f>(F4-I4)/I4</f>
        <v>7.4935825883066182E-3</v>
      </c>
      <c r="L4" s="83" t="s">
        <v>287</v>
      </c>
      <c r="M4" s="331"/>
      <c r="N4" s="97"/>
      <c r="O4" s="97"/>
    </row>
    <row r="5" spans="1:19" ht="14.5" x14ac:dyDescent="0.35">
      <c r="A5" s="85">
        <f>+'MSRV6 '!B4</f>
        <v>0</v>
      </c>
      <c r="B5" s="70">
        <f>+'MSRV6 '!C4</f>
        <v>701410196600</v>
      </c>
      <c r="C5" s="71" t="str">
        <f>+'MSRV6 '!D4</f>
        <v>DOSIF QUIM CONEX PTO DOSIF</v>
      </c>
      <c r="D5" s="71" t="str">
        <f>+'MSRV6 '!F4</f>
        <v>C/U</v>
      </c>
      <c r="E5" s="72">
        <f>+'MSRV6 '!G4</f>
        <v>167701.02888795998</v>
      </c>
      <c r="F5" s="216">
        <f>+'MSRV6 '!AO4</f>
        <v>482049.12063061621</v>
      </c>
      <c r="G5" s="107">
        <f>+F5/E5-1</f>
        <v>1.8744553556237884</v>
      </c>
      <c r="H5" s="107">
        <f>+F5/'[2]PRECIOS MAR24'!F5-1</f>
        <v>0.19028282855145973</v>
      </c>
      <c r="I5" s="216">
        <v>478463.71327964729</v>
      </c>
      <c r="J5" s="154"/>
      <c r="K5" s="339">
        <f>(F5-I5)/I5</f>
        <v>7.4935825883066676E-3</v>
      </c>
      <c r="L5" s="83" t="s">
        <v>286</v>
      </c>
      <c r="M5" s="331"/>
      <c r="N5" s="97"/>
      <c r="O5" s="97"/>
    </row>
    <row r="6" spans="1:19" ht="14.5" x14ac:dyDescent="0.35">
      <c r="A6" s="85">
        <f>+'MSRV6 '!B5</f>
        <v>0</v>
      </c>
      <c r="B6" s="70">
        <f>+'MSRV6 '!C5</f>
        <v>621015003200</v>
      </c>
      <c r="C6" s="71" t="str">
        <f>+'MSRV6 '!D5</f>
        <v>TRAILER</v>
      </c>
      <c r="D6" s="71" t="str">
        <f>+'MSRV6 '!F5</f>
        <v>MON</v>
      </c>
      <c r="E6" s="72">
        <f>+'MSRV6 '!G5</f>
        <v>436169.84699993348</v>
      </c>
      <c r="F6" s="216">
        <f>+'MSRV6 '!AO5</f>
        <v>1384460.5548403084</v>
      </c>
      <c r="G6" s="107">
        <f>+F6/E6-1</f>
        <v>2.1741317387318606</v>
      </c>
      <c r="H6" s="107">
        <f>+F6/'[2]PRECIOS MAR24'!F6-1</f>
        <v>0.91532880000000016</v>
      </c>
      <c r="I6" s="154"/>
      <c r="J6" s="154"/>
      <c r="K6" s="295" t="s">
        <v>339</v>
      </c>
      <c r="L6" s="337"/>
      <c r="N6" s="97"/>
      <c r="O6" s="97"/>
    </row>
    <row r="7" spans="1:19" ht="16.75" customHeight="1" x14ac:dyDescent="0.35">
      <c r="A7" s="299"/>
      <c r="B7" s="299"/>
      <c r="C7" s="300"/>
      <c r="D7" s="300"/>
      <c r="E7" s="301"/>
      <c r="F7" s="301"/>
      <c r="G7" s="302"/>
      <c r="H7" s="302"/>
      <c r="I7" s="356"/>
      <c r="J7" s="154"/>
      <c r="K7" s="99" t="s">
        <v>37</v>
      </c>
      <c r="L7" s="99" t="s">
        <v>250</v>
      </c>
      <c r="M7" s="332" t="s">
        <v>38</v>
      </c>
      <c r="N7" s="90" t="s">
        <v>270</v>
      </c>
      <c r="O7" s="90" t="s">
        <v>312</v>
      </c>
      <c r="P7" s="99" t="s">
        <v>39</v>
      </c>
      <c r="Q7" s="98" t="s">
        <v>46</v>
      </c>
      <c r="R7" s="98" t="s">
        <v>47</v>
      </c>
    </row>
    <row r="8" spans="1:19" ht="14.5" x14ac:dyDescent="0.35">
      <c r="A8" s="299"/>
      <c r="B8" s="299"/>
      <c r="C8" s="300"/>
      <c r="D8" s="300"/>
      <c r="E8" s="301"/>
      <c r="F8" s="301"/>
      <c r="G8" s="302"/>
      <c r="H8" s="302"/>
      <c r="I8" s="154"/>
      <c r="J8" s="154"/>
      <c r="K8" s="74" t="s">
        <v>32</v>
      </c>
      <c r="L8" s="92" t="s">
        <v>204</v>
      </c>
      <c r="M8" s="107">
        <v>0.65400000000000003</v>
      </c>
      <c r="N8" s="76">
        <v>1</v>
      </c>
      <c r="O8" s="77">
        <v>2.62</v>
      </c>
      <c r="P8" s="75">
        <f>+O8/N8-1</f>
        <v>1.62</v>
      </c>
      <c r="Q8" s="75">
        <f>+M8*P8</f>
        <v>1.0594800000000002</v>
      </c>
      <c r="R8" s="75"/>
      <c r="S8" s="147"/>
    </row>
    <row r="9" spans="1:19" ht="14.5" x14ac:dyDescent="0.35">
      <c r="A9" s="299"/>
      <c r="B9" s="299"/>
      <c r="C9" s="300"/>
      <c r="D9" s="300"/>
      <c r="E9" s="301"/>
      <c r="F9" s="301"/>
      <c r="G9" s="302"/>
      <c r="H9" s="302"/>
      <c r="I9" s="154"/>
      <c r="J9" s="154"/>
    </row>
    <row r="10" spans="1:19" ht="14.5" x14ac:dyDescent="0.35">
      <c r="A10" s="299"/>
      <c r="B10" s="299"/>
      <c r="C10" s="300"/>
      <c r="D10" s="300"/>
      <c r="E10" s="301"/>
      <c r="F10" s="301"/>
      <c r="G10" s="302"/>
      <c r="H10" s="302"/>
      <c r="I10" s="154"/>
      <c r="J10" s="154"/>
    </row>
    <row r="11" spans="1:19" ht="14.5" x14ac:dyDescent="0.35">
      <c r="A11" s="299"/>
      <c r="B11" s="299"/>
      <c r="C11" s="300"/>
      <c r="D11" s="300"/>
      <c r="E11" s="301"/>
      <c r="F11" s="301"/>
      <c r="G11" s="302"/>
      <c r="H11" s="302"/>
      <c r="I11" s="154"/>
      <c r="J11" s="154"/>
    </row>
    <row r="12" spans="1:19" ht="26" x14ac:dyDescent="0.35">
      <c r="A12" s="299"/>
      <c r="B12" s="299"/>
      <c r="C12" s="300"/>
      <c r="D12" s="300"/>
      <c r="E12" s="301"/>
      <c r="F12" s="301"/>
      <c r="G12" s="302"/>
      <c r="H12" s="302"/>
      <c r="I12" s="154"/>
      <c r="J12" s="154"/>
      <c r="K12" s="73" t="s">
        <v>37</v>
      </c>
      <c r="L12" s="73" t="s">
        <v>250</v>
      </c>
      <c r="M12" s="332" t="s">
        <v>38</v>
      </c>
      <c r="N12" s="90" t="s">
        <v>267</v>
      </c>
      <c r="O12" s="90" t="s">
        <v>306</v>
      </c>
      <c r="P12" s="73" t="s">
        <v>39</v>
      </c>
      <c r="Q12" s="68" t="s">
        <v>46</v>
      </c>
      <c r="R12" s="68" t="s">
        <v>47</v>
      </c>
    </row>
    <row r="13" spans="1:19" ht="15" customHeight="1" x14ac:dyDescent="0.35">
      <c r="A13" s="299"/>
      <c r="B13" s="299"/>
      <c r="C13" s="300"/>
      <c r="D13" s="300"/>
      <c r="E13" s="301"/>
      <c r="F13" s="301"/>
      <c r="G13" s="302"/>
      <c r="H13" s="302"/>
      <c r="I13" s="154"/>
      <c r="J13" s="154"/>
      <c r="K13" s="74" t="s">
        <v>41</v>
      </c>
      <c r="L13" s="92" t="s">
        <v>207</v>
      </c>
      <c r="M13" s="107">
        <v>0.152</v>
      </c>
      <c r="N13" s="77">
        <f>IF(L13="ACARA - Hilux 4x4 CD DX 2.4 TDI 6MT (150cv) (L16/18/20)",HLOOKUP($N$12,'Base Centralizada de Indices'!H14:ZZ61,26,0),IF(L13="ACARA -  Hilux 4x4 CD SR 2.8 TDI 6MT (204 cv) (L20)",HLOOKUP($N$12,'Base Centralizada de Indices'!H14:ZZ61,28,0),""))</f>
        <v>12470</v>
      </c>
      <c r="O13" s="102">
        <f>IF(L13="ACARA - Hilux 4x4 CD DX 2.4 TDI 6MT (150cv) (L16/18/20)",HLOOKUP($O$12,'Base Centralizada de Indices'!H14:ZZ61,26,0),IF(L13="ACARA -  Hilux 4x4 CD SR 2.8 TDI 6MT (204 cv) (L20)",HLOOKUP($O$12,'Base Centralizada de Indices'!H14:ZZ61,28,0),""))</f>
        <v>39078</v>
      </c>
      <c r="P13" s="75">
        <f>+O13/N13-1</f>
        <v>2.1337610264635125</v>
      </c>
      <c r="Q13" s="75"/>
      <c r="R13" s="75">
        <f>+M13*P13</f>
        <v>0.32433167602245389</v>
      </c>
    </row>
    <row r="14" spans="1:19" ht="14.5" x14ac:dyDescent="0.35">
      <c r="A14" s="299"/>
      <c r="B14" s="299"/>
      <c r="C14" s="300"/>
      <c r="D14" s="300"/>
      <c r="E14" s="301"/>
      <c r="F14" s="301"/>
      <c r="G14" s="302"/>
      <c r="H14" s="302"/>
      <c r="I14" s="154"/>
      <c r="J14" s="154"/>
      <c r="K14" s="74" t="s">
        <v>20</v>
      </c>
      <c r="L14" s="92" t="s">
        <v>244</v>
      </c>
      <c r="M14" s="107">
        <v>1.0999999999999999E-2</v>
      </c>
      <c r="N14" s="77">
        <f>IF(L14="IPIM General (Índice)",HLOOKUP($N$12,'Base Centralizada de Indices'!H14:ZZ61,14,0),IF(L14="IPIM Productos Nacionales (Índice)",HLOOKUP($N$12,'Base Centralizada de Indices'!H14:ZZ61,16,0),IF(L14="IPIM Productos Importados (Índice)",HLOOKUP($N$12,'Base Centralizada de Indices'!H14:ZZ61,18,0),IF(L14="IPIM Maquinas y Equipos (Índice)",HLOOKUP($N$12,'Base Centralizada de Indices'!H14:ZZ61,20,0),IF(L14="IPIM Vehículos Automotores, Carrocerías y Repuestos (Índices)",HLOOKUP($N$12,'Base Centralizada de Indices'!H14:ZZ61,22,0),IF(L14="IPC Nacional",HLOOKUP($N$12,'Base Centralizada de Indices'!H14:ZZ61,23,0),IF(L14="IPC GBA",HLOOKUP($N$12,'Base Centralizada de Indices'!H14:ZZ61,24,0),IF(L14="IPC Alimentos y Bebidas GBA",HLOOKUP($N$12,'Base Centralizada de Indices'!H14:ZZ61,25,0),IF(L14="FADEEAC Nivel General",HLOOKUP($N$12,'Base Centralizada de Indices'!H14:ZZ61,9,0),IF(L14="FADEEAC Combustible",HLOOKUP($N$12,'Base Centralizada de Indices'!H14:ZZ61,10,0),IF(L14="CEDOL Costos Logísticos con transporte",HLOOKUP($N$12,'Base Centralizada de Indices'!H14:ZZ61,11,0),IF(L14="CEDOL Costos Logísticos sin transporte",HLOOKUP($N$12,'Base Centralizada de Indices'!H14:ZZ61,12,0),""))))))))))))</f>
        <v>27223.052521560079</v>
      </c>
      <c r="O14" s="77">
        <f>IF(L14="IPIM General (Índice)",HLOOKUP($O$12,'Base Centralizada de Indices'!H14:ZZ61,14,0),IF(L14="IPIM Productos Nacionales (Índice)",HLOOKUP($O$12,'Base Centralizada de Indices'!H14:ZZ61,16,0),IF(L14="IPIM Productos Importados (Índice)",HLOOKUP($O$12,'Base Centralizada de Indices'!H14:ZZ61,18,0),IF(L14="IPIM Maquinas y Equipos (Índice)",HLOOKUP($O$12,'Base Centralizada de Indices'!H14:ZZ61,20,0),IF(L14="IPIM Vehículos Automotores, Carrocerías y Repuestos (Índices)",HLOOKUP($O$12,'Base Centralizada de Indices'!H14:ZZ61,22,0),IF(L14="IPC Nacional",HLOOKUP($O$12,'Base Centralizada de Indices'!H14:ZZ61,23,0),IF(L14="IPC GBA",HLOOKUP($O$12,'Base Centralizada de Indices'!H14:ZZ61,24,0),IF(L14="IPC Alimentos y Bebidas GBA",HLOOKUP($O$12,'Base Centralizada de Indices'!H14:ZZ61,25,0),IF(L14="FADEEAC Nivel General",HLOOKUP($O$12,'Base Centralizada de Indices'!H14:ZZ61,9,0),IF(L14="FADEEAC Combustible",HLOOKUP($O$12,'Base Centralizada de Indices'!H14:ZZ61,10,0),IF(L14="CEDOL Costos Logísticos con transporte",HLOOKUP($O$12,'Base Centralizada de Indices'!H14:ZZ61,11,0),IF(L14="CEDOL Costos Logísticos sin transporte",HLOOKUP($O$12,'Base Centralizada de Indices'!H14:ZZ61,12,0),""))))))))))))</f>
        <v>86409.555033848243</v>
      </c>
      <c r="P14" s="75">
        <f>+O14/N14-1</f>
        <v>2.1741317387318602</v>
      </c>
      <c r="Q14" s="75"/>
      <c r="R14" s="75">
        <f>+M14*P14</f>
        <v>2.391544912605046E-2</v>
      </c>
    </row>
    <row r="15" spans="1:19" ht="14.5" x14ac:dyDescent="0.35">
      <c r="A15" s="299"/>
      <c r="B15" s="299"/>
      <c r="C15" s="300"/>
      <c r="D15" s="300"/>
      <c r="E15" s="301"/>
      <c r="F15" s="301"/>
      <c r="G15" s="302"/>
      <c r="H15" s="302"/>
      <c r="I15" s="154"/>
      <c r="J15" s="154"/>
      <c r="M15" s="107">
        <f>SUM(M8:M14)</f>
        <v>0.81700000000000006</v>
      </c>
      <c r="N15" s="78" t="s">
        <v>36</v>
      </c>
      <c r="O15" s="79"/>
      <c r="P15" s="80"/>
      <c r="Q15" s="81">
        <f>SUM(Q8:Q14)</f>
        <v>1.0594800000000002</v>
      </c>
      <c r="R15" s="81">
        <f>SUM(R8:R14)</f>
        <v>0.34824712514850437</v>
      </c>
      <c r="S15" s="82">
        <f>+Q15+R15</f>
        <v>1.4077271251485046</v>
      </c>
    </row>
    <row r="16" spans="1:19" ht="14.5" x14ac:dyDescent="0.35">
      <c r="A16" s="299"/>
      <c r="B16" s="299"/>
      <c r="C16" s="300"/>
      <c r="D16" s="300"/>
      <c r="E16" s="301"/>
      <c r="F16" s="301"/>
      <c r="G16" s="302"/>
      <c r="H16" s="302"/>
      <c r="I16" s="154"/>
      <c r="J16" s="154"/>
    </row>
    <row r="17" spans="1:20" ht="14.5" x14ac:dyDescent="0.35">
      <c r="A17" s="299"/>
      <c r="B17" s="299"/>
      <c r="C17" s="300"/>
      <c r="D17" s="300"/>
      <c r="E17" s="301"/>
      <c r="F17" s="301"/>
      <c r="G17" s="302"/>
      <c r="H17" s="302"/>
      <c r="I17" s="154"/>
      <c r="J17" s="154"/>
      <c r="K17" s="295" t="s">
        <v>341</v>
      </c>
      <c r="L17" s="338"/>
      <c r="N17" s="97"/>
      <c r="O17" s="97"/>
      <c r="P17" s="97"/>
      <c r="Q17" s="97"/>
      <c r="R17" s="97"/>
      <c r="S17" s="97"/>
    </row>
    <row r="18" spans="1:20" ht="26" x14ac:dyDescent="0.35">
      <c r="A18" s="299"/>
      <c r="B18" s="299"/>
      <c r="C18" s="300"/>
      <c r="D18" s="300"/>
      <c r="E18" s="301"/>
      <c r="F18" s="301"/>
      <c r="G18" s="302"/>
      <c r="H18" s="302"/>
      <c r="I18" s="154"/>
      <c r="J18" s="154"/>
      <c r="K18" s="99" t="s">
        <v>37</v>
      </c>
      <c r="L18" s="99" t="s">
        <v>250</v>
      </c>
      <c r="M18" s="332" t="s">
        <v>38</v>
      </c>
      <c r="N18" s="90" t="s">
        <v>267</v>
      </c>
      <c r="O18" s="90" t="s">
        <v>307</v>
      </c>
      <c r="P18" s="99" t="s">
        <v>39</v>
      </c>
      <c r="Q18" s="98" t="s">
        <v>46</v>
      </c>
      <c r="R18" s="98" t="s">
        <v>47</v>
      </c>
      <c r="S18" s="97"/>
    </row>
    <row r="19" spans="1:20" ht="14.5" x14ac:dyDescent="0.35">
      <c r="A19" s="299"/>
      <c r="B19" s="299"/>
      <c r="C19" s="300"/>
      <c r="D19" s="300"/>
      <c r="E19" s="301"/>
      <c r="F19" s="301"/>
      <c r="G19" s="302"/>
      <c r="H19" s="302"/>
      <c r="I19" s="154"/>
      <c r="J19" s="154"/>
      <c r="K19" s="100" t="s">
        <v>41</v>
      </c>
      <c r="L19" s="92" t="s">
        <v>239</v>
      </c>
      <c r="M19" s="107">
        <v>0.104</v>
      </c>
      <c r="N19" s="102">
        <f>IF(L19="Cotización del USD BNA",HLOOKUP($N$18,'Base Centralizada de Indices'!H14:ZZ61,48,0),IF(L19="IPIM Maquinas y Equipos (Índice)",HLOOKUP($N$18,'Base Centralizada de Indices'!H14:ZZ61,20,0),""))</f>
        <v>256.7</v>
      </c>
      <c r="O19" s="102">
        <f>IF(L19="Cotización del USD BNA",HLOOKUP($O$18,'Base Centralizada de Indices'!H14:ZZ61,48,0),IF(L19="IPIM Maquinas y Equipos (Índice)",HLOOKUP($O$18,'Base Centralizada de Indices'!H14:ZZ61,20,0),""))</f>
        <v>876</v>
      </c>
      <c r="P19" s="101">
        <f>+O19/N19-1</f>
        <v>2.4125438254772109</v>
      </c>
      <c r="Q19" s="101"/>
      <c r="R19" s="101">
        <f>+M19*P19</f>
        <v>0.25090455784962995</v>
      </c>
      <c r="S19" s="97"/>
    </row>
    <row r="20" spans="1:20" ht="14.5" x14ac:dyDescent="0.35">
      <c r="A20" s="299"/>
      <c r="B20" s="299"/>
      <c r="C20" s="300"/>
      <c r="D20" s="300"/>
      <c r="E20" s="301"/>
      <c r="F20" s="301"/>
      <c r="G20" s="302"/>
      <c r="H20" s="302"/>
      <c r="I20" s="154"/>
      <c r="J20" s="154"/>
      <c r="K20" s="100" t="s">
        <v>21</v>
      </c>
      <c r="L20" s="92" t="s">
        <v>242</v>
      </c>
      <c r="M20" s="107">
        <v>7.9000000000000001E-2</v>
      </c>
      <c r="N20" s="102">
        <f>IF(L20="Combustible Neuquén - Neuquén ($) (G2)",HLOOKUP($N$18,'Base Centralizada de Indices'!H14:ZZ61,30,0),IF(L20="Combustible Neuquén - Neuquén ($) (G3) ",HLOOKUP($N$18,'Base Centralizada de Indices'!H14:ZZ61,34,0),""))</f>
        <v>245.48699999999999</v>
      </c>
      <c r="O20" s="102">
        <f>IF(L20="Combustible Neuquén - Neuquén ($) (G2)",HLOOKUP($O$18,'Base Centralizada de Indices'!H14:ZZ61,30,0),IF(L20="Combustible Neuquén - Neuquén ($) (G3) ",HLOOKUP($O$18,'Base Centralizada de Indices'!H14:ZZ61,34,0),""))</f>
        <v>922.9</v>
      </c>
      <c r="P20" s="101">
        <f>+O20/N20-1</f>
        <v>2.759465878030201</v>
      </c>
      <c r="Q20" s="101"/>
      <c r="R20" s="101">
        <f>+M20*P20</f>
        <v>0.21799780436438587</v>
      </c>
      <c r="S20" s="97"/>
    </row>
    <row r="21" spans="1:20" s="294" customFormat="1" ht="14.5" x14ac:dyDescent="0.35">
      <c r="A21" s="299"/>
      <c r="B21" s="299"/>
      <c r="C21" s="300"/>
      <c r="D21" s="300"/>
      <c r="E21" s="301"/>
      <c r="F21" s="301"/>
      <c r="G21" s="302"/>
      <c r="H21" s="302"/>
      <c r="I21" s="293"/>
      <c r="J21" s="293"/>
      <c r="K21" s="97"/>
      <c r="L21" s="97"/>
      <c r="M21" s="107">
        <f>SUM(M19:M20)</f>
        <v>0.183</v>
      </c>
      <c r="N21" s="78" t="s">
        <v>36</v>
      </c>
      <c r="O21" s="79"/>
      <c r="P21" s="80"/>
      <c r="Q21" s="81">
        <f>SUM(Q19:Q20)</f>
        <v>0</v>
      </c>
      <c r="R21" s="81">
        <f>SUM(R19:R20)</f>
        <v>0.46890236221401582</v>
      </c>
      <c r="S21" s="82">
        <f>+Q21+R21</f>
        <v>0.46890236221401582</v>
      </c>
      <c r="T21" s="159"/>
    </row>
    <row r="22" spans="1:20" s="294" customFormat="1" ht="14.5" x14ac:dyDescent="0.35">
      <c r="A22" s="299"/>
      <c r="B22" s="299"/>
      <c r="C22" s="300"/>
      <c r="D22" s="300"/>
      <c r="E22" s="301"/>
      <c r="F22" s="301"/>
      <c r="G22" s="302"/>
      <c r="H22" s="302"/>
      <c r="I22" s="293"/>
      <c r="J22" s="293"/>
      <c r="K22" s="67"/>
      <c r="L22" s="67"/>
      <c r="M22" s="339">
        <f>+M15+M21</f>
        <v>1</v>
      </c>
      <c r="N22" s="67"/>
      <c r="O22" s="67"/>
      <c r="P22" s="67"/>
      <c r="Q22" s="67"/>
      <c r="R22" s="67"/>
      <c r="S22" s="328"/>
      <c r="T22" s="159"/>
    </row>
    <row r="23" spans="1:20" s="294" customFormat="1" ht="14.5" x14ac:dyDescent="0.35">
      <c r="A23" s="299"/>
      <c r="B23" s="299"/>
      <c r="C23" s="300"/>
      <c r="D23" s="300"/>
      <c r="E23" s="301"/>
      <c r="F23" s="301"/>
      <c r="G23" s="302"/>
      <c r="H23" s="302"/>
      <c r="I23" s="293"/>
      <c r="J23" s="293"/>
      <c r="K23" s="295" t="s">
        <v>342</v>
      </c>
      <c r="L23" s="338"/>
      <c r="M23" s="333"/>
      <c r="N23" s="159"/>
      <c r="O23" s="159"/>
      <c r="P23" s="159"/>
      <c r="Q23" s="159"/>
      <c r="R23" s="159"/>
      <c r="S23" s="159"/>
      <c r="T23" s="159"/>
    </row>
    <row r="24" spans="1:20" s="294" customFormat="1" ht="26" x14ac:dyDescent="0.35">
      <c r="A24" s="299"/>
      <c r="B24" s="299"/>
      <c r="C24" s="300"/>
      <c r="D24" s="300"/>
      <c r="E24" s="301"/>
      <c r="F24" s="301"/>
      <c r="G24" s="302"/>
      <c r="H24" s="302"/>
      <c r="I24" s="293"/>
      <c r="J24" s="293"/>
      <c r="K24" s="99" t="s">
        <v>37</v>
      </c>
      <c r="L24" s="99" t="s">
        <v>250</v>
      </c>
      <c r="M24" s="332" t="s">
        <v>38</v>
      </c>
      <c r="N24" s="90" t="s">
        <v>267</v>
      </c>
      <c r="O24" s="90" t="s">
        <v>306</v>
      </c>
      <c r="P24" s="99" t="s">
        <v>39</v>
      </c>
      <c r="Q24" s="98" t="s">
        <v>46</v>
      </c>
      <c r="R24" s="98" t="s">
        <v>47</v>
      </c>
      <c r="S24" s="97"/>
      <c r="T24" s="159"/>
    </row>
    <row r="25" spans="1:20" s="294" customFormat="1" ht="14.5" x14ac:dyDescent="0.35">
      <c r="A25" s="299"/>
      <c r="B25" s="299"/>
      <c r="C25" s="300"/>
      <c r="D25" s="300"/>
      <c r="E25" s="301"/>
      <c r="F25" s="301"/>
      <c r="G25" s="302"/>
      <c r="H25" s="302"/>
      <c r="I25" s="293"/>
      <c r="J25" s="293"/>
      <c r="K25" s="100" t="s">
        <v>20</v>
      </c>
      <c r="L25" s="92" t="s">
        <v>244</v>
      </c>
      <c r="M25" s="107">
        <v>1</v>
      </c>
      <c r="N25" s="102">
        <f>IF(L25="IPIM General (Índice)",HLOOKUP($N$24,'Base Centralizada de Indices'!H14:ZZ61,14,0))</f>
        <v>27223.052521560079</v>
      </c>
      <c r="O25" s="102">
        <f>IF(L25="IPIM General (Índice)",HLOOKUP($O$24,'Base Centralizada de Indices'!I14:AAA61,14,0))</f>
        <v>86409.555033848243</v>
      </c>
      <c r="P25" s="101">
        <f>+O25/N25-1</f>
        <v>2.1741317387318602</v>
      </c>
      <c r="Q25" s="101"/>
      <c r="R25" s="101">
        <f>+M25*P25</f>
        <v>2.1741317387318602</v>
      </c>
      <c r="S25" s="97"/>
      <c r="T25" s="159"/>
    </row>
    <row r="26" spans="1:20" s="294" customFormat="1" ht="14.5" x14ac:dyDescent="0.35">
      <c r="A26" s="299"/>
      <c r="B26" s="299"/>
      <c r="C26" s="300"/>
      <c r="D26" s="300"/>
      <c r="E26" s="301"/>
      <c r="F26" s="301"/>
      <c r="G26" s="302"/>
      <c r="H26" s="302"/>
      <c r="I26" s="293"/>
      <c r="J26" s="293"/>
      <c r="K26" s="97"/>
      <c r="L26" s="97"/>
      <c r="M26" s="107">
        <f>+M25</f>
        <v>1</v>
      </c>
      <c r="N26" s="78" t="s">
        <v>36</v>
      </c>
      <c r="O26" s="79"/>
      <c r="P26" s="80"/>
      <c r="Q26" s="81">
        <f>SUM(Q20:Q25)</f>
        <v>0</v>
      </c>
      <c r="R26" s="81">
        <f>SUM(R20:R25)</f>
        <v>2.861031905310262</v>
      </c>
      <c r="S26" s="82">
        <f>+Q26+R26</f>
        <v>2.861031905310262</v>
      </c>
      <c r="T26" s="159"/>
    </row>
    <row r="27" spans="1:20" s="294" customFormat="1" ht="14.5" x14ac:dyDescent="0.35">
      <c r="A27" s="299"/>
      <c r="B27" s="299"/>
      <c r="C27" s="300"/>
      <c r="D27" s="300"/>
      <c r="E27" s="301"/>
      <c r="F27" s="301"/>
      <c r="G27" s="302"/>
      <c r="H27" s="302"/>
      <c r="I27" s="293"/>
      <c r="J27" s="293"/>
      <c r="K27" s="159"/>
      <c r="L27" s="159"/>
      <c r="M27" s="333"/>
      <c r="N27" s="159"/>
      <c r="O27" s="159"/>
      <c r="P27" s="159"/>
      <c r="Q27" s="159"/>
      <c r="R27" s="159"/>
      <c r="S27" s="159"/>
      <c r="T27" s="159"/>
    </row>
    <row r="28" spans="1:20" s="294" customFormat="1" ht="14.5" x14ac:dyDescent="0.35">
      <c r="A28" s="299"/>
      <c r="B28" s="299"/>
      <c r="C28" s="300"/>
      <c r="D28" s="300"/>
      <c r="E28" s="301"/>
      <c r="F28" s="301"/>
      <c r="G28" s="302"/>
      <c r="H28" s="302"/>
      <c r="I28" s="293"/>
      <c r="J28" s="293"/>
      <c r="K28" s="159"/>
      <c r="L28" s="159"/>
      <c r="M28" s="333"/>
      <c r="N28" s="159"/>
      <c r="O28" s="159"/>
      <c r="P28" s="159"/>
      <c r="Q28" s="159"/>
      <c r="R28" s="159"/>
      <c r="S28" s="159"/>
      <c r="T28" s="159"/>
    </row>
    <row r="29" spans="1:20" s="294" customFormat="1" ht="14.5" x14ac:dyDescent="0.35">
      <c r="A29" s="299"/>
      <c r="B29" s="299"/>
      <c r="C29" s="300"/>
      <c r="D29" s="300"/>
      <c r="E29" s="301"/>
      <c r="F29" s="301"/>
      <c r="G29" s="302"/>
      <c r="H29" s="302"/>
      <c r="I29" s="293"/>
      <c r="J29" s="293"/>
      <c r="K29" s="159"/>
      <c r="L29" s="159"/>
      <c r="M29" s="333"/>
      <c r="N29" s="159"/>
      <c r="O29" s="159"/>
      <c r="P29" s="159"/>
      <c r="Q29" s="159"/>
      <c r="R29" s="159"/>
      <c r="S29" s="159"/>
      <c r="T29" s="159"/>
    </row>
    <row r="30" spans="1:20" s="294" customFormat="1" ht="14.5" x14ac:dyDescent="0.35">
      <c r="A30" s="299"/>
      <c r="B30" s="299"/>
      <c r="C30" s="300"/>
      <c r="D30" s="300"/>
      <c r="E30" s="301"/>
      <c r="F30" s="301"/>
      <c r="G30" s="302"/>
      <c r="H30" s="302"/>
      <c r="I30" s="293"/>
      <c r="J30" s="293"/>
      <c r="K30" s="159"/>
      <c r="L30" s="159"/>
      <c r="M30" s="333"/>
      <c r="N30" s="159"/>
      <c r="O30" s="159"/>
      <c r="P30" s="159"/>
      <c r="Q30" s="159"/>
      <c r="R30" s="159"/>
      <c r="S30" s="159"/>
      <c r="T30" s="159"/>
    </row>
    <row r="31" spans="1:20" s="294" customFormat="1" ht="14.5" x14ac:dyDescent="0.35">
      <c r="A31" s="299"/>
      <c r="B31" s="299"/>
      <c r="C31" s="300"/>
      <c r="D31" s="300"/>
      <c r="E31" s="301"/>
      <c r="F31" s="301"/>
      <c r="G31" s="302"/>
      <c r="H31" s="302"/>
      <c r="I31" s="293"/>
      <c r="J31" s="293"/>
      <c r="K31" s="159"/>
      <c r="L31" s="159"/>
      <c r="M31" s="333"/>
      <c r="N31" s="159"/>
      <c r="O31" s="159"/>
      <c r="P31" s="159"/>
      <c r="Q31" s="159"/>
      <c r="R31" s="159"/>
      <c r="S31" s="159"/>
      <c r="T31" s="159"/>
    </row>
    <row r="32" spans="1:20" s="294" customFormat="1" ht="14.5" x14ac:dyDescent="0.35">
      <c r="A32" s="299"/>
      <c r="B32" s="299"/>
      <c r="C32" s="300"/>
      <c r="D32" s="300"/>
      <c r="E32" s="301"/>
      <c r="F32" s="301"/>
      <c r="G32" s="302"/>
      <c r="H32" s="302"/>
      <c r="I32" s="293"/>
      <c r="J32" s="293"/>
      <c r="K32" s="159"/>
      <c r="L32" s="159"/>
      <c r="M32" s="333"/>
      <c r="N32" s="159"/>
      <c r="O32" s="159"/>
      <c r="P32" s="159"/>
      <c r="Q32" s="159"/>
      <c r="R32" s="159"/>
      <c r="S32" s="159"/>
      <c r="T32" s="159"/>
    </row>
    <row r="33" spans="1:20" s="294" customFormat="1" ht="14.5" x14ac:dyDescent="0.35">
      <c r="A33" s="299"/>
      <c r="B33" s="299"/>
      <c r="C33" s="300"/>
      <c r="D33" s="300"/>
      <c r="E33" s="301"/>
      <c r="F33" s="301"/>
      <c r="G33" s="302"/>
      <c r="H33" s="302"/>
      <c r="I33" s="293"/>
      <c r="J33" s="293"/>
      <c r="K33" s="159"/>
      <c r="L33" s="159"/>
      <c r="M33" s="333"/>
      <c r="N33" s="159"/>
      <c r="O33" s="159"/>
      <c r="P33" s="159"/>
      <c r="Q33" s="159"/>
      <c r="R33" s="159"/>
      <c r="S33" s="159"/>
      <c r="T33" s="159"/>
    </row>
    <row r="34" spans="1:20" s="294" customFormat="1" ht="14.5" x14ac:dyDescent="0.35">
      <c r="A34" s="299"/>
      <c r="B34" s="299"/>
      <c r="C34" s="300"/>
      <c r="D34" s="300"/>
      <c r="E34" s="301"/>
      <c r="F34" s="301"/>
      <c r="G34" s="302"/>
      <c r="H34" s="302"/>
      <c r="I34" s="293"/>
      <c r="J34" s="293"/>
      <c r="K34" s="159"/>
      <c r="L34" s="159"/>
      <c r="M34" s="333"/>
      <c r="N34" s="159"/>
      <c r="O34" s="159"/>
      <c r="P34" s="159"/>
      <c r="Q34" s="159"/>
      <c r="R34" s="159"/>
      <c r="S34" s="159"/>
      <c r="T34" s="159"/>
    </row>
    <row r="35" spans="1:20" s="294" customFormat="1" ht="14.5" x14ac:dyDescent="0.35">
      <c r="A35" s="299"/>
      <c r="B35" s="299"/>
      <c r="C35" s="300"/>
      <c r="D35" s="300"/>
      <c r="E35" s="301"/>
      <c r="F35" s="301"/>
      <c r="G35" s="302"/>
      <c r="H35" s="302"/>
      <c r="I35" s="293"/>
      <c r="J35" s="293"/>
      <c r="K35" s="159"/>
      <c r="L35" s="159"/>
      <c r="M35" s="333"/>
      <c r="N35" s="159"/>
      <c r="O35" s="159"/>
      <c r="P35" s="159"/>
      <c r="Q35" s="159"/>
      <c r="R35" s="159"/>
      <c r="S35" s="159"/>
      <c r="T35" s="159"/>
    </row>
    <row r="36" spans="1:20" s="294" customFormat="1" ht="14.5" x14ac:dyDescent="0.35">
      <c r="A36" s="299"/>
      <c r="B36" s="299"/>
      <c r="C36" s="300"/>
      <c r="D36" s="300"/>
      <c r="E36" s="301"/>
      <c r="F36" s="301"/>
      <c r="G36" s="302"/>
      <c r="H36" s="302"/>
      <c r="I36" s="293"/>
      <c r="J36" s="293"/>
      <c r="K36" s="159"/>
      <c r="L36" s="159"/>
      <c r="M36" s="333"/>
      <c r="N36" s="159"/>
      <c r="O36" s="159"/>
      <c r="P36" s="159"/>
      <c r="Q36" s="159"/>
      <c r="R36" s="159"/>
      <c r="S36" s="159"/>
      <c r="T36" s="159"/>
    </row>
    <row r="37" spans="1:20" s="294" customFormat="1" ht="14.5" x14ac:dyDescent="0.35">
      <c r="A37" s="299"/>
      <c r="B37" s="299"/>
      <c r="C37" s="300"/>
      <c r="D37" s="300"/>
      <c r="E37" s="301"/>
      <c r="F37" s="301"/>
      <c r="G37" s="302"/>
      <c r="H37" s="302"/>
      <c r="I37" s="293"/>
      <c r="J37" s="293"/>
      <c r="K37" s="159"/>
      <c r="L37" s="159"/>
      <c r="M37" s="333"/>
      <c r="N37" s="159"/>
      <c r="O37" s="159"/>
      <c r="P37" s="159"/>
      <c r="Q37" s="159"/>
      <c r="R37" s="159"/>
      <c r="S37" s="159"/>
      <c r="T37" s="159"/>
    </row>
    <row r="38" spans="1:20" s="294" customFormat="1" ht="14.5" x14ac:dyDescent="0.35">
      <c r="A38" s="299"/>
      <c r="B38" s="299"/>
      <c r="C38" s="300"/>
      <c r="D38" s="300"/>
      <c r="E38" s="301"/>
      <c r="F38" s="301"/>
      <c r="G38" s="302"/>
      <c r="H38" s="302"/>
      <c r="I38" s="293"/>
      <c r="J38" s="293"/>
      <c r="K38" s="159"/>
      <c r="L38" s="159"/>
      <c r="M38" s="333"/>
      <c r="N38" s="159"/>
      <c r="O38" s="159"/>
      <c r="P38" s="159"/>
      <c r="Q38" s="159"/>
      <c r="R38" s="159"/>
      <c r="S38" s="159"/>
      <c r="T38" s="159"/>
    </row>
    <row r="39" spans="1:20" s="294" customFormat="1" ht="14.5" x14ac:dyDescent="0.35">
      <c r="A39" s="299"/>
      <c r="B39" s="299"/>
      <c r="C39" s="300"/>
      <c r="D39" s="300"/>
      <c r="E39" s="301"/>
      <c r="F39" s="301"/>
      <c r="G39" s="302"/>
      <c r="H39" s="302"/>
      <c r="I39" s="293"/>
      <c r="J39" s="293"/>
      <c r="K39" s="159"/>
      <c r="L39" s="159"/>
      <c r="M39" s="333"/>
      <c r="N39" s="159"/>
      <c r="O39" s="159"/>
      <c r="P39" s="159"/>
      <c r="Q39" s="159"/>
      <c r="R39" s="159"/>
      <c r="S39" s="159"/>
      <c r="T39" s="159"/>
    </row>
    <row r="40" spans="1:20" s="153" customFormat="1" ht="14.5" x14ac:dyDescent="0.35">
      <c r="A40" s="303"/>
      <c r="B40" s="303"/>
      <c r="C40" s="304"/>
      <c r="D40" s="304"/>
      <c r="E40" s="301"/>
      <c r="F40" s="301"/>
      <c r="G40" s="305"/>
      <c r="H40" s="305"/>
      <c r="I40" s="293"/>
      <c r="J40" s="293"/>
      <c r="K40" s="159"/>
      <c r="L40" s="159"/>
      <c r="M40" s="333"/>
      <c r="N40" s="159"/>
      <c r="O40" s="159"/>
      <c r="P40" s="159"/>
      <c r="Q40" s="159"/>
      <c r="R40" s="159"/>
      <c r="S40" s="159"/>
    </row>
    <row r="41" spans="1:20" s="153" customFormat="1" ht="14.5" x14ac:dyDescent="0.35">
      <c r="A41" s="303"/>
      <c r="B41" s="303"/>
      <c r="C41" s="304"/>
      <c r="D41" s="304"/>
      <c r="E41" s="301"/>
      <c r="F41" s="301"/>
      <c r="G41" s="305"/>
      <c r="H41" s="305"/>
      <c r="I41" s="154"/>
      <c r="J41" s="154"/>
      <c r="K41" s="159"/>
      <c r="L41" s="159"/>
      <c r="M41" s="333"/>
      <c r="N41" s="159"/>
      <c r="O41" s="159"/>
      <c r="P41" s="159"/>
      <c r="Q41" s="159"/>
      <c r="R41" s="159"/>
      <c r="S41" s="159"/>
    </row>
    <row r="42" spans="1:20" s="153" customFormat="1" ht="14.5" x14ac:dyDescent="0.35">
      <c r="A42" s="303"/>
      <c r="B42" s="303"/>
      <c r="C42" s="304"/>
      <c r="D42" s="304"/>
      <c r="E42" s="301"/>
      <c r="F42" s="301"/>
      <c r="G42" s="305"/>
      <c r="H42" s="305"/>
      <c r="I42" s="154"/>
      <c r="J42" s="154"/>
      <c r="M42" s="334"/>
    </row>
    <row r="43" spans="1:20" s="153" customFormat="1" ht="14.5" x14ac:dyDescent="0.35">
      <c r="A43" s="303"/>
      <c r="B43" s="303"/>
      <c r="C43" s="304"/>
      <c r="D43" s="304"/>
      <c r="E43" s="301"/>
      <c r="F43" s="301"/>
      <c r="G43" s="305"/>
      <c r="H43" s="305"/>
      <c r="I43" s="154"/>
      <c r="J43" s="154"/>
      <c r="M43" s="334"/>
    </row>
    <row r="44" spans="1:20" s="153" customFormat="1" ht="14.5" x14ac:dyDescent="0.35">
      <c r="A44" s="303"/>
      <c r="B44" s="303"/>
      <c r="C44" s="304"/>
      <c r="D44" s="304"/>
      <c r="E44" s="301"/>
      <c r="F44" s="301"/>
      <c r="G44" s="305"/>
      <c r="H44" s="305"/>
      <c r="I44" s="154"/>
      <c r="J44" s="154"/>
      <c r="M44" s="334"/>
    </row>
    <row r="45" spans="1:20" s="153" customFormat="1" ht="14.5" x14ac:dyDescent="0.35">
      <c r="A45" s="303"/>
      <c r="B45" s="303"/>
      <c r="C45" s="304"/>
      <c r="D45" s="304"/>
      <c r="E45" s="301"/>
      <c r="F45" s="301"/>
      <c r="G45" s="305"/>
      <c r="H45" s="305"/>
      <c r="I45" s="154"/>
      <c r="J45" s="154"/>
      <c r="M45" s="334"/>
    </row>
    <row r="46" spans="1:20" s="153" customFormat="1" ht="14.5" x14ac:dyDescent="0.35">
      <c r="A46" s="303"/>
      <c r="B46" s="303"/>
      <c r="C46" s="304"/>
      <c r="D46" s="304"/>
      <c r="E46" s="301"/>
      <c r="F46" s="301"/>
      <c r="G46" s="305"/>
      <c r="H46" s="305"/>
      <c r="I46" s="154"/>
      <c r="J46" s="154"/>
      <c r="M46" s="334"/>
    </row>
    <row r="47" spans="1:20" s="153" customFormat="1" ht="14.5" x14ac:dyDescent="0.35">
      <c r="A47" s="303"/>
      <c r="B47" s="303"/>
      <c r="C47" s="304"/>
      <c r="D47" s="304"/>
      <c r="E47" s="301"/>
      <c r="F47" s="301"/>
      <c r="G47" s="305"/>
      <c r="H47" s="305"/>
      <c r="I47" s="154"/>
      <c r="J47" s="154"/>
      <c r="M47" s="334"/>
    </row>
    <row r="48" spans="1:20" s="153" customFormat="1" ht="14.5" x14ac:dyDescent="0.35">
      <c r="A48" s="303"/>
      <c r="B48" s="303"/>
      <c r="C48" s="304"/>
      <c r="D48" s="304"/>
      <c r="E48" s="301"/>
      <c r="F48" s="301"/>
      <c r="G48" s="305"/>
      <c r="H48" s="305"/>
      <c r="I48" s="154"/>
      <c r="J48" s="154"/>
      <c r="M48" s="334"/>
    </row>
    <row r="49" spans="1:19" s="153" customFormat="1" ht="14.5" x14ac:dyDescent="0.35">
      <c r="A49" s="303"/>
      <c r="B49" s="303"/>
      <c r="C49" s="304"/>
      <c r="D49" s="304"/>
      <c r="E49" s="301"/>
      <c r="F49" s="301"/>
      <c r="G49" s="305"/>
      <c r="H49" s="305"/>
      <c r="I49" s="154"/>
      <c r="J49" s="154"/>
      <c r="M49" s="334"/>
    </row>
    <row r="50" spans="1:19" s="153" customFormat="1" ht="14.5" x14ac:dyDescent="0.35">
      <c r="A50" s="303"/>
      <c r="B50" s="303"/>
      <c r="C50" s="304"/>
      <c r="D50" s="304"/>
      <c r="E50" s="301"/>
      <c r="F50" s="301"/>
      <c r="G50" s="305"/>
      <c r="H50" s="305"/>
      <c r="I50" s="154"/>
      <c r="J50" s="154"/>
      <c r="M50" s="334"/>
    </row>
    <row r="51" spans="1:19" s="153" customFormat="1" ht="14.5" x14ac:dyDescent="0.35">
      <c r="A51" s="303"/>
      <c r="B51" s="303"/>
      <c r="C51" s="304"/>
      <c r="D51" s="304"/>
      <c r="E51" s="301"/>
      <c r="F51" s="301"/>
      <c r="G51" s="305"/>
      <c r="H51" s="305"/>
      <c r="I51" s="154"/>
      <c r="J51" s="154"/>
      <c r="M51" s="334"/>
    </row>
    <row r="52" spans="1:19" s="153" customFormat="1" ht="14.5" x14ac:dyDescent="0.35">
      <c r="A52" s="303"/>
      <c r="B52" s="303"/>
      <c r="C52" s="304"/>
      <c r="D52" s="304"/>
      <c r="E52" s="301"/>
      <c r="F52" s="301"/>
      <c r="G52" s="305"/>
      <c r="H52" s="305"/>
      <c r="I52" s="154"/>
      <c r="J52" s="154"/>
      <c r="M52" s="334"/>
    </row>
    <row r="53" spans="1:19" x14ac:dyDescent="0.25">
      <c r="K53" s="153"/>
      <c r="L53" s="153"/>
      <c r="M53" s="334"/>
      <c r="N53" s="153"/>
      <c r="O53" s="153"/>
      <c r="P53" s="153"/>
      <c r="Q53" s="153"/>
      <c r="R53" s="153"/>
      <c r="S53" s="153"/>
    </row>
    <row r="54" spans="1:19" x14ac:dyDescent="0.25">
      <c r="K54" s="153"/>
      <c r="L54" s="153"/>
      <c r="M54" s="334"/>
      <c r="N54" s="153"/>
      <c r="O54" s="153"/>
      <c r="P54" s="153"/>
      <c r="Q54" s="153"/>
      <c r="R54" s="153"/>
      <c r="S54" s="153"/>
    </row>
    <row r="70" spans="7:7" x14ac:dyDescent="0.25">
      <c r="G70" s="67" t="s">
        <v>308</v>
      </c>
    </row>
    <row r="88" spans="3:3" x14ac:dyDescent="0.25">
      <c r="C88" s="67" t="s">
        <v>308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F018384-FD1F-419E-8363-17929A5EE728}">
          <x14:formula1>
            <xm:f>Listas!$A$2:$A$5</xm:f>
          </x14:formula1>
          <xm:sqref>L8</xm:sqref>
        </x14:dataValidation>
        <x14:dataValidation type="list" allowBlank="1" showInputMessage="1" showErrorMessage="1" xr:uid="{7A69530E-6D98-4652-81AD-4286C70F0B43}">
          <x14:formula1>
            <xm:f>Listas!$C$2:$C$3</xm:f>
          </x14:formula1>
          <xm:sqref>L13</xm:sqref>
        </x14:dataValidation>
        <x14:dataValidation type="list" allowBlank="1" showInputMessage="1" showErrorMessage="1" xr:uid="{FC234C15-F6EF-47F6-AA41-18A9DE8958B2}">
          <x14:formula1>
            <xm:f>Listas!$E$2:$E$3</xm:f>
          </x14:formula1>
          <xm:sqref>L19</xm:sqref>
        </x14:dataValidation>
        <x14:dataValidation type="list" allowBlank="1" showInputMessage="1" showErrorMessage="1" xr:uid="{0BCD9054-5D9F-475B-B928-B5D77A9BA7B0}">
          <x14:formula1>
            <xm:f>Listas!$G$2:$G$3</xm:f>
          </x14:formula1>
          <xm:sqref>L20</xm:sqref>
        </x14:dataValidation>
        <x14:dataValidation type="list" allowBlank="1" showInputMessage="1" showErrorMessage="1" xr:uid="{7E781C5C-6CB9-4C2C-B23C-59405A64261B}">
          <x14:formula1>
            <xm:f>Listas!$I$2:$I$13</xm:f>
          </x14:formula1>
          <xm:sqref>L14 L25</xm:sqref>
        </x14:dataValidation>
        <x14:dataValidation type="list" allowBlank="1" showInputMessage="1" showErrorMessage="1" xr:uid="{008A6D47-DDBE-4230-B35F-F7D0FDC78488}">
          <x14:formula1>
            <xm:f>Listas!$L$2:$L$73</xm:f>
          </x14:formula1>
          <xm:sqref>N18:O18 N7:O7 N12:O12 N24:O24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DD8D-4DDC-4F87-911A-DF4BB5BF3CC2}">
  <dimension ref="B1:AY61"/>
  <sheetViews>
    <sheetView topLeftCell="Z1" zoomScale="85" zoomScaleNormal="85" workbookViewId="0">
      <selection activeCell="AO2" sqref="AO2"/>
    </sheetView>
  </sheetViews>
  <sheetFormatPr baseColWidth="10" defaultRowHeight="14.5" outlineLevelCol="1" x14ac:dyDescent="0.35"/>
  <cols>
    <col min="1" max="1" width="1.54296875" style="95" customWidth="1"/>
    <col min="2" max="2" width="9.54296875" style="95" bestFit="1" customWidth="1"/>
    <col min="3" max="3" width="13.81640625" style="111" bestFit="1" customWidth="1"/>
    <col min="4" max="4" width="46.453125" style="95" bestFit="1" customWidth="1"/>
    <col min="5" max="5" width="10.1796875" style="95" customWidth="1" outlineLevel="1"/>
    <col min="6" max="6" width="5" style="95" bestFit="1" customWidth="1"/>
    <col min="7" max="7" width="17.81640625" style="112" bestFit="1" customWidth="1"/>
    <col min="8" max="8" width="17.1796875" style="112" customWidth="1" outlineLevel="1"/>
    <col min="9" max="9" width="8.453125" style="95" bestFit="1" customWidth="1"/>
    <col min="10" max="10" width="15.54296875" style="95" bestFit="1" customWidth="1"/>
    <col min="11" max="11" width="13.1796875" style="95" bestFit="1" customWidth="1"/>
    <col min="12" max="12" width="13.81640625" style="95" bestFit="1" customWidth="1"/>
    <col min="13" max="13" width="12.1796875" style="95" bestFit="1" customWidth="1"/>
    <col min="14" max="14" width="10.81640625" style="95"/>
    <col min="15" max="15" width="1.1796875" style="95" customWidth="1"/>
    <col min="16" max="16" width="7.81640625" style="95" bestFit="1" customWidth="1"/>
    <col min="17" max="17" width="9" style="95" bestFit="1" customWidth="1"/>
    <col min="18" max="18" width="9" style="95" customWidth="1"/>
    <col min="19" max="19" width="13.54296875" style="95" bestFit="1" customWidth="1"/>
    <col min="20" max="20" width="7.81640625" style="95" bestFit="1" customWidth="1"/>
    <col min="21" max="21" width="2" style="95" customWidth="1"/>
    <col min="22" max="22" width="9.54296875" style="95" bestFit="1" customWidth="1"/>
    <col min="23" max="23" width="9" style="95" bestFit="1" customWidth="1"/>
    <col min="24" max="24" width="9" style="95" customWidth="1"/>
    <col min="25" max="25" width="13.54296875" style="95" bestFit="1" customWidth="1"/>
    <col min="26" max="26" width="7.81640625" style="95" bestFit="1" customWidth="1"/>
    <col min="27" max="27" width="1.54296875" style="95" customWidth="1"/>
    <col min="28" max="28" width="8.453125" style="113" bestFit="1" customWidth="1"/>
    <col min="29" max="29" width="9" style="113" bestFit="1" customWidth="1"/>
    <col min="30" max="30" width="9" style="113" customWidth="1"/>
    <col min="31" max="31" width="13.54296875" style="113" bestFit="1" customWidth="1"/>
    <col min="32" max="32" width="7" style="113" bestFit="1" customWidth="1"/>
    <col min="33" max="33" width="2" style="113" customWidth="1"/>
    <col min="34" max="34" width="8.453125" style="113" bestFit="1" customWidth="1"/>
    <col min="35" max="35" width="9" style="113" bestFit="1" customWidth="1"/>
    <col min="36" max="36" width="9" style="113" customWidth="1"/>
    <col min="37" max="37" width="13.54296875" style="113" bestFit="1" customWidth="1"/>
    <col min="38" max="38" width="7" style="113" bestFit="1" customWidth="1"/>
    <col min="39" max="39" width="8.453125" style="113" bestFit="1" customWidth="1"/>
    <col min="40" max="40" width="2.54296875" style="95" customWidth="1"/>
    <col min="41" max="41" width="23.1796875" style="112" bestFit="1" customWidth="1"/>
    <col min="42" max="42" width="10.81640625" style="95"/>
    <col min="43" max="44" width="16.453125" style="95" bestFit="1" customWidth="1"/>
    <col min="45" max="45" width="10.81640625" style="95"/>
    <col min="46" max="46" width="19.7265625" style="95" bestFit="1" customWidth="1"/>
    <col min="47" max="47" width="9.54296875" style="95" bestFit="1" customWidth="1"/>
    <col min="48" max="48" width="20.453125" style="95" bestFit="1" customWidth="1"/>
    <col min="49" max="49" width="17.81640625" style="95" bestFit="1" customWidth="1"/>
    <col min="50" max="50" width="18.453125" style="95" bestFit="1" customWidth="1"/>
    <col min="51" max="51" width="12.1796875" style="95" bestFit="1" customWidth="1"/>
    <col min="52" max="263" width="10.81640625" style="95"/>
    <col min="264" max="264" width="1.54296875" style="95" customWidth="1"/>
    <col min="265" max="265" width="13" style="95" bestFit="1" customWidth="1"/>
    <col min="266" max="266" width="47.453125" style="95" bestFit="1" customWidth="1"/>
    <col min="267" max="267" width="10.1796875" style="95" customWidth="1"/>
    <col min="268" max="268" width="5.54296875" style="95" bestFit="1" customWidth="1"/>
    <col min="269" max="269" width="16.81640625" style="95" bestFit="1" customWidth="1"/>
    <col min="270" max="270" width="15" style="95" customWidth="1"/>
    <col min="271" max="271" width="7.1796875" style="95" bestFit="1" customWidth="1"/>
    <col min="272" max="272" width="9.1796875" style="95" bestFit="1" customWidth="1"/>
    <col min="273" max="273" width="13.81640625" style="95" bestFit="1" customWidth="1"/>
    <col min="274" max="274" width="7.1796875" style="95" bestFit="1" customWidth="1"/>
    <col min="275" max="275" width="10.81640625" style="95"/>
    <col min="276" max="276" width="1.1796875" style="95" customWidth="1"/>
    <col min="277" max="277" width="5.81640625" style="95" bestFit="1" customWidth="1"/>
    <col min="278" max="278" width="9" style="95" bestFit="1" customWidth="1"/>
    <col min="279" max="279" width="13.54296875" style="95" bestFit="1" customWidth="1"/>
    <col min="280" max="280" width="7" style="95" bestFit="1" customWidth="1"/>
    <col min="281" max="281" width="2" style="95" customWidth="1"/>
    <col min="282" max="282" width="5.81640625" style="95" bestFit="1" customWidth="1"/>
    <col min="283" max="283" width="9" style="95" bestFit="1" customWidth="1"/>
    <col min="284" max="284" width="13.54296875" style="95" bestFit="1" customWidth="1"/>
    <col min="285" max="285" width="7" style="95" bestFit="1" customWidth="1"/>
    <col min="286" max="286" width="1.54296875" style="95" customWidth="1"/>
    <col min="287" max="287" width="8.453125" style="95" bestFit="1" customWidth="1"/>
    <col min="288" max="288" width="9" style="95" bestFit="1" customWidth="1"/>
    <col min="289" max="289" width="13.54296875" style="95" bestFit="1" customWidth="1"/>
    <col min="290" max="290" width="7" style="95" bestFit="1" customWidth="1"/>
    <col min="291" max="291" width="2" style="95" customWidth="1"/>
    <col min="292" max="292" width="8.453125" style="95" bestFit="1" customWidth="1"/>
    <col min="293" max="293" width="9" style="95" bestFit="1" customWidth="1"/>
    <col min="294" max="294" width="13.54296875" style="95" bestFit="1" customWidth="1"/>
    <col min="295" max="295" width="7" style="95" bestFit="1" customWidth="1"/>
    <col min="296" max="296" width="8.453125" style="95" bestFit="1" customWidth="1"/>
    <col min="297" max="297" width="2.54296875" style="95" customWidth="1"/>
    <col min="298" max="298" width="23.1796875" style="95" bestFit="1" customWidth="1"/>
    <col min="299" max="299" width="10.81640625" style="95"/>
    <col min="300" max="300" width="15.1796875" style="95" bestFit="1" customWidth="1"/>
    <col min="301" max="301" width="16.453125" style="95" bestFit="1" customWidth="1"/>
    <col min="302" max="519" width="10.81640625" style="95"/>
    <col min="520" max="520" width="1.54296875" style="95" customWidth="1"/>
    <col min="521" max="521" width="13" style="95" bestFit="1" customWidth="1"/>
    <col min="522" max="522" width="47.453125" style="95" bestFit="1" customWidth="1"/>
    <col min="523" max="523" width="10.1796875" style="95" customWidth="1"/>
    <col min="524" max="524" width="5.54296875" style="95" bestFit="1" customWidth="1"/>
    <col min="525" max="525" width="16.81640625" style="95" bestFit="1" customWidth="1"/>
    <col min="526" max="526" width="15" style="95" customWidth="1"/>
    <col min="527" max="527" width="7.1796875" style="95" bestFit="1" customWidth="1"/>
    <col min="528" max="528" width="9.1796875" style="95" bestFit="1" customWidth="1"/>
    <col min="529" max="529" width="13.81640625" style="95" bestFit="1" customWidth="1"/>
    <col min="530" max="530" width="7.1796875" style="95" bestFit="1" customWidth="1"/>
    <col min="531" max="531" width="10.81640625" style="95"/>
    <col min="532" max="532" width="1.1796875" style="95" customWidth="1"/>
    <col min="533" max="533" width="5.81640625" style="95" bestFit="1" customWidth="1"/>
    <col min="534" max="534" width="9" style="95" bestFit="1" customWidth="1"/>
    <col min="535" max="535" width="13.54296875" style="95" bestFit="1" customWidth="1"/>
    <col min="536" max="536" width="7" style="95" bestFit="1" customWidth="1"/>
    <col min="537" max="537" width="2" style="95" customWidth="1"/>
    <col min="538" max="538" width="5.81640625" style="95" bestFit="1" customWidth="1"/>
    <col min="539" max="539" width="9" style="95" bestFit="1" customWidth="1"/>
    <col min="540" max="540" width="13.54296875" style="95" bestFit="1" customWidth="1"/>
    <col min="541" max="541" width="7" style="95" bestFit="1" customWidth="1"/>
    <col min="542" max="542" width="1.54296875" style="95" customWidth="1"/>
    <col min="543" max="543" width="8.453125" style="95" bestFit="1" customWidth="1"/>
    <col min="544" max="544" width="9" style="95" bestFit="1" customWidth="1"/>
    <col min="545" max="545" width="13.54296875" style="95" bestFit="1" customWidth="1"/>
    <col min="546" max="546" width="7" style="95" bestFit="1" customWidth="1"/>
    <col min="547" max="547" width="2" style="95" customWidth="1"/>
    <col min="548" max="548" width="8.453125" style="95" bestFit="1" customWidth="1"/>
    <col min="549" max="549" width="9" style="95" bestFit="1" customWidth="1"/>
    <col min="550" max="550" width="13.54296875" style="95" bestFit="1" customWidth="1"/>
    <col min="551" max="551" width="7" style="95" bestFit="1" customWidth="1"/>
    <col min="552" max="552" width="8.453125" style="95" bestFit="1" customWidth="1"/>
    <col min="553" max="553" width="2.54296875" style="95" customWidth="1"/>
    <col min="554" max="554" width="23.1796875" style="95" bestFit="1" customWidth="1"/>
    <col min="555" max="555" width="10.81640625" style="95"/>
    <col min="556" max="556" width="15.1796875" style="95" bestFit="1" customWidth="1"/>
    <col min="557" max="557" width="16.453125" style="95" bestFit="1" customWidth="1"/>
    <col min="558" max="775" width="10.81640625" style="95"/>
    <col min="776" max="776" width="1.54296875" style="95" customWidth="1"/>
    <col min="777" max="777" width="13" style="95" bestFit="1" customWidth="1"/>
    <col min="778" max="778" width="47.453125" style="95" bestFit="1" customWidth="1"/>
    <col min="779" max="779" width="10.1796875" style="95" customWidth="1"/>
    <col min="780" max="780" width="5.54296875" style="95" bestFit="1" customWidth="1"/>
    <col min="781" max="781" width="16.81640625" style="95" bestFit="1" customWidth="1"/>
    <col min="782" max="782" width="15" style="95" customWidth="1"/>
    <col min="783" max="783" width="7.1796875" style="95" bestFit="1" customWidth="1"/>
    <col min="784" max="784" width="9.1796875" style="95" bestFit="1" customWidth="1"/>
    <col min="785" max="785" width="13.81640625" style="95" bestFit="1" customWidth="1"/>
    <col min="786" max="786" width="7.1796875" style="95" bestFit="1" customWidth="1"/>
    <col min="787" max="787" width="10.81640625" style="95"/>
    <col min="788" max="788" width="1.1796875" style="95" customWidth="1"/>
    <col min="789" max="789" width="5.81640625" style="95" bestFit="1" customWidth="1"/>
    <col min="790" max="790" width="9" style="95" bestFit="1" customWidth="1"/>
    <col min="791" max="791" width="13.54296875" style="95" bestFit="1" customWidth="1"/>
    <col min="792" max="792" width="7" style="95" bestFit="1" customWidth="1"/>
    <col min="793" max="793" width="2" style="95" customWidth="1"/>
    <col min="794" max="794" width="5.81640625" style="95" bestFit="1" customWidth="1"/>
    <col min="795" max="795" width="9" style="95" bestFit="1" customWidth="1"/>
    <col min="796" max="796" width="13.54296875" style="95" bestFit="1" customWidth="1"/>
    <col min="797" max="797" width="7" style="95" bestFit="1" customWidth="1"/>
    <col min="798" max="798" width="1.54296875" style="95" customWidth="1"/>
    <col min="799" max="799" width="8.453125" style="95" bestFit="1" customWidth="1"/>
    <col min="800" max="800" width="9" style="95" bestFit="1" customWidth="1"/>
    <col min="801" max="801" width="13.54296875" style="95" bestFit="1" customWidth="1"/>
    <col min="802" max="802" width="7" style="95" bestFit="1" customWidth="1"/>
    <col min="803" max="803" width="2" style="95" customWidth="1"/>
    <col min="804" max="804" width="8.453125" style="95" bestFit="1" customWidth="1"/>
    <col min="805" max="805" width="9" style="95" bestFit="1" customWidth="1"/>
    <col min="806" max="806" width="13.54296875" style="95" bestFit="1" customWidth="1"/>
    <col min="807" max="807" width="7" style="95" bestFit="1" customWidth="1"/>
    <col min="808" max="808" width="8.453125" style="95" bestFit="1" customWidth="1"/>
    <col min="809" max="809" width="2.54296875" style="95" customWidth="1"/>
    <col min="810" max="810" width="23.1796875" style="95" bestFit="1" customWidth="1"/>
    <col min="811" max="811" width="10.81640625" style="95"/>
    <col min="812" max="812" width="15.1796875" style="95" bestFit="1" customWidth="1"/>
    <col min="813" max="813" width="16.453125" style="95" bestFit="1" customWidth="1"/>
    <col min="814" max="1031" width="10.81640625" style="95"/>
    <col min="1032" max="1032" width="1.54296875" style="95" customWidth="1"/>
    <col min="1033" max="1033" width="13" style="95" bestFit="1" customWidth="1"/>
    <col min="1034" max="1034" width="47.453125" style="95" bestFit="1" customWidth="1"/>
    <col min="1035" max="1035" width="10.1796875" style="95" customWidth="1"/>
    <col min="1036" max="1036" width="5.54296875" style="95" bestFit="1" customWidth="1"/>
    <col min="1037" max="1037" width="16.81640625" style="95" bestFit="1" customWidth="1"/>
    <col min="1038" max="1038" width="15" style="95" customWidth="1"/>
    <col min="1039" max="1039" width="7.1796875" style="95" bestFit="1" customWidth="1"/>
    <col min="1040" max="1040" width="9.1796875" style="95" bestFit="1" customWidth="1"/>
    <col min="1041" max="1041" width="13.81640625" style="95" bestFit="1" customWidth="1"/>
    <col min="1042" max="1042" width="7.1796875" style="95" bestFit="1" customWidth="1"/>
    <col min="1043" max="1043" width="10.81640625" style="95"/>
    <col min="1044" max="1044" width="1.1796875" style="95" customWidth="1"/>
    <col min="1045" max="1045" width="5.81640625" style="95" bestFit="1" customWidth="1"/>
    <col min="1046" max="1046" width="9" style="95" bestFit="1" customWidth="1"/>
    <col min="1047" max="1047" width="13.54296875" style="95" bestFit="1" customWidth="1"/>
    <col min="1048" max="1048" width="7" style="95" bestFit="1" customWidth="1"/>
    <col min="1049" max="1049" width="2" style="95" customWidth="1"/>
    <col min="1050" max="1050" width="5.81640625" style="95" bestFit="1" customWidth="1"/>
    <col min="1051" max="1051" width="9" style="95" bestFit="1" customWidth="1"/>
    <col min="1052" max="1052" width="13.54296875" style="95" bestFit="1" customWidth="1"/>
    <col min="1053" max="1053" width="7" style="95" bestFit="1" customWidth="1"/>
    <col min="1054" max="1054" width="1.54296875" style="95" customWidth="1"/>
    <col min="1055" max="1055" width="8.453125" style="95" bestFit="1" customWidth="1"/>
    <col min="1056" max="1056" width="9" style="95" bestFit="1" customWidth="1"/>
    <col min="1057" max="1057" width="13.54296875" style="95" bestFit="1" customWidth="1"/>
    <col min="1058" max="1058" width="7" style="95" bestFit="1" customWidth="1"/>
    <col min="1059" max="1059" width="2" style="95" customWidth="1"/>
    <col min="1060" max="1060" width="8.453125" style="95" bestFit="1" customWidth="1"/>
    <col min="1061" max="1061" width="9" style="95" bestFit="1" customWidth="1"/>
    <col min="1062" max="1062" width="13.54296875" style="95" bestFit="1" customWidth="1"/>
    <col min="1063" max="1063" width="7" style="95" bestFit="1" customWidth="1"/>
    <col min="1064" max="1064" width="8.453125" style="95" bestFit="1" customWidth="1"/>
    <col min="1065" max="1065" width="2.54296875" style="95" customWidth="1"/>
    <col min="1066" max="1066" width="23.1796875" style="95" bestFit="1" customWidth="1"/>
    <col min="1067" max="1067" width="10.81640625" style="95"/>
    <col min="1068" max="1068" width="15.1796875" style="95" bestFit="1" customWidth="1"/>
    <col min="1069" max="1069" width="16.453125" style="95" bestFit="1" customWidth="1"/>
    <col min="1070" max="1287" width="10.81640625" style="95"/>
    <col min="1288" max="1288" width="1.54296875" style="95" customWidth="1"/>
    <col min="1289" max="1289" width="13" style="95" bestFit="1" customWidth="1"/>
    <col min="1290" max="1290" width="47.453125" style="95" bestFit="1" customWidth="1"/>
    <col min="1291" max="1291" width="10.1796875" style="95" customWidth="1"/>
    <col min="1292" max="1292" width="5.54296875" style="95" bestFit="1" customWidth="1"/>
    <col min="1293" max="1293" width="16.81640625" style="95" bestFit="1" customWidth="1"/>
    <col min="1294" max="1294" width="15" style="95" customWidth="1"/>
    <col min="1295" max="1295" width="7.1796875" style="95" bestFit="1" customWidth="1"/>
    <col min="1296" max="1296" width="9.1796875" style="95" bestFit="1" customWidth="1"/>
    <col min="1297" max="1297" width="13.81640625" style="95" bestFit="1" customWidth="1"/>
    <col min="1298" max="1298" width="7.1796875" style="95" bestFit="1" customWidth="1"/>
    <col min="1299" max="1299" width="10.81640625" style="95"/>
    <col min="1300" max="1300" width="1.1796875" style="95" customWidth="1"/>
    <col min="1301" max="1301" width="5.81640625" style="95" bestFit="1" customWidth="1"/>
    <col min="1302" max="1302" width="9" style="95" bestFit="1" customWidth="1"/>
    <col min="1303" max="1303" width="13.54296875" style="95" bestFit="1" customWidth="1"/>
    <col min="1304" max="1304" width="7" style="95" bestFit="1" customWidth="1"/>
    <col min="1305" max="1305" width="2" style="95" customWidth="1"/>
    <col min="1306" max="1306" width="5.81640625" style="95" bestFit="1" customWidth="1"/>
    <col min="1307" max="1307" width="9" style="95" bestFit="1" customWidth="1"/>
    <col min="1308" max="1308" width="13.54296875" style="95" bestFit="1" customWidth="1"/>
    <col min="1309" max="1309" width="7" style="95" bestFit="1" customWidth="1"/>
    <col min="1310" max="1310" width="1.54296875" style="95" customWidth="1"/>
    <col min="1311" max="1311" width="8.453125" style="95" bestFit="1" customWidth="1"/>
    <col min="1312" max="1312" width="9" style="95" bestFit="1" customWidth="1"/>
    <col min="1313" max="1313" width="13.54296875" style="95" bestFit="1" customWidth="1"/>
    <col min="1314" max="1314" width="7" style="95" bestFit="1" customWidth="1"/>
    <col min="1315" max="1315" width="2" style="95" customWidth="1"/>
    <col min="1316" max="1316" width="8.453125" style="95" bestFit="1" customWidth="1"/>
    <col min="1317" max="1317" width="9" style="95" bestFit="1" customWidth="1"/>
    <col min="1318" max="1318" width="13.54296875" style="95" bestFit="1" customWidth="1"/>
    <col min="1319" max="1319" width="7" style="95" bestFit="1" customWidth="1"/>
    <col min="1320" max="1320" width="8.453125" style="95" bestFit="1" customWidth="1"/>
    <col min="1321" max="1321" width="2.54296875" style="95" customWidth="1"/>
    <col min="1322" max="1322" width="23.1796875" style="95" bestFit="1" customWidth="1"/>
    <col min="1323" max="1323" width="10.81640625" style="95"/>
    <col min="1324" max="1324" width="15.1796875" style="95" bestFit="1" customWidth="1"/>
    <col min="1325" max="1325" width="16.453125" style="95" bestFit="1" customWidth="1"/>
    <col min="1326" max="1543" width="10.81640625" style="95"/>
    <col min="1544" max="1544" width="1.54296875" style="95" customWidth="1"/>
    <col min="1545" max="1545" width="13" style="95" bestFit="1" customWidth="1"/>
    <col min="1546" max="1546" width="47.453125" style="95" bestFit="1" customWidth="1"/>
    <col min="1547" max="1547" width="10.1796875" style="95" customWidth="1"/>
    <col min="1548" max="1548" width="5.54296875" style="95" bestFit="1" customWidth="1"/>
    <col min="1549" max="1549" width="16.81640625" style="95" bestFit="1" customWidth="1"/>
    <col min="1550" max="1550" width="15" style="95" customWidth="1"/>
    <col min="1551" max="1551" width="7.1796875" style="95" bestFit="1" customWidth="1"/>
    <col min="1552" max="1552" width="9.1796875" style="95" bestFit="1" customWidth="1"/>
    <col min="1553" max="1553" width="13.81640625" style="95" bestFit="1" customWidth="1"/>
    <col min="1554" max="1554" width="7.1796875" style="95" bestFit="1" customWidth="1"/>
    <col min="1555" max="1555" width="10.81640625" style="95"/>
    <col min="1556" max="1556" width="1.1796875" style="95" customWidth="1"/>
    <col min="1557" max="1557" width="5.81640625" style="95" bestFit="1" customWidth="1"/>
    <col min="1558" max="1558" width="9" style="95" bestFit="1" customWidth="1"/>
    <col min="1559" max="1559" width="13.54296875" style="95" bestFit="1" customWidth="1"/>
    <col min="1560" max="1560" width="7" style="95" bestFit="1" customWidth="1"/>
    <col min="1561" max="1561" width="2" style="95" customWidth="1"/>
    <col min="1562" max="1562" width="5.81640625" style="95" bestFit="1" customWidth="1"/>
    <col min="1563" max="1563" width="9" style="95" bestFit="1" customWidth="1"/>
    <col min="1564" max="1564" width="13.54296875" style="95" bestFit="1" customWidth="1"/>
    <col min="1565" max="1565" width="7" style="95" bestFit="1" customWidth="1"/>
    <col min="1566" max="1566" width="1.54296875" style="95" customWidth="1"/>
    <col min="1567" max="1567" width="8.453125" style="95" bestFit="1" customWidth="1"/>
    <col min="1568" max="1568" width="9" style="95" bestFit="1" customWidth="1"/>
    <col min="1569" max="1569" width="13.54296875" style="95" bestFit="1" customWidth="1"/>
    <col min="1570" max="1570" width="7" style="95" bestFit="1" customWidth="1"/>
    <col min="1571" max="1571" width="2" style="95" customWidth="1"/>
    <col min="1572" max="1572" width="8.453125" style="95" bestFit="1" customWidth="1"/>
    <col min="1573" max="1573" width="9" style="95" bestFit="1" customWidth="1"/>
    <col min="1574" max="1574" width="13.54296875" style="95" bestFit="1" customWidth="1"/>
    <col min="1575" max="1575" width="7" style="95" bestFit="1" customWidth="1"/>
    <col min="1576" max="1576" width="8.453125" style="95" bestFit="1" customWidth="1"/>
    <col min="1577" max="1577" width="2.54296875" style="95" customWidth="1"/>
    <col min="1578" max="1578" width="23.1796875" style="95" bestFit="1" customWidth="1"/>
    <col min="1579" max="1579" width="10.81640625" style="95"/>
    <col min="1580" max="1580" width="15.1796875" style="95" bestFit="1" customWidth="1"/>
    <col min="1581" max="1581" width="16.453125" style="95" bestFit="1" customWidth="1"/>
    <col min="1582" max="1799" width="10.81640625" style="95"/>
    <col min="1800" max="1800" width="1.54296875" style="95" customWidth="1"/>
    <col min="1801" max="1801" width="13" style="95" bestFit="1" customWidth="1"/>
    <col min="1802" max="1802" width="47.453125" style="95" bestFit="1" customWidth="1"/>
    <col min="1803" max="1803" width="10.1796875" style="95" customWidth="1"/>
    <col min="1804" max="1804" width="5.54296875" style="95" bestFit="1" customWidth="1"/>
    <col min="1805" max="1805" width="16.81640625" style="95" bestFit="1" customWidth="1"/>
    <col min="1806" max="1806" width="15" style="95" customWidth="1"/>
    <col min="1807" max="1807" width="7.1796875" style="95" bestFit="1" customWidth="1"/>
    <col min="1808" max="1808" width="9.1796875" style="95" bestFit="1" customWidth="1"/>
    <col min="1809" max="1809" width="13.81640625" style="95" bestFit="1" customWidth="1"/>
    <col min="1810" max="1810" width="7.1796875" style="95" bestFit="1" customWidth="1"/>
    <col min="1811" max="1811" width="10.81640625" style="95"/>
    <col min="1812" max="1812" width="1.1796875" style="95" customWidth="1"/>
    <col min="1813" max="1813" width="5.81640625" style="95" bestFit="1" customWidth="1"/>
    <col min="1814" max="1814" width="9" style="95" bestFit="1" customWidth="1"/>
    <col min="1815" max="1815" width="13.54296875" style="95" bestFit="1" customWidth="1"/>
    <col min="1816" max="1816" width="7" style="95" bestFit="1" customWidth="1"/>
    <col min="1817" max="1817" width="2" style="95" customWidth="1"/>
    <col min="1818" max="1818" width="5.81640625" style="95" bestFit="1" customWidth="1"/>
    <col min="1819" max="1819" width="9" style="95" bestFit="1" customWidth="1"/>
    <col min="1820" max="1820" width="13.54296875" style="95" bestFit="1" customWidth="1"/>
    <col min="1821" max="1821" width="7" style="95" bestFit="1" customWidth="1"/>
    <col min="1822" max="1822" width="1.54296875" style="95" customWidth="1"/>
    <col min="1823" max="1823" width="8.453125" style="95" bestFit="1" customWidth="1"/>
    <col min="1824" max="1824" width="9" style="95" bestFit="1" customWidth="1"/>
    <col min="1825" max="1825" width="13.54296875" style="95" bestFit="1" customWidth="1"/>
    <col min="1826" max="1826" width="7" style="95" bestFit="1" customWidth="1"/>
    <col min="1827" max="1827" width="2" style="95" customWidth="1"/>
    <col min="1828" max="1828" width="8.453125" style="95" bestFit="1" customWidth="1"/>
    <col min="1829" max="1829" width="9" style="95" bestFit="1" customWidth="1"/>
    <col min="1830" max="1830" width="13.54296875" style="95" bestFit="1" customWidth="1"/>
    <col min="1831" max="1831" width="7" style="95" bestFit="1" customWidth="1"/>
    <col min="1832" max="1832" width="8.453125" style="95" bestFit="1" customWidth="1"/>
    <col min="1833" max="1833" width="2.54296875" style="95" customWidth="1"/>
    <col min="1834" max="1834" width="23.1796875" style="95" bestFit="1" customWidth="1"/>
    <col min="1835" max="1835" width="10.81640625" style="95"/>
    <col min="1836" max="1836" width="15.1796875" style="95" bestFit="1" customWidth="1"/>
    <col min="1837" max="1837" width="16.453125" style="95" bestFit="1" customWidth="1"/>
    <col min="1838" max="2055" width="10.81640625" style="95"/>
    <col min="2056" max="2056" width="1.54296875" style="95" customWidth="1"/>
    <col min="2057" max="2057" width="13" style="95" bestFit="1" customWidth="1"/>
    <col min="2058" max="2058" width="47.453125" style="95" bestFit="1" customWidth="1"/>
    <col min="2059" max="2059" width="10.1796875" style="95" customWidth="1"/>
    <col min="2060" max="2060" width="5.54296875" style="95" bestFit="1" customWidth="1"/>
    <col min="2061" max="2061" width="16.81640625" style="95" bestFit="1" customWidth="1"/>
    <col min="2062" max="2062" width="15" style="95" customWidth="1"/>
    <col min="2063" max="2063" width="7.1796875" style="95" bestFit="1" customWidth="1"/>
    <col min="2064" max="2064" width="9.1796875" style="95" bestFit="1" customWidth="1"/>
    <col min="2065" max="2065" width="13.81640625" style="95" bestFit="1" customWidth="1"/>
    <col min="2066" max="2066" width="7.1796875" style="95" bestFit="1" customWidth="1"/>
    <col min="2067" max="2067" width="10.81640625" style="95"/>
    <col min="2068" max="2068" width="1.1796875" style="95" customWidth="1"/>
    <col min="2069" max="2069" width="5.81640625" style="95" bestFit="1" customWidth="1"/>
    <col min="2070" max="2070" width="9" style="95" bestFit="1" customWidth="1"/>
    <col min="2071" max="2071" width="13.54296875" style="95" bestFit="1" customWidth="1"/>
    <col min="2072" max="2072" width="7" style="95" bestFit="1" customWidth="1"/>
    <col min="2073" max="2073" width="2" style="95" customWidth="1"/>
    <col min="2074" max="2074" width="5.81640625" style="95" bestFit="1" customWidth="1"/>
    <col min="2075" max="2075" width="9" style="95" bestFit="1" customWidth="1"/>
    <col min="2076" max="2076" width="13.54296875" style="95" bestFit="1" customWidth="1"/>
    <col min="2077" max="2077" width="7" style="95" bestFit="1" customWidth="1"/>
    <col min="2078" max="2078" width="1.54296875" style="95" customWidth="1"/>
    <col min="2079" max="2079" width="8.453125" style="95" bestFit="1" customWidth="1"/>
    <col min="2080" max="2080" width="9" style="95" bestFit="1" customWidth="1"/>
    <col min="2081" max="2081" width="13.54296875" style="95" bestFit="1" customWidth="1"/>
    <col min="2082" max="2082" width="7" style="95" bestFit="1" customWidth="1"/>
    <col min="2083" max="2083" width="2" style="95" customWidth="1"/>
    <col min="2084" max="2084" width="8.453125" style="95" bestFit="1" customWidth="1"/>
    <col min="2085" max="2085" width="9" style="95" bestFit="1" customWidth="1"/>
    <col min="2086" max="2086" width="13.54296875" style="95" bestFit="1" customWidth="1"/>
    <col min="2087" max="2087" width="7" style="95" bestFit="1" customWidth="1"/>
    <col min="2088" max="2088" width="8.453125" style="95" bestFit="1" customWidth="1"/>
    <col min="2089" max="2089" width="2.54296875" style="95" customWidth="1"/>
    <col min="2090" max="2090" width="23.1796875" style="95" bestFit="1" customWidth="1"/>
    <col min="2091" max="2091" width="10.81640625" style="95"/>
    <col min="2092" max="2092" width="15.1796875" style="95" bestFit="1" customWidth="1"/>
    <col min="2093" max="2093" width="16.453125" style="95" bestFit="1" customWidth="1"/>
    <col min="2094" max="2311" width="10.81640625" style="95"/>
    <col min="2312" max="2312" width="1.54296875" style="95" customWidth="1"/>
    <col min="2313" max="2313" width="13" style="95" bestFit="1" customWidth="1"/>
    <col min="2314" max="2314" width="47.453125" style="95" bestFit="1" customWidth="1"/>
    <col min="2315" max="2315" width="10.1796875" style="95" customWidth="1"/>
    <col min="2316" max="2316" width="5.54296875" style="95" bestFit="1" customWidth="1"/>
    <col min="2317" max="2317" width="16.81640625" style="95" bestFit="1" customWidth="1"/>
    <col min="2318" max="2318" width="15" style="95" customWidth="1"/>
    <col min="2319" max="2319" width="7.1796875" style="95" bestFit="1" customWidth="1"/>
    <col min="2320" max="2320" width="9.1796875" style="95" bestFit="1" customWidth="1"/>
    <col min="2321" max="2321" width="13.81640625" style="95" bestFit="1" customWidth="1"/>
    <col min="2322" max="2322" width="7.1796875" style="95" bestFit="1" customWidth="1"/>
    <col min="2323" max="2323" width="10.81640625" style="95"/>
    <col min="2324" max="2324" width="1.1796875" style="95" customWidth="1"/>
    <col min="2325" max="2325" width="5.81640625" style="95" bestFit="1" customWidth="1"/>
    <col min="2326" max="2326" width="9" style="95" bestFit="1" customWidth="1"/>
    <col min="2327" max="2327" width="13.54296875" style="95" bestFit="1" customWidth="1"/>
    <col min="2328" max="2328" width="7" style="95" bestFit="1" customWidth="1"/>
    <col min="2329" max="2329" width="2" style="95" customWidth="1"/>
    <col min="2330" max="2330" width="5.81640625" style="95" bestFit="1" customWidth="1"/>
    <col min="2331" max="2331" width="9" style="95" bestFit="1" customWidth="1"/>
    <col min="2332" max="2332" width="13.54296875" style="95" bestFit="1" customWidth="1"/>
    <col min="2333" max="2333" width="7" style="95" bestFit="1" customWidth="1"/>
    <col min="2334" max="2334" width="1.54296875" style="95" customWidth="1"/>
    <col min="2335" max="2335" width="8.453125" style="95" bestFit="1" customWidth="1"/>
    <col min="2336" max="2336" width="9" style="95" bestFit="1" customWidth="1"/>
    <col min="2337" max="2337" width="13.54296875" style="95" bestFit="1" customWidth="1"/>
    <col min="2338" max="2338" width="7" style="95" bestFit="1" customWidth="1"/>
    <col min="2339" max="2339" width="2" style="95" customWidth="1"/>
    <col min="2340" max="2340" width="8.453125" style="95" bestFit="1" customWidth="1"/>
    <col min="2341" max="2341" width="9" style="95" bestFit="1" customWidth="1"/>
    <col min="2342" max="2342" width="13.54296875" style="95" bestFit="1" customWidth="1"/>
    <col min="2343" max="2343" width="7" style="95" bestFit="1" customWidth="1"/>
    <col min="2344" max="2344" width="8.453125" style="95" bestFit="1" customWidth="1"/>
    <col min="2345" max="2345" width="2.54296875" style="95" customWidth="1"/>
    <col min="2346" max="2346" width="23.1796875" style="95" bestFit="1" customWidth="1"/>
    <col min="2347" max="2347" width="10.81640625" style="95"/>
    <col min="2348" max="2348" width="15.1796875" style="95" bestFit="1" customWidth="1"/>
    <col min="2349" max="2349" width="16.453125" style="95" bestFit="1" customWidth="1"/>
    <col min="2350" max="2567" width="10.81640625" style="95"/>
    <col min="2568" max="2568" width="1.54296875" style="95" customWidth="1"/>
    <col min="2569" max="2569" width="13" style="95" bestFit="1" customWidth="1"/>
    <col min="2570" max="2570" width="47.453125" style="95" bestFit="1" customWidth="1"/>
    <col min="2571" max="2571" width="10.1796875" style="95" customWidth="1"/>
    <col min="2572" max="2572" width="5.54296875" style="95" bestFit="1" customWidth="1"/>
    <col min="2573" max="2573" width="16.81640625" style="95" bestFit="1" customWidth="1"/>
    <col min="2574" max="2574" width="15" style="95" customWidth="1"/>
    <col min="2575" max="2575" width="7.1796875" style="95" bestFit="1" customWidth="1"/>
    <col min="2576" max="2576" width="9.1796875" style="95" bestFit="1" customWidth="1"/>
    <col min="2577" max="2577" width="13.81640625" style="95" bestFit="1" customWidth="1"/>
    <col min="2578" max="2578" width="7.1796875" style="95" bestFit="1" customWidth="1"/>
    <col min="2579" max="2579" width="10.81640625" style="95"/>
    <col min="2580" max="2580" width="1.1796875" style="95" customWidth="1"/>
    <col min="2581" max="2581" width="5.81640625" style="95" bestFit="1" customWidth="1"/>
    <col min="2582" max="2582" width="9" style="95" bestFit="1" customWidth="1"/>
    <col min="2583" max="2583" width="13.54296875" style="95" bestFit="1" customWidth="1"/>
    <col min="2584" max="2584" width="7" style="95" bestFit="1" customWidth="1"/>
    <col min="2585" max="2585" width="2" style="95" customWidth="1"/>
    <col min="2586" max="2586" width="5.81640625" style="95" bestFit="1" customWidth="1"/>
    <col min="2587" max="2587" width="9" style="95" bestFit="1" customWidth="1"/>
    <col min="2588" max="2588" width="13.54296875" style="95" bestFit="1" customWidth="1"/>
    <col min="2589" max="2589" width="7" style="95" bestFit="1" customWidth="1"/>
    <col min="2590" max="2590" width="1.54296875" style="95" customWidth="1"/>
    <col min="2591" max="2591" width="8.453125" style="95" bestFit="1" customWidth="1"/>
    <col min="2592" max="2592" width="9" style="95" bestFit="1" customWidth="1"/>
    <col min="2593" max="2593" width="13.54296875" style="95" bestFit="1" customWidth="1"/>
    <col min="2594" max="2594" width="7" style="95" bestFit="1" customWidth="1"/>
    <col min="2595" max="2595" width="2" style="95" customWidth="1"/>
    <col min="2596" max="2596" width="8.453125" style="95" bestFit="1" customWidth="1"/>
    <col min="2597" max="2597" width="9" style="95" bestFit="1" customWidth="1"/>
    <col min="2598" max="2598" width="13.54296875" style="95" bestFit="1" customWidth="1"/>
    <col min="2599" max="2599" width="7" style="95" bestFit="1" customWidth="1"/>
    <col min="2600" max="2600" width="8.453125" style="95" bestFit="1" customWidth="1"/>
    <col min="2601" max="2601" width="2.54296875" style="95" customWidth="1"/>
    <col min="2602" max="2602" width="23.1796875" style="95" bestFit="1" customWidth="1"/>
    <col min="2603" max="2603" width="10.81640625" style="95"/>
    <col min="2604" max="2604" width="15.1796875" style="95" bestFit="1" customWidth="1"/>
    <col min="2605" max="2605" width="16.453125" style="95" bestFit="1" customWidth="1"/>
    <col min="2606" max="2823" width="10.81640625" style="95"/>
    <col min="2824" max="2824" width="1.54296875" style="95" customWidth="1"/>
    <col min="2825" max="2825" width="13" style="95" bestFit="1" customWidth="1"/>
    <col min="2826" max="2826" width="47.453125" style="95" bestFit="1" customWidth="1"/>
    <col min="2827" max="2827" width="10.1796875" style="95" customWidth="1"/>
    <col min="2828" max="2828" width="5.54296875" style="95" bestFit="1" customWidth="1"/>
    <col min="2829" max="2829" width="16.81640625" style="95" bestFit="1" customWidth="1"/>
    <col min="2830" max="2830" width="15" style="95" customWidth="1"/>
    <col min="2831" max="2831" width="7.1796875" style="95" bestFit="1" customWidth="1"/>
    <col min="2832" max="2832" width="9.1796875" style="95" bestFit="1" customWidth="1"/>
    <col min="2833" max="2833" width="13.81640625" style="95" bestFit="1" customWidth="1"/>
    <col min="2834" max="2834" width="7.1796875" style="95" bestFit="1" customWidth="1"/>
    <col min="2835" max="2835" width="10.81640625" style="95"/>
    <col min="2836" max="2836" width="1.1796875" style="95" customWidth="1"/>
    <col min="2837" max="2837" width="5.81640625" style="95" bestFit="1" customWidth="1"/>
    <col min="2838" max="2838" width="9" style="95" bestFit="1" customWidth="1"/>
    <col min="2839" max="2839" width="13.54296875" style="95" bestFit="1" customWidth="1"/>
    <col min="2840" max="2840" width="7" style="95" bestFit="1" customWidth="1"/>
    <col min="2841" max="2841" width="2" style="95" customWidth="1"/>
    <col min="2842" max="2842" width="5.81640625" style="95" bestFit="1" customWidth="1"/>
    <col min="2843" max="2843" width="9" style="95" bestFit="1" customWidth="1"/>
    <col min="2844" max="2844" width="13.54296875" style="95" bestFit="1" customWidth="1"/>
    <col min="2845" max="2845" width="7" style="95" bestFit="1" customWidth="1"/>
    <col min="2846" max="2846" width="1.54296875" style="95" customWidth="1"/>
    <col min="2847" max="2847" width="8.453125" style="95" bestFit="1" customWidth="1"/>
    <col min="2848" max="2848" width="9" style="95" bestFit="1" customWidth="1"/>
    <col min="2849" max="2849" width="13.54296875" style="95" bestFit="1" customWidth="1"/>
    <col min="2850" max="2850" width="7" style="95" bestFit="1" customWidth="1"/>
    <col min="2851" max="2851" width="2" style="95" customWidth="1"/>
    <col min="2852" max="2852" width="8.453125" style="95" bestFit="1" customWidth="1"/>
    <col min="2853" max="2853" width="9" style="95" bestFit="1" customWidth="1"/>
    <col min="2854" max="2854" width="13.54296875" style="95" bestFit="1" customWidth="1"/>
    <col min="2855" max="2855" width="7" style="95" bestFit="1" customWidth="1"/>
    <col min="2856" max="2856" width="8.453125" style="95" bestFit="1" customWidth="1"/>
    <col min="2857" max="2857" width="2.54296875" style="95" customWidth="1"/>
    <col min="2858" max="2858" width="23.1796875" style="95" bestFit="1" customWidth="1"/>
    <col min="2859" max="2859" width="10.81640625" style="95"/>
    <col min="2860" max="2860" width="15.1796875" style="95" bestFit="1" customWidth="1"/>
    <col min="2861" max="2861" width="16.453125" style="95" bestFit="1" customWidth="1"/>
    <col min="2862" max="3079" width="10.81640625" style="95"/>
    <col min="3080" max="3080" width="1.54296875" style="95" customWidth="1"/>
    <col min="3081" max="3081" width="13" style="95" bestFit="1" customWidth="1"/>
    <col min="3082" max="3082" width="47.453125" style="95" bestFit="1" customWidth="1"/>
    <col min="3083" max="3083" width="10.1796875" style="95" customWidth="1"/>
    <col min="3084" max="3084" width="5.54296875" style="95" bestFit="1" customWidth="1"/>
    <col min="3085" max="3085" width="16.81640625" style="95" bestFit="1" customWidth="1"/>
    <col min="3086" max="3086" width="15" style="95" customWidth="1"/>
    <col min="3087" max="3087" width="7.1796875" style="95" bestFit="1" customWidth="1"/>
    <col min="3088" max="3088" width="9.1796875" style="95" bestFit="1" customWidth="1"/>
    <col min="3089" max="3089" width="13.81640625" style="95" bestFit="1" customWidth="1"/>
    <col min="3090" max="3090" width="7.1796875" style="95" bestFit="1" customWidth="1"/>
    <col min="3091" max="3091" width="10.81640625" style="95"/>
    <col min="3092" max="3092" width="1.1796875" style="95" customWidth="1"/>
    <col min="3093" max="3093" width="5.81640625" style="95" bestFit="1" customWidth="1"/>
    <col min="3094" max="3094" width="9" style="95" bestFit="1" customWidth="1"/>
    <col min="3095" max="3095" width="13.54296875" style="95" bestFit="1" customWidth="1"/>
    <col min="3096" max="3096" width="7" style="95" bestFit="1" customWidth="1"/>
    <col min="3097" max="3097" width="2" style="95" customWidth="1"/>
    <col min="3098" max="3098" width="5.81640625" style="95" bestFit="1" customWidth="1"/>
    <col min="3099" max="3099" width="9" style="95" bestFit="1" customWidth="1"/>
    <col min="3100" max="3100" width="13.54296875" style="95" bestFit="1" customWidth="1"/>
    <col min="3101" max="3101" width="7" style="95" bestFit="1" customWidth="1"/>
    <col min="3102" max="3102" width="1.54296875" style="95" customWidth="1"/>
    <col min="3103" max="3103" width="8.453125" style="95" bestFit="1" customWidth="1"/>
    <col min="3104" max="3104" width="9" style="95" bestFit="1" customWidth="1"/>
    <col min="3105" max="3105" width="13.54296875" style="95" bestFit="1" customWidth="1"/>
    <col min="3106" max="3106" width="7" style="95" bestFit="1" customWidth="1"/>
    <col min="3107" max="3107" width="2" style="95" customWidth="1"/>
    <col min="3108" max="3108" width="8.453125" style="95" bestFit="1" customWidth="1"/>
    <col min="3109" max="3109" width="9" style="95" bestFit="1" customWidth="1"/>
    <col min="3110" max="3110" width="13.54296875" style="95" bestFit="1" customWidth="1"/>
    <col min="3111" max="3111" width="7" style="95" bestFit="1" customWidth="1"/>
    <col min="3112" max="3112" width="8.453125" style="95" bestFit="1" customWidth="1"/>
    <col min="3113" max="3113" width="2.54296875" style="95" customWidth="1"/>
    <col min="3114" max="3114" width="23.1796875" style="95" bestFit="1" customWidth="1"/>
    <col min="3115" max="3115" width="10.81640625" style="95"/>
    <col min="3116" max="3116" width="15.1796875" style="95" bestFit="1" customWidth="1"/>
    <col min="3117" max="3117" width="16.453125" style="95" bestFit="1" customWidth="1"/>
    <col min="3118" max="3335" width="10.81640625" style="95"/>
    <col min="3336" max="3336" width="1.54296875" style="95" customWidth="1"/>
    <col min="3337" max="3337" width="13" style="95" bestFit="1" customWidth="1"/>
    <col min="3338" max="3338" width="47.453125" style="95" bestFit="1" customWidth="1"/>
    <col min="3339" max="3339" width="10.1796875" style="95" customWidth="1"/>
    <col min="3340" max="3340" width="5.54296875" style="95" bestFit="1" customWidth="1"/>
    <col min="3341" max="3341" width="16.81640625" style="95" bestFit="1" customWidth="1"/>
    <col min="3342" max="3342" width="15" style="95" customWidth="1"/>
    <col min="3343" max="3343" width="7.1796875" style="95" bestFit="1" customWidth="1"/>
    <col min="3344" max="3344" width="9.1796875" style="95" bestFit="1" customWidth="1"/>
    <col min="3345" max="3345" width="13.81640625" style="95" bestFit="1" customWidth="1"/>
    <col min="3346" max="3346" width="7.1796875" style="95" bestFit="1" customWidth="1"/>
    <col min="3347" max="3347" width="10.81640625" style="95"/>
    <col min="3348" max="3348" width="1.1796875" style="95" customWidth="1"/>
    <col min="3349" max="3349" width="5.81640625" style="95" bestFit="1" customWidth="1"/>
    <col min="3350" max="3350" width="9" style="95" bestFit="1" customWidth="1"/>
    <col min="3351" max="3351" width="13.54296875" style="95" bestFit="1" customWidth="1"/>
    <col min="3352" max="3352" width="7" style="95" bestFit="1" customWidth="1"/>
    <col min="3353" max="3353" width="2" style="95" customWidth="1"/>
    <col min="3354" max="3354" width="5.81640625" style="95" bestFit="1" customWidth="1"/>
    <col min="3355" max="3355" width="9" style="95" bestFit="1" customWidth="1"/>
    <col min="3356" max="3356" width="13.54296875" style="95" bestFit="1" customWidth="1"/>
    <col min="3357" max="3357" width="7" style="95" bestFit="1" customWidth="1"/>
    <col min="3358" max="3358" width="1.54296875" style="95" customWidth="1"/>
    <col min="3359" max="3359" width="8.453125" style="95" bestFit="1" customWidth="1"/>
    <col min="3360" max="3360" width="9" style="95" bestFit="1" customWidth="1"/>
    <col min="3361" max="3361" width="13.54296875" style="95" bestFit="1" customWidth="1"/>
    <col min="3362" max="3362" width="7" style="95" bestFit="1" customWidth="1"/>
    <col min="3363" max="3363" width="2" style="95" customWidth="1"/>
    <col min="3364" max="3364" width="8.453125" style="95" bestFit="1" customWidth="1"/>
    <col min="3365" max="3365" width="9" style="95" bestFit="1" customWidth="1"/>
    <col min="3366" max="3366" width="13.54296875" style="95" bestFit="1" customWidth="1"/>
    <col min="3367" max="3367" width="7" style="95" bestFit="1" customWidth="1"/>
    <col min="3368" max="3368" width="8.453125" style="95" bestFit="1" customWidth="1"/>
    <col min="3369" max="3369" width="2.54296875" style="95" customWidth="1"/>
    <col min="3370" max="3370" width="23.1796875" style="95" bestFit="1" customWidth="1"/>
    <col min="3371" max="3371" width="10.81640625" style="95"/>
    <col min="3372" max="3372" width="15.1796875" style="95" bestFit="1" customWidth="1"/>
    <col min="3373" max="3373" width="16.453125" style="95" bestFit="1" customWidth="1"/>
    <col min="3374" max="3591" width="10.81640625" style="95"/>
    <col min="3592" max="3592" width="1.54296875" style="95" customWidth="1"/>
    <col min="3593" max="3593" width="13" style="95" bestFit="1" customWidth="1"/>
    <col min="3594" max="3594" width="47.453125" style="95" bestFit="1" customWidth="1"/>
    <col min="3595" max="3595" width="10.1796875" style="95" customWidth="1"/>
    <col min="3596" max="3596" width="5.54296875" style="95" bestFit="1" customWidth="1"/>
    <col min="3597" max="3597" width="16.81640625" style="95" bestFit="1" customWidth="1"/>
    <col min="3598" max="3598" width="15" style="95" customWidth="1"/>
    <col min="3599" max="3599" width="7.1796875" style="95" bestFit="1" customWidth="1"/>
    <col min="3600" max="3600" width="9.1796875" style="95" bestFit="1" customWidth="1"/>
    <col min="3601" max="3601" width="13.81640625" style="95" bestFit="1" customWidth="1"/>
    <col min="3602" max="3602" width="7.1796875" style="95" bestFit="1" customWidth="1"/>
    <col min="3603" max="3603" width="10.81640625" style="95"/>
    <col min="3604" max="3604" width="1.1796875" style="95" customWidth="1"/>
    <col min="3605" max="3605" width="5.81640625" style="95" bestFit="1" customWidth="1"/>
    <col min="3606" max="3606" width="9" style="95" bestFit="1" customWidth="1"/>
    <col min="3607" max="3607" width="13.54296875" style="95" bestFit="1" customWidth="1"/>
    <col min="3608" max="3608" width="7" style="95" bestFit="1" customWidth="1"/>
    <col min="3609" max="3609" width="2" style="95" customWidth="1"/>
    <col min="3610" max="3610" width="5.81640625" style="95" bestFit="1" customWidth="1"/>
    <col min="3611" max="3611" width="9" style="95" bestFit="1" customWidth="1"/>
    <col min="3612" max="3612" width="13.54296875" style="95" bestFit="1" customWidth="1"/>
    <col min="3613" max="3613" width="7" style="95" bestFit="1" customWidth="1"/>
    <col min="3614" max="3614" width="1.54296875" style="95" customWidth="1"/>
    <col min="3615" max="3615" width="8.453125" style="95" bestFit="1" customWidth="1"/>
    <col min="3616" max="3616" width="9" style="95" bestFit="1" customWidth="1"/>
    <col min="3617" max="3617" width="13.54296875" style="95" bestFit="1" customWidth="1"/>
    <col min="3618" max="3618" width="7" style="95" bestFit="1" customWidth="1"/>
    <col min="3619" max="3619" width="2" style="95" customWidth="1"/>
    <col min="3620" max="3620" width="8.453125" style="95" bestFit="1" customWidth="1"/>
    <col min="3621" max="3621" width="9" style="95" bestFit="1" customWidth="1"/>
    <col min="3622" max="3622" width="13.54296875" style="95" bestFit="1" customWidth="1"/>
    <col min="3623" max="3623" width="7" style="95" bestFit="1" customWidth="1"/>
    <col min="3624" max="3624" width="8.453125" style="95" bestFit="1" customWidth="1"/>
    <col min="3625" max="3625" width="2.54296875" style="95" customWidth="1"/>
    <col min="3626" max="3626" width="23.1796875" style="95" bestFit="1" customWidth="1"/>
    <col min="3627" max="3627" width="10.81640625" style="95"/>
    <col min="3628" max="3628" width="15.1796875" style="95" bestFit="1" customWidth="1"/>
    <col min="3629" max="3629" width="16.453125" style="95" bestFit="1" customWidth="1"/>
    <col min="3630" max="3847" width="10.81640625" style="95"/>
    <col min="3848" max="3848" width="1.54296875" style="95" customWidth="1"/>
    <col min="3849" max="3849" width="13" style="95" bestFit="1" customWidth="1"/>
    <col min="3850" max="3850" width="47.453125" style="95" bestFit="1" customWidth="1"/>
    <col min="3851" max="3851" width="10.1796875" style="95" customWidth="1"/>
    <col min="3852" max="3852" width="5.54296875" style="95" bestFit="1" customWidth="1"/>
    <col min="3853" max="3853" width="16.81640625" style="95" bestFit="1" customWidth="1"/>
    <col min="3854" max="3854" width="15" style="95" customWidth="1"/>
    <col min="3855" max="3855" width="7.1796875" style="95" bestFit="1" customWidth="1"/>
    <col min="3856" max="3856" width="9.1796875" style="95" bestFit="1" customWidth="1"/>
    <col min="3857" max="3857" width="13.81640625" style="95" bestFit="1" customWidth="1"/>
    <col min="3858" max="3858" width="7.1796875" style="95" bestFit="1" customWidth="1"/>
    <col min="3859" max="3859" width="10.81640625" style="95"/>
    <col min="3860" max="3860" width="1.1796875" style="95" customWidth="1"/>
    <col min="3861" max="3861" width="5.81640625" style="95" bestFit="1" customWidth="1"/>
    <col min="3862" max="3862" width="9" style="95" bestFit="1" customWidth="1"/>
    <col min="3863" max="3863" width="13.54296875" style="95" bestFit="1" customWidth="1"/>
    <col min="3864" max="3864" width="7" style="95" bestFit="1" customWidth="1"/>
    <col min="3865" max="3865" width="2" style="95" customWidth="1"/>
    <col min="3866" max="3866" width="5.81640625" style="95" bestFit="1" customWidth="1"/>
    <col min="3867" max="3867" width="9" style="95" bestFit="1" customWidth="1"/>
    <col min="3868" max="3868" width="13.54296875" style="95" bestFit="1" customWidth="1"/>
    <col min="3869" max="3869" width="7" style="95" bestFit="1" customWidth="1"/>
    <col min="3870" max="3870" width="1.54296875" style="95" customWidth="1"/>
    <col min="3871" max="3871" width="8.453125" style="95" bestFit="1" customWidth="1"/>
    <col min="3872" max="3872" width="9" style="95" bestFit="1" customWidth="1"/>
    <col min="3873" max="3873" width="13.54296875" style="95" bestFit="1" customWidth="1"/>
    <col min="3874" max="3874" width="7" style="95" bestFit="1" customWidth="1"/>
    <col min="3875" max="3875" width="2" style="95" customWidth="1"/>
    <col min="3876" max="3876" width="8.453125" style="95" bestFit="1" customWidth="1"/>
    <col min="3877" max="3877" width="9" style="95" bestFit="1" customWidth="1"/>
    <col min="3878" max="3878" width="13.54296875" style="95" bestFit="1" customWidth="1"/>
    <col min="3879" max="3879" width="7" style="95" bestFit="1" customWidth="1"/>
    <col min="3880" max="3880" width="8.453125" style="95" bestFit="1" customWidth="1"/>
    <col min="3881" max="3881" width="2.54296875" style="95" customWidth="1"/>
    <col min="3882" max="3882" width="23.1796875" style="95" bestFit="1" customWidth="1"/>
    <col min="3883" max="3883" width="10.81640625" style="95"/>
    <col min="3884" max="3884" width="15.1796875" style="95" bestFit="1" customWidth="1"/>
    <col min="3885" max="3885" width="16.453125" style="95" bestFit="1" customWidth="1"/>
    <col min="3886" max="4103" width="10.81640625" style="95"/>
    <col min="4104" max="4104" width="1.54296875" style="95" customWidth="1"/>
    <col min="4105" max="4105" width="13" style="95" bestFit="1" customWidth="1"/>
    <col min="4106" max="4106" width="47.453125" style="95" bestFit="1" customWidth="1"/>
    <col min="4107" max="4107" width="10.1796875" style="95" customWidth="1"/>
    <col min="4108" max="4108" width="5.54296875" style="95" bestFit="1" customWidth="1"/>
    <col min="4109" max="4109" width="16.81640625" style="95" bestFit="1" customWidth="1"/>
    <col min="4110" max="4110" width="15" style="95" customWidth="1"/>
    <col min="4111" max="4111" width="7.1796875" style="95" bestFit="1" customWidth="1"/>
    <col min="4112" max="4112" width="9.1796875" style="95" bestFit="1" customWidth="1"/>
    <col min="4113" max="4113" width="13.81640625" style="95" bestFit="1" customWidth="1"/>
    <col min="4114" max="4114" width="7.1796875" style="95" bestFit="1" customWidth="1"/>
    <col min="4115" max="4115" width="10.81640625" style="95"/>
    <col min="4116" max="4116" width="1.1796875" style="95" customWidth="1"/>
    <col min="4117" max="4117" width="5.81640625" style="95" bestFit="1" customWidth="1"/>
    <col min="4118" max="4118" width="9" style="95" bestFit="1" customWidth="1"/>
    <col min="4119" max="4119" width="13.54296875" style="95" bestFit="1" customWidth="1"/>
    <col min="4120" max="4120" width="7" style="95" bestFit="1" customWidth="1"/>
    <col min="4121" max="4121" width="2" style="95" customWidth="1"/>
    <col min="4122" max="4122" width="5.81640625" style="95" bestFit="1" customWidth="1"/>
    <col min="4123" max="4123" width="9" style="95" bestFit="1" customWidth="1"/>
    <col min="4124" max="4124" width="13.54296875" style="95" bestFit="1" customWidth="1"/>
    <col min="4125" max="4125" width="7" style="95" bestFit="1" customWidth="1"/>
    <col min="4126" max="4126" width="1.54296875" style="95" customWidth="1"/>
    <col min="4127" max="4127" width="8.453125" style="95" bestFit="1" customWidth="1"/>
    <col min="4128" max="4128" width="9" style="95" bestFit="1" customWidth="1"/>
    <col min="4129" max="4129" width="13.54296875" style="95" bestFit="1" customWidth="1"/>
    <col min="4130" max="4130" width="7" style="95" bestFit="1" customWidth="1"/>
    <col min="4131" max="4131" width="2" style="95" customWidth="1"/>
    <col min="4132" max="4132" width="8.453125" style="95" bestFit="1" customWidth="1"/>
    <col min="4133" max="4133" width="9" style="95" bestFit="1" customWidth="1"/>
    <col min="4134" max="4134" width="13.54296875" style="95" bestFit="1" customWidth="1"/>
    <col min="4135" max="4135" width="7" style="95" bestFit="1" customWidth="1"/>
    <col min="4136" max="4136" width="8.453125" style="95" bestFit="1" customWidth="1"/>
    <col min="4137" max="4137" width="2.54296875" style="95" customWidth="1"/>
    <col min="4138" max="4138" width="23.1796875" style="95" bestFit="1" customWidth="1"/>
    <col min="4139" max="4139" width="10.81640625" style="95"/>
    <col min="4140" max="4140" width="15.1796875" style="95" bestFit="1" customWidth="1"/>
    <col min="4141" max="4141" width="16.453125" style="95" bestFit="1" customWidth="1"/>
    <col min="4142" max="4359" width="10.81640625" style="95"/>
    <col min="4360" max="4360" width="1.54296875" style="95" customWidth="1"/>
    <col min="4361" max="4361" width="13" style="95" bestFit="1" customWidth="1"/>
    <col min="4362" max="4362" width="47.453125" style="95" bestFit="1" customWidth="1"/>
    <col min="4363" max="4363" width="10.1796875" style="95" customWidth="1"/>
    <col min="4364" max="4364" width="5.54296875" style="95" bestFit="1" customWidth="1"/>
    <col min="4365" max="4365" width="16.81640625" style="95" bestFit="1" customWidth="1"/>
    <col min="4366" max="4366" width="15" style="95" customWidth="1"/>
    <col min="4367" max="4367" width="7.1796875" style="95" bestFit="1" customWidth="1"/>
    <col min="4368" max="4368" width="9.1796875" style="95" bestFit="1" customWidth="1"/>
    <col min="4369" max="4369" width="13.81640625" style="95" bestFit="1" customWidth="1"/>
    <col min="4370" max="4370" width="7.1796875" style="95" bestFit="1" customWidth="1"/>
    <col min="4371" max="4371" width="10.81640625" style="95"/>
    <col min="4372" max="4372" width="1.1796875" style="95" customWidth="1"/>
    <col min="4373" max="4373" width="5.81640625" style="95" bestFit="1" customWidth="1"/>
    <col min="4374" max="4374" width="9" style="95" bestFit="1" customWidth="1"/>
    <col min="4375" max="4375" width="13.54296875" style="95" bestFit="1" customWidth="1"/>
    <col min="4376" max="4376" width="7" style="95" bestFit="1" customWidth="1"/>
    <col min="4377" max="4377" width="2" style="95" customWidth="1"/>
    <col min="4378" max="4378" width="5.81640625" style="95" bestFit="1" customWidth="1"/>
    <col min="4379" max="4379" width="9" style="95" bestFit="1" customWidth="1"/>
    <col min="4380" max="4380" width="13.54296875" style="95" bestFit="1" customWidth="1"/>
    <col min="4381" max="4381" width="7" style="95" bestFit="1" customWidth="1"/>
    <col min="4382" max="4382" width="1.54296875" style="95" customWidth="1"/>
    <col min="4383" max="4383" width="8.453125" style="95" bestFit="1" customWidth="1"/>
    <col min="4384" max="4384" width="9" style="95" bestFit="1" customWidth="1"/>
    <col min="4385" max="4385" width="13.54296875" style="95" bestFit="1" customWidth="1"/>
    <col min="4386" max="4386" width="7" style="95" bestFit="1" customWidth="1"/>
    <col min="4387" max="4387" width="2" style="95" customWidth="1"/>
    <col min="4388" max="4388" width="8.453125" style="95" bestFit="1" customWidth="1"/>
    <col min="4389" max="4389" width="9" style="95" bestFit="1" customWidth="1"/>
    <col min="4390" max="4390" width="13.54296875" style="95" bestFit="1" customWidth="1"/>
    <col min="4391" max="4391" width="7" style="95" bestFit="1" customWidth="1"/>
    <col min="4392" max="4392" width="8.453125" style="95" bestFit="1" customWidth="1"/>
    <col min="4393" max="4393" width="2.54296875" style="95" customWidth="1"/>
    <col min="4394" max="4394" width="23.1796875" style="95" bestFit="1" customWidth="1"/>
    <col min="4395" max="4395" width="10.81640625" style="95"/>
    <col min="4396" max="4396" width="15.1796875" style="95" bestFit="1" customWidth="1"/>
    <col min="4397" max="4397" width="16.453125" style="95" bestFit="1" customWidth="1"/>
    <col min="4398" max="4615" width="10.81640625" style="95"/>
    <col min="4616" max="4616" width="1.54296875" style="95" customWidth="1"/>
    <col min="4617" max="4617" width="13" style="95" bestFit="1" customWidth="1"/>
    <col min="4618" max="4618" width="47.453125" style="95" bestFit="1" customWidth="1"/>
    <col min="4619" max="4619" width="10.1796875" style="95" customWidth="1"/>
    <col min="4620" max="4620" width="5.54296875" style="95" bestFit="1" customWidth="1"/>
    <col min="4621" max="4621" width="16.81640625" style="95" bestFit="1" customWidth="1"/>
    <col min="4622" max="4622" width="15" style="95" customWidth="1"/>
    <col min="4623" max="4623" width="7.1796875" style="95" bestFit="1" customWidth="1"/>
    <col min="4624" max="4624" width="9.1796875" style="95" bestFit="1" customWidth="1"/>
    <col min="4625" max="4625" width="13.81640625" style="95" bestFit="1" customWidth="1"/>
    <col min="4626" max="4626" width="7.1796875" style="95" bestFit="1" customWidth="1"/>
    <col min="4627" max="4627" width="10.81640625" style="95"/>
    <col min="4628" max="4628" width="1.1796875" style="95" customWidth="1"/>
    <col min="4629" max="4629" width="5.81640625" style="95" bestFit="1" customWidth="1"/>
    <col min="4630" max="4630" width="9" style="95" bestFit="1" customWidth="1"/>
    <col min="4631" max="4631" width="13.54296875" style="95" bestFit="1" customWidth="1"/>
    <col min="4632" max="4632" width="7" style="95" bestFit="1" customWidth="1"/>
    <col min="4633" max="4633" width="2" style="95" customWidth="1"/>
    <col min="4634" max="4634" width="5.81640625" style="95" bestFit="1" customWidth="1"/>
    <col min="4635" max="4635" width="9" style="95" bestFit="1" customWidth="1"/>
    <col min="4636" max="4636" width="13.54296875" style="95" bestFit="1" customWidth="1"/>
    <col min="4637" max="4637" width="7" style="95" bestFit="1" customWidth="1"/>
    <col min="4638" max="4638" width="1.54296875" style="95" customWidth="1"/>
    <col min="4639" max="4639" width="8.453125" style="95" bestFit="1" customWidth="1"/>
    <col min="4640" max="4640" width="9" style="95" bestFit="1" customWidth="1"/>
    <col min="4641" max="4641" width="13.54296875" style="95" bestFit="1" customWidth="1"/>
    <col min="4642" max="4642" width="7" style="95" bestFit="1" customWidth="1"/>
    <col min="4643" max="4643" width="2" style="95" customWidth="1"/>
    <col min="4644" max="4644" width="8.453125" style="95" bestFit="1" customWidth="1"/>
    <col min="4645" max="4645" width="9" style="95" bestFit="1" customWidth="1"/>
    <col min="4646" max="4646" width="13.54296875" style="95" bestFit="1" customWidth="1"/>
    <col min="4647" max="4647" width="7" style="95" bestFit="1" customWidth="1"/>
    <col min="4648" max="4648" width="8.453125" style="95" bestFit="1" customWidth="1"/>
    <col min="4649" max="4649" width="2.54296875" style="95" customWidth="1"/>
    <col min="4650" max="4650" width="23.1796875" style="95" bestFit="1" customWidth="1"/>
    <col min="4651" max="4651" width="10.81640625" style="95"/>
    <col min="4652" max="4652" width="15.1796875" style="95" bestFit="1" customWidth="1"/>
    <col min="4653" max="4653" width="16.453125" style="95" bestFit="1" customWidth="1"/>
    <col min="4654" max="4871" width="10.81640625" style="95"/>
    <col min="4872" max="4872" width="1.54296875" style="95" customWidth="1"/>
    <col min="4873" max="4873" width="13" style="95" bestFit="1" customWidth="1"/>
    <col min="4874" max="4874" width="47.453125" style="95" bestFit="1" customWidth="1"/>
    <col min="4875" max="4875" width="10.1796875" style="95" customWidth="1"/>
    <col min="4876" max="4876" width="5.54296875" style="95" bestFit="1" customWidth="1"/>
    <col min="4877" max="4877" width="16.81640625" style="95" bestFit="1" customWidth="1"/>
    <col min="4878" max="4878" width="15" style="95" customWidth="1"/>
    <col min="4879" max="4879" width="7.1796875" style="95" bestFit="1" customWidth="1"/>
    <col min="4880" max="4880" width="9.1796875" style="95" bestFit="1" customWidth="1"/>
    <col min="4881" max="4881" width="13.81640625" style="95" bestFit="1" customWidth="1"/>
    <col min="4882" max="4882" width="7.1796875" style="95" bestFit="1" customWidth="1"/>
    <col min="4883" max="4883" width="10.81640625" style="95"/>
    <col min="4884" max="4884" width="1.1796875" style="95" customWidth="1"/>
    <col min="4885" max="4885" width="5.81640625" style="95" bestFit="1" customWidth="1"/>
    <col min="4886" max="4886" width="9" style="95" bestFit="1" customWidth="1"/>
    <col min="4887" max="4887" width="13.54296875" style="95" bestFit="1" customWidth="1"/>
    <col min="4888" max="4888" width="7" style="95" bestFit="1" customWidth="1"/>
    <col min="4889" max="4889" width="2" style="95" customWidth="1"/>
    <col min="4890" max="4890" width="5.81640625" style="95" bestFit="1" customWidth="1"/>
    <col min="4891" max="4891" width="9" style="95" bestFit="1" customWidth="1"/>
    <col min="4892" max="4892" width="13.54296875" style="95" bestFit="1" customWidth="1"/>
    <col min="4893" max="4893" width="7" style="95" bestFit="1" customWidth="1"/>
    <col min="4894" max="4894" width="1.54296875" style="95" customWidth="1"/>
    <col min="4895" max="4895" width="8.453125" style="95" bestFit="1" customWidth="1"/>
    <col min="4896" max="4896" width="9" style="95" bestFit="1" customWidth="1"/>
    <col min="4897" max="4897" width="13.54296875" style="95" bestFit="1" customWidth="1"/>
    <col min="4898" max="4898" width="7" style="95" bestFit="1" customWidth="1"/>
    <col min="4899" max="4899" width="2" style="95" customWidth="1"/>
    <col min="4900" max="4900" width="8.453125" style="95" bestFit="1" customWidth="1"/>
    <col min="4901" max="4901" width="9" style="95" bestFit="1" customWidth="1"/>
    <col min="4902" max="4902" width="13.54296875" style="95" bestFit="1" customWidth="1"/>
    <col min="4903" max="4903" width="7" style="95" bestFit="1" customWidth="1"/>
    <col min="4904" max="4904" width="8.453125" style="95" bestFit="1" customWidth="1"/>
    <col min="4905" max="4905" width="2.54296875" style="95" customWidth="1"/>
    <col min="4906" max="4906" width="23.1796875" style="95" bestFit="1" customWidth="1"/>
    <col min="4907" max="4907" width="10.81640625" style="95"/>
    <col min="4908" max="4908" width="15.1796875" style="95" bestFit="1" customWidth="1"/>
    <col min="4909" max="4909" width="16.453125" style="95" bestFit="1" customWidth="1"/>
    <col min="4910" max="5127" width="10.81640625" style="95"/>
    <col min="5128" max="5128" width="1.54296875" style="95" customWidth="1"/>
    <col min="5129" max="5129" width="13" style="95" bestFit="1" customWidth="1"/>
    <col min="5130" max="5130" width="47.453125" style="95" bestFit="1" customWidth="1"/>
    <col min="5131" max="5131" width="10.1796875" style="95" customWidth="1"/>
    <col min="5132" max="5132" width="5.54296875" style="95" bestFit="1" customWidth="1"/>
    <col min="5133" max="5133" width="16.81640625" style="95" bestFit="1" customWidth="1"/>
    <col min="5134" max="5134" width="15" style="95" customWidth="1"/>
    <col min="5135" max="5135" width="7.1796875" style="95" bestFit="1" customWidth="1"/>
    <col min="5136" max="5136" width="9.1796875" style="95" bestFit="1" customWidth="1"/>
    <col min="5137" max="5137" width="13.81640625" style="95" bestFit="1" customWidth="1"/>
    <col min="5138" max="5138" width="7.1796875" style="95" bestFit="1" customWidth="1"/>
    <col min="5139" max="5139" width="10.81640625" style="95"/>
    <col min="5140" max="5140" width="1.1796875" style="95" customWidth="1"/>
    <col min="5141" max="5141" width="5.81640625" style="95" bestFit="1" customWidth="1"/>
    <col min="5142" max="5142" width="9" style="95" bestFit="1" customWidth="1"/>
    <col min="5143" max="5143" width="13.54296875" style="95" bestFit="1" customWidth="1"/>
    <col min="5144" max="5144" width="7" style="95" bestFit="1" customWidth="1"/>
    <col min="5145" max="5145" width="2" style="95" customWidth="1"/>
    <col min="5146" max="5146" width="5.81640625" style="95" bestFit="1" customWidth="1"/>
    <col min="5147" max="5147" width="9" style="95" bestFit="1" customWidth="1"/>
    <col min="5148" max="5148" width="13.54296875" style="95" bestFit="1" customWidth="1"/>
    <col min="5149" max="5149" width="7" style="95" bestFit="1" customWidth="1"/>
    <col min="5150" max="5150" width="1.54296875" style="95" customWidth="1"/>
    <col min="5151" max="5151" width="8.453125" style="95" bestFit="1" customWidth="1"/>
    <col min="5152" max="5152" width="9" style="95" bestFit="1" customWidth="1"/>
    <col min="5153" max="5153" width="13.54296875" style="95" bestFit="1" customWidth="1"/>
    <col min="5154" max="5154" width="7" style="95" bestFit="1" customWidth="1"/>
    <col min="5155" max="5155" width="2" style="95" customWidth="1"/>
    <col min="5156" max="5156" width="8.453125" style="95" bestFit="1" customWidth="1"/>
    <col min="5157" max="5157" width="9" style="95" bestFit="1" customWidth="1"/>
    <col min="5158" max="5158" width="13.54296875" style="95" bestFit="1" customWidth="1"/>
    <col min="5159" max="5159" width="7" style="95" bestFit="1" customWidth="1"/>
    <col min="5160" max="5160" width="8.453125" style="95" bestFit="1" customWidth="1"/>
    <col min="5161" max="5161" width="2.54296875" style="95" customWidth="1"/>
    <col min="5162" max="5162" width="23.1796875" style="95" bestFit="1" customWidth="1"/>
    <col min="5163" max="5163" width="10.81640625" style="95"/>
    <col min="5164" max="5164" width="15.1796875" style="95" bestFit="1" customWidth="1"/>
    <col min="5165" max="5165" width="16.453125" style="95" bestFit="1" customWidth="1"/>
    <col min="5166" max="5383" width="10.81640625" style="95"/>
    <col min="5384" max="5384" width="1.54296875" style="95" customWidth="1"/>
    <col min="5385" max="5385" width="13" style="95" bestFit="1" customWidth="1"/>
    <col min="5386" max="5386" width="47.453125" style="95" bestFit="1" customWidth="1"/>
    <col min="5387" max="5387" width="10.1796875" style="95" customWidth="1"/>
    <col min="5388" max="5388" width="5.54296875" style="95" bestFit="1" customWidth="1"/>
    <col min="5389" max="5389" width="16.81640625" style="95" bestFit="1" customWidth="1"/>
    <col min="5390" max="5390" width="15" style="95" customWidth="1"/>
    <col min="5391" max="5391" width="7.1796875" style="95" bestFit="1" customWidth="1"/>
    <col min="5392" max="5392" width="9.1796875" style="95" bestFit="1" customWidth="1"/>
    <col min="5393" max="5393" width="13.81640625" style="95" bestFit="1" customWidth="1"/>
    <col min="5394" max="5394" width="7.1796875" style="95" bestFit="1" customWidth="1"/>
    <col min="5395" max="5395" width="10.81640625" style="95"/>
    <col min="5396" max="5396" width="1.1796875" style="95" customWidth="1"/>
    <col min="5397" max="5397" width="5.81640625" style="95" bestFit="1" customWidth="1"/>
    <col min="5398" max="5398" width="9" style="95" bestFit="1" customWidth="1"/>
    <col min="5399" max="5399" width="13.54296875" style="95" bestFit="1" customWidth="1"/>
    <col min="5400" max="5400" width="7" style="95" bestFit="1" customWidth="1"/>
    <col min="5401" max="5401" width="2" style="95" customWidth="1"/>
    <col min="5402" max="5402" width="5.81640625" style="95" bestFit="1" customWidth="1"/>
    <col min="5403" max="5403" width="9" style="95" bestFit="1" customWidth="1"/>
    <col min="5404" max="5404" width="13.54296875" style="95" bestFit="1" customWidth="1"/>
    <col min="5405" max="5405" width="7" style="95" bestFit="1" customWidth="1"/>
    <col min="5406" max="5406" width="1.54296875" style="95" customWidth="1"/>
    <col min="5407" max="5407" width="8.453125" style="95" bestFit="1" customWidth="1"/>
    <col min="5408" max="5408" width="9" style="95" bestFit="1" customWidth="1"/>
    <col min="5409" max="5409" width="13.54296875" style="95" bestFit="1" customWidth="1"/>
    <col min="5410" max="5410" width="7" style="95" bestFit="1" customWidth="1"/>
    <col min="5411" max="5411" width="2" style="95" customWidth="1"/>
    <col min="5412" max="5412" width="8.453125" style="95" bestFit="1" customWidth="1"/>
    <col min="5413" max="5413" width="9" style="95" bestFit="1" customWidth="1"/>
    <col min="5414" max="5414" width="13.54296875" style="95" bestFit="1" customWidth="1"/>
    <col min="5415" max="5415" width="7" style="95" bestFit="1" customWidth="1"/>
    <col min="5416" max="5416" width="8.453125" style="95" bestFit="1" customWidth="1"/>
    <col min="5417" max="5417" width="2.54296875" style="95" customWidth="1"/>
    <col min="5418" max="5418" width="23.1796875" style="95" bestFit="1" customWidth="1"/>
    <col min="5419" max="5419" width="10.81640625" style="95"/>
    <col min="5420" max="5420" width="15.1796875" style="95" bestFit="1" customWidth="1"/>
    <col min="5421" max="5421" width="16.453125" style="95" bestFit="1" customWidth="1"/>
    <col min="5422" max="5639" width="10.81640625" style="95"/>
    <col min="5640" max="5640" width="1.54296875" style="95" customWidth="1"/>
    <col min="5641" max="5641" width="13" style="95" bestFit="1" customWidth="1"/>
    <col min="5642" max="5642" width="47.453125" style="95" bestFit="1" customWidth="1"/>
    <col min="5643" max="5643" width="10.1796875" style="95" customWidth="1"/>
    <col min="5644" max="5644" width="5.54296875" style="95" bestFit="1" customWidth="1"/>
    <col min="5645" max="5645" width="16.81640625" style="95" bestFit="1" customWidth="1"/>
    <col min="5646" max="5646" width="15" style="95" customWidth="1"/>
    <col min="5647" max="5647" width="7.1796875" style="95" bestFit="1" customWidth="1"/>
    <col min="5648" max="5648" width="9.1796875" style="95" bestFit="1" customWidth="1"/>
    <col min="5649" max="5649" width="13.81640625" style="95" bestFit="1" customWidth="1"/>
    <col min="5650" max="5650" width="7.1796875" style="95" bestFit="1" customWidth="1"/>
    <col min="5651" max="5651" width="10.81640625" style="95"/>
    <col min="5652" max="5652" width="1.1796875" style="95" customWidth="1"/>
    <col min="5653" max="5653" width="5.81640625" style="95" bestFit="1" customWidth="1"/>
    <col min="5654" max="5654" width="9" style="95" bestFit="1" customWidth="1"/>
    <col min="5655" max="5655" width="13.54296875" style="95" bestFit="1" customWidth="1"/>
    <col min="5656" max="5656" width="7" style="95" bestFit="1" customWidth="1"/>
    <col min="5657" max="5657" width="2" style="95" customWidth="1"/>
    <col min="5658" max="5658" width="5.81640625" style="95" bestFit="1" customWidth="1"/>
    <col min="5659" max="5659" width="9" style="95" bestFit="1" customWidth="1"/>
    <col min="5660" max="5660" width="13.54296875" style="95" bestFit="1" customWidth="1"/>
    <col min="5661" max="5661" width="7" style="95" bestFit="1" customWidth="1"/>
    <col min="5662" max="5662" width="1.54296875" style="95" customWidth="1"/>
    <col min="5663" max="5663" width="8.453125" style="95" bestFit="1" customWidth="1"/>
    <col min="5664" max="5664" width="9" style="95" bestFit="1" customWidth="1"/>
    <col min="5665" max="5665" width="13.54296875" style="95" bestFit="1" customWidth="1"/>
    <col min="5666" max="5666" width="7" style="95" bestFit="1" customWidth="1"/>
    <col min="5667" max="5667" width="2" style="95" customWidth="1"/>
    <col min="5668" max="5668" width="8.453125" style="95" bestFit="1" customWidth="1"/>
    <col min="5669" max="5669" width="9" style="95" bestFit="1" customWidth="1"/>
    <col min="5670" max="5670" width="13.54296875" style="95" bestFit="1" customWidth="1"/>
    <col min="5671" max="5671" width="7" style="95" bestFit="1" customWidth="1"/>
    <col min="5672" max="5672" width="8.453125" style="95" bestFit="1" customWidth="1"/>
    <col min="5673" max="5673" width="2.54296875" style="95" customWidth="1"/>
    <col min="5674" max="5674" width="23.1796875" style="95" bestFit="1" customWidth="1"/>
    <col min="5675" max="5675" width="10.81640625" style="95"/>
    <col min="5676" max="5676" width="15.1796875" style="95" bestFit="1" customWidth="1"/>
    <col min="5677" max="5677" width="16.453125" style="95" bestFit="1" customWidth="1"/>
    <col min="5678" max="5895" width="10.81640625" style="95"/>
    <col min="5896" max="5896" width="1.54296875" style="95" customWidth="1"/>
    <col min="5897" max="5897" width="13" style="95" bestFit="1" customWidth="1"/>
    <col min="5898" max="5898" width="47.453125" style="95" bestFit="1" customWidth="1"/>
    <col min="5899" max="5899" width="10.1796875" style="95" customWidth="1"/>
    <col min="5900" max="5900" width="5.54296875" style="95" bestFit="1" customWidth="1"/>
    <col min="5901" max="5901" width="16.81640625" style="95" bestFit="1" customWidth="1"/>
    <col min="5902" max="5902" width="15" style="95" customWidth="1"/>
    <col min="5903" max="5903" width="7.1796875" style="95" bestFit="1" customWidth="1"/>
    <col min="5904" max="5904" width="9.1796875" style="95" bestFit="1" customWidth="1"/>
    <col min="5905" max="5905" width="13.81640625" style="95" bestFit="1" customWidth="1"/>
    <col min="5906" max="5906" width="7.1796875" style="95" bestFit="1" customWidth="1"/>
    <col min="5907" max="5907" width="10.81640625" style="95"/>
    <col min="5908" max="5908" width="1.1796875" style="95" customWidth="1"/>
    <col min="5909" max="5909" width="5.81640625" style="95" bestFit="1" customWidth="1"/>
    <col min="5910" max="5910" width="9" style="95" bestFit="1" customWidth="1"/>
    <col min="5911" max="5911" width="13.54296875" style="95" bestFit="1" customWidth="1"/>
    <col min="5912" max="5912" width="7" style="95" bestFit="1" customWidth="1"/>
    <col min="5913" max="5913" width="2" style="95" customWidth="1"/>
    <col min="5914" max="5914" width="5.81640625" style="95" bestFit="1" customWidth="1"/>
    <col min="5915" max="5915" width="9" style="95" bestFit="1" customWidth="1"/>
    <col min="5916" max="5916" width="13.54296875" style="95" bestFit="1" customWidth="1"/>
    <col min="5917" max="5917" width="7" style="95" bestFit="1" customWidth="1"/>
    <col min="5918" max="5918" width="1.54296875" style="95" customWidth="1"/>
    <col min="5919" max="5919" width="8.453125" style="95" bestFit="1" customWidth="1"/>
    <col min="5920" max="5920" width="9" style="95" bestFit="1" customWidth="1"/>
    <col min="5921" max="5921" width="13.54296875" style="95" bestFit="1" customWidth="1"/>
    <col min="5922" max="5922" width="7" style="95" bestFit="1" customWidth="1"/>
    <col min="5923" max="5923" width="2" style="95" customWidth="1"/>
    <col min="5924" max="5924" width="8.453125" style="95" bestFit="1" customWidth="1"/>
    <col min="5925" max="5925" width="9" style="95" bestFit="1" customWidth="1"/>
    <col min="5926" max="5926" width="13.54296875" style="95" bestFit="1" customWidth="1"/>
    <col min="5927" max="5927" width="7" style="95" bestFit="1" customWidth="1"/>
    <col min="5928" max="5928" width="8.453125" style="95" bestFit="1" customWidth="1"/>
    <col min="5929" max="5929" width="2.54296875" style="95" customWidth="1"/>
    <col min="5930" max="5930" width="23.1796875" style="95" bestFit="1" customWidth="1"/>
    <col min="5931" max="5931" width="10.81640625" style="95"/>
    <col min="5932" max="5932" width="15.1796875" style="95" bestFit="1" customWidth="1"/>
    <col min="5933" max="5933" width="16.453125" style="95" bestFit="1" customWidth="1"/>
    <col min="5934" max="6151" width="10.81640625" style="95"/>
    <col min="6152" max="6152" width="1.54296875" style="95" customWidth="1"/>
    <col min="6153" max="6153" width="13" style="95" bestFit="1" customWidth="1"/>
    <col min="6154" max="6154" width="47.453125" style="95" bestFit="1" customWidth="1"/>
    <col min="6155" max="6155" width="10.1796875" style="95" customWidth="1"/>
    <col min="6156" max="6156" width="5.54296875" style="95" bestFit="1" customWidth="1"/>
    <col min="6157" max="6157" width="16.81640625" style="95" bestFit="1" customWidth="1"/>
    <col min="6158" max="6158" width="15" style="95" customWidth="1"/>
    <col min="6159" max="6159" width="7.1796875" style="95" bestFit="1" customWidth="1"/>
    <col min="6160" max="6160" width="9.1796875" style="95" bestFit="1" customWidth="1"/>
    <col min="6161" max="6161" width="13.81640625" style="95" bestFit="1" customWidth="1"/>
    <col min="6162" max="6162" width="7.1796875" style="95" bestFit="1" customWidth="1"/>
    <col min="6163" max="6163" width="10.81640625" style="95"/>
    <col min="6164" max="6164" width="1.1796875" style="95" customWidth="1"/>
    <col min="6165" max="6165" width="5.81640625" style="95" bestFit="1" customWidth="1"/>
    <col min="6166" max="6166" width="9" style="95" bestFit="1" customWidth="1"/>
    <col min="6167" max="6167" width="13.54296875" style="95" bestFit="1" customWidth="1"/>
    <col min="6168" max="6168" width="7" style="95" bestFit="1" customWidth="1"/>
    <col min="6169" max="6169" width="2" style="95" customWidth="1"/>
    <col min="6170" max="6170" width="5.81640625" style="95" bestFit="1" customWidth="1"/>
    <col min="6171" max="6171" width="9" style="95" bestFit="1" customWidth="1"/>
    <col min="6172" max="6172" width="13.54296875" style="95" bestFit="1" customWidth="1"/>
    <col min="6173" max="6173" width="7" style="95" bestFit="1" customWidth="1"/>
    <col min="6174" max="6174" width="1.54296875" style="95" customWidth="1"/>
    <col min="6175" max="6175" width="8.453125" style="95" bestFit="1" customWidth="1"/>
    <col min="6176" max="6176" width="9" style="95" bestFit="1" customWidth="1"/>
    <col min="6177" max="6177" width="13.54296875" style="95" bestFit="1" customWidth="1"/>
    <col min="6178" max="6178" width="7" style="95" bestFit="1" customWidth="1"/>
    <col min="6179" max="6179" width="2" style="95" customWidth="1"/>
    <col min="6180" max="6180" width="8.453125" style="95" bestFit="1" customWidth="1"/>
    <col min="6181" max="6181" width="9" style="95" bestFit="1" customWidth="1"/>
    <col min="6182" max="6182" width="13.54296875" style="95" bestFit="1" customWidth="1"/>
    <col min="6183" max="6183" width="7" style="95" bestFit="1" customWidth="1"/>
    <col min="6184" max="6184" width="8.453125" style="95" bestFit="1" customWidth="1"/>
    <col min="6185" max="6185" width="2.54296875" style="95" customWidth="1"/>
    <col min="6186" max="6186" width="23.1796875" style="95" bestFit="1" customWidth="1"/>
    <col min="6187" max="6187" width="10.81640625" style="95"/>
    <col min="6188" max="6188" width="15.1796875" style="95" bestFit="1" customWidth="1"/>
    <col min="6189" max="6189" width="16.453125" style="95" bestFit="1" customWidth="1"/>
    <col min="6190" max="6407" width="10.81640625" style="95"/>
    <col min="6408" max="6408" width="1.54296875" style="95" customWidth="1"/>
    <col min="6409" max="6409" width="13" style="95" bestFit="1" customWidth="1"/>
    <col min="6410" max="6410" width="47.453125" style="95" bestFit="1" customWidth="1"/>
    <col min="6411" max="6411" width="10.1796875" style="95" customWidth="1"/>
    <col min="6412" max="6412" width="5.54296875" style="95" bestFit="1" customWidth="1"/>
    <col min="6413" max="6413" width="16.81640625" style="95" bestFit="1" customWidth="1"/>
    <col min="6414" max="6414" width="15" style="95" customWidth="1"/>
    <col min="6415" max="6415" width="7.1796875" style="95" bestFit="1" customWidth="1"/>
    <col min="6416" max="6416" width="9.1796875" style="95" bestFit="1" customWidth="1"/>
    <col min="6417" max="6417" width="13.81640625" style="95" bestFit="1" customWidth="1"/>
    <col min="6418" max="6418" width="7.1796875" style="95" bestFit="1" customWidth="1"/>
    <col min="6419" max="6419" width="10.81640625" style="95"/>
    <col min="6420" max="6420" width="1.1796875" style="95" customWidth="1"/>
    <col min="6421" max="6421" width="5.81640625" style="95" bestFit="1" customWidth="1"/>
    <col min="6422" max="6422" width="9" style="95" bestFit="1" customWidth="1"/>
    <col min="6423" max="6423" width="13.54296875" style="95" bestFit="1" customWidth="1"/>
    <col min="6424" max="6424" width="7" style="95" bestFit="1" customWidth="1"/>
    <col min="6425" max="6425" width="2" style="95" customWidth="1"/>
    <col min="6426" max="6426" width="5.81640625" style="95" bestFit="1" customWidth="1"/>
    <col min="6427" max="6427" width="9" style="95" bestFit="1" customWidth="1"/>
    <col min="6428" max="6428" width="13.54296875" style="95" bestFit="1" customWidth="1"/>
    <col min="6429" max="6429" width="7" style="95" bestFit="1" customWidth="1"/>
    <col min="6430" max="6430" width="1.54296875" style="95" customWidth="1"/>
    <col min="6431" max="6431" width="8.453125" style="95" bestFit="1" customWidth="1"/>
    <col min="6432" max="6432" width="9" style="95" bestFit="1" customWidth="1"/>
    <col min="6433" max="6433" width="13.54296875" style="95" bestFit="1" customWidth="1"/>
    <col min="6434" max="6434" width="7" style="95" bestFit="1" customWidth="1"/>
    <col min="6435" max="6435" width="2" style="95" customWidth="1"/>
    <col min="6436" max="6436" width="8.453125" style="95" bestFit="1" customWidth="1"/>
    <col min="6437" max="6437" width="9" style="95" bestFit="1" customWidth="1"/>
    <col min="6438" max="6438" width="13.54296875" style="95" bestFit="1" customWidth="1"/>
    <col min="6439" max="6439" width="7" style="95" bestFit="1" customWidth="1"/>
    <col min="6440" max="6440" width="8.453125" style="95" bestFit="1" customWidth="1"/>
    <col min="6441" max="6441" width="2.54296875" style="95" customWidth="1"/>
    <col min="6442" max="6442" width="23.1796875" style="95" bestFit="1" customWidth="1"/>
    <col min="6443" max="6443" width="10.81640625" style="95"/>
    <col min="6444" max="6444" width="15.1796875" style="95" bestFit="1" customWidth="1"/>
    <col min="6445" max="6445" width="16.453125" style="95" bestFit="1" customWidth="1"/>
    <col min="6446" max="6663" width="10.81640625" style="95"/>
    <col min="6664" max="6664" width="1.54296875" style="95" customWidth="1"/>
    <col min="6665" max="6665" width="13" style="95" bestFit="1" customWidth="1"/>
    <col min="6666" max="6666" width="47.453125" style="95" bestFit="1" customWidth="1"/>
    <col min="6667" max="6667" width="10.1796875" style="95" customWidth="1"/>
    <col min="6668" max="6668" width="5.54296875" style="95" bestFit="1" customWidth="1"/>
    <col min="6669" max="6669" width="16.81640625" style="95" bestFit="1" customWidth="1"/>
    <col min="6670" max="6670" width="15" style="95" customWidth="1"/>
    <col min="6671" max="6671" width="7.1796875" style="95" bestFit="1" customWidth="1"/>
    <col min="6672" max="6672" width="9.1796875" style="95" bestFit="1" customWidth="1"/>
    <col min="6673" max="6673" width="13.81640625" style="95" bestFit="1" customWidth="1"/>
    <col min="6674" max="6674" width="7.1796875" style="95" bestFit="1" customWidth="1"/>
    <col min="6675" max="6675" width="10.81640625" style="95"/>
    <col min="6676" max="6676" width="1.1796875" style="95" customWidth="1"/>
    <col min="6677" max="6677" width="5.81640625" style="95" bestFit="1" customWidth="1"/>
    <col min="6678" max="6678" width="9" style="95" bestFit="1" customWidth="1"/>
    <col min="6679" max="6679" width="13.54296875" style="95" bestFit="1" customWidth="1"/>
    <col min="6680" max="6680" width="7" style="95" bestFit="1" customWidth="1"/>
    <col min="6681" max="6681" width="2" style="95" customWidth="1"/>
    <col min="6682" max="6682" width="5.81640625" style="95" bestFit="1" customWidth="1"/>
    <col min="6683" max="6683" width="9" style="95" bestFit="1" customWidth="1"/>
    <col min="6684" max="6684" width="13.54296875" style="95" bestFit="1" customWidth="1"/>
    <col min="6685" max="6685" width="7" style="95" bestFit="1" customWidth="1"/>
    <col min="6686" max="6686" width="1.54296875" style="95" customWidth="1"/>
    <col min="6687" max="6687" width="8.453125" style="95" bestFit="1" customWidth="1"/>
    <col min="6688" max="6688" width="9" style="95" bestFit="1" customWidth="1"/>
    <col min="6689" max="6689" width="13.54296875" style="95" bestFit="1" customWidth="1"/>
    <col min="6690" max="6690" width="7" style="95" bestFit="1" customWidth="1"/>
    <col min="6691" max="6691" width="2" style="95" customWidth="1"/>
    <col min="6692" max="6692" width="8.453125" style="95" bestFit="1" customWidth="1"/>
    <col min="6693" max="6693" width="9" style="95" bestFit="1" customWidth="1"/>
    <col min="6694" max="6694" width="13.54296875" style="95" bestFit="1" customWidth="1"/>
    <col min="6695" max="6695" width="7" style="95" bestFit="1" customWidth="1"/>
    <col min="6696" max="6696" width="8.453125" style="95" bestFit="1" customWidth="1"/>
    <col min="6697" max="6697" width="2.54296875" style="95" customWidth="1"/>
    <col min="6698" max="6698" width="23.1796875" style="95" bestFit="1" customWidth="1"/>
    <col min="6699" max="6699" width="10.81640625" style="95"/>
    <col min="6700" max="6700" width="15.1796875" style="95" bestFit="1" customWidth="1"/>
    <col min="6701" max="6701" width="16.453125" style="95" bestFit="1" customWidth="1"/>
    <col min="6702" max="6919" width="10.81640625" style="95"/>
    <col min="6920" max="6920" width="1.54296875" style="95" customWidth="1"/>
    <col min="6921" max="6921" width="13" style="95" bestFit="1" customWidth="1"/>
    <col min="6922" max="6922" width="47.453125" style="95" bestFit="1" customWidth="1"/>
    <col min="6923" max="6923" width="10.1796875" style="95" customWidth="1"/>
    <col min="6924" max="6924" width="5.54296875" style="95" bestFit="1" customWidth="1"/>
    <col min="6925" max="6925" width="16.81640625" style="95" bestFit="1" customWidth="1"/>
    <col min="6926" max="6926" width="15" style="95" customWidth="1"/>
    <col min="6927" max="6927" width="7.1796875" style="95" bestFit="1" customWidth="1"/>
    <col min="6928" max="6928" width="9.1796875" style="95" bestFit="1" customWidth="1"/>
    <col min="6929" max="6929" width="13.81640625" style="95" bestFit="1" customWidth="1"/>
    <col min="6930" max="6930" width="7.1796875" style="95" bestFit="1" customWidth="1"/>
    <col min="6931" max="6931" width="10.81640625" style="95"/>
    <col min="6932" max="6932" width="1.1796875" style="95" customWidth="1"/>
    <col min="6933" max="6933" width="5.81640625" style="95" bestFit="1" customWidth="1"/>
    <col min="6934" max="6934" width="9" style="95" bestFit="1" customWidth="1"/>
    <col min="6935" max="6935" width="13.54296875" style="95" bestFit="1" customWidth="1"/>
    <col min="6936" max="6936" width="7" style="95" bestFit="1" customWidth="1"/>
    <col min="6937" max="6937" width="2" style="95" customWidth="1"/>
    <col min="6938" max="6938" width="5.81640625" style="95" bestFit="1" customWidth="1"/>
    <col min="6939" max="6939" width="9" style="95" bestFit="1" customWidth="1"/>
    <col min="6940" max="6940" width="13.54296875" style="95" bestFit="1" customWidth="1"/>
    <col min="6941" max="6941" width="7" style="95" bestFit="1" customWidth="1"/>
    <col min="6942" max="6942" width="1.54296875" style="95" customWidth="1"/>
    <col min="6943" max="6943" width="8.453125" style="95" bestFit="1" customWidth="1"/>
    <col min="6944" max="6944" width="9" style="95" bestFit="1" customWidth="1"/>
    <col min="6945" max="6945" width="13.54296875" style="95" bestFit="1" customWidth="1"/>
    <col min="6946" max="6946" width="7" style="95" bestFit="1" customWidth="1"/>
    <col min="6947" max="6947" width="2" style="95" customWidth="1"/>
    <col min="6948" max="6948" width="8.453125" style="95" bestFit="1" customWidth="1"/>
    <col min="6949" max="6949" width="9" style="95" bestFit="1" customWidth="1"/>
    <col min="6950" max="6950" width="13.54296875" style="95" bestFit="1" customWidth="1"/>
    <col min="6951" max="6951" width="7" style="95" bestFit="1" customWidth="1"/>
    <col min="6952" max="6952" width="8.453125" style="95" bestFit="1" customWidth="1"/>
    <col min="6953" max="6953" width="2.54296875" style="95" customWidth="1"/>
    <col min="6954" max="6954" width="23.1796875" style="95" bestFit="1" customWidth="1"/>
    <col min="6955" max="6955" width="10.81640625" style="95"/>
    <col min="6956" max="6956" width="15.1796875" style="95" bestFit="1" customWidth="1"/>
    <col min="6957" max="6957" width="16.453125" style="95" bestFit="1" customWidth="1"/>
    <col min="6958" max="7175" width="10.81640625" style="95"/>
    <col min="7176" max="7176" width="1.54296875" style="95" customWidth="1"/>
    <col min="7177" max="7177" width="13" style="95" bestFit="1" customWidth="1"/>
    <col min="7178" max="7178" width="47.453125" style="95" bestFit="1" customWidth="1"/>
    <col min="7179" max="7179" width="10.1796875" style="95" customWidth="1"/>
    <col min="7180" max="7180" width="5.54296875" style="95" bestFit="1" customWidth="1"/>
    <col min="7181" max="7181" width="16.81640625" style="95" bestFit="1" customWidth="1"/>
    <col min="7182" max="7182" width="15" style="95" customWidth="1"/>
    <col min="7183" max="7183" width="7.1796875" style="95" bestFit="1" customWidth="1"/>
    <col min="7184" max="7184" width="9.1796875" style="95" bestFit="1" customWidth="1"/>
    <col min="7185" max="7185" width="13.81640625" style="95" bestFit="1" customWidth="1"/>
    <col min="7186" max="7186" width="7.1796875" style="95" bestFit="1" customWidth="1"/>
    <col min="7187" max="7187" width="10.81640625" style="95"/>
    <col min="7188" max="7188" width="1.1796875" style="95" customWidth="1"/>
    <col min="7189" max="7189" width="5.81640625" style="95" bestFit="1" customWidth="1"/>
    <col min="7190" max="7190" width="9" style="95" bestFit="1" customWidth="1"/>
    <col min="7191" max="7191" width="13.54296875" style="95" bestFit="1" customWidth="1"/>
    <col min="7192" max="7192" width="7" style="95" bestFit="1" customWidth="1"/>
    <col min="7193" max="7193" width="2" style="95" customWidth="1"/>
    <col min="7194" max="7194" width="5.81640625" style="95" bestFit="1" customWidth="1"/>
    <col min="7195" max="7195" width="9" style="95" bestFit="1" customWidth="1"/>
    <col min="7196" max="7196" width="13.54296875" style="95" bestFit="1" customWidth="1"/>
    <col min="7197" max="7197" width="7" style="95" bestFit="1" customWidth="1"/>
    <col min="7198" max="7198" width="1.54296875" style="95" customWidth="1"/>
    <col min="7199" max="7199" width="8.453125" style="95" bestFit="1" customWidth="1"/>
    <col min="7200" max="7200" width="9" style="95" bestFit="1" customWidth="1"/>
    <col min="7201" max="7201" width="13.54296875" style="95" bestFit="1" customWidth="1"/>
    <col min="7202" max="7202" width="7" style="95" bestFit="1" customWidth="1"/>
    <col min="7203" max="7203" width="2" style="95" customWidth="1"/>
    <col min="7204" max="7204" width="8.453125" style="95" bestFit="1" customWidth="1"/>
    <col min="7205" max="7205" width="9" style="95" bestFit="1" customWidth="1"/>
    <col min="7206" max="7206" width="13.54296875" style="95" bestFit="1" customWidth="1"/>
    <col min="7207" max="7207" width="7" style="95" bestFit="1" customWidth="1"/>
    <col min="7208" max="7208" width="8.453125" style="95" bestFit="1" customWidth="1"/>
    <col min="7209" max="7209" width="2.54296875" style="95" customWidth="1"/>
    <col min="7210" max="7210" width="23.1796875" style="95" bestFit="1" customWidth="1"/>
    <col min="7211" max="7211" width="10.81640625" style="95"/>
    <col min="7212" max="7212" width="15.1796875" style="95" bestFit="1" customWidth="1"/>
    <col min="7213" max="7213" width="16.453125" style="95" bestFit="1" customWidth="1"/>
    <col min="7214" max="7431" width="10.81640625" style="95"/>
    <col min="7432" max="7432" width="1.54296875" style="95" customWidth="1"/>
    <col min="7433" max="7433" width="13" style="95" bestFit="1" customWidth="1"/>
    <col min="7434" max="7434" width="47.453125" style="95" bestFit="1" customWidth="1"/>
    <col min="7435" max="7435" width="10.1796875" style="95" customWidth="1"/>
    <col min="7436" max="7436" width="5.54296875" style="95" bestFit="1" customWidth="1"/>
    <col min="7437" max="7437" width="16.81640625" style="95" bestFit="1" customWidth="1"/>
    <col min="7438" max="7438" width="15" style="95" customWidth="1"/>
    <col min="7439" max="7439" width="7.1796875" style="95" bestFit="1" customWidth="1"/>
    <col min="7440" max="7440" width="9.1796875" style="95" bestFit="1" customWidth="1"/>
    <col min="7441" max="7441" width="13.81640625" style="95" bestFit="1" customWidth="1"/>
    <col min="7442" max="7442" width="7.1796875" style="95" bestFit="1" customWidth="1"/>
    <col min="7443" max="7443" width="10.81640625" style="95"/>
    <col min="7444" max="7444" width="1.1796875" style="95" customWidth="1"/>
    <col min="7445" max="7445" width="5.81640625" style="95" bestFit="1" customWidth="1"/>
    <col min="7446" max="7446" width="9" style="95" bestFit="1" customWidth="1"/>
    <col min="7447" max="7447" width="13.54296875" style="95" bestFit="1" customWidth="1"/>
    <col min="7448" max="7448" width="7" style="95" bestFit="1" customWidth="1"/>
    <col min="7449" max="7449" width="2" style="95" customWidth="1"/>
    <col min="7450" max="7450" width="5.81640625" style="95" bestFit="1" customWidth="1"/>
    <col min="7451" max="7451" width="9" style="95" bestFit="1" customWidth="1"/>
    <col min="7452" max="7452" width="13.54296875" style="95" bestFit="1" customWidth="1"/>
    <col min="7453" max="7453" width="7" style="95" bestFit="1" customWidth="1"/>
    <col min="7454" max="7454" width="1.54296875" style="95" customWidth="1"/>
    <col min="7455" max="7455" width="8.453125" style="95" bestFit="1" customWidth="1"/>
    <col min="7456" max="7456" width="9" style="95" bestFit="1" customWidth="1"/>
    <col min="7457" max="7457" width="13.54296875" style="95" bestFit="1" customWidth="1"/>
    <col min="7458" max="7458" width="7" style="95" bestFit="1" customWidth="1"/>
    <col min="7459" max="7459" width="2" style="95" customWidth="1"/>
    <col min="7460" max="7460" width="8.453125" style="95" bestFit="1" customWidth="1"/>
    <col min="7461" max="7461" width="9" style="95" bestFit="1" customWidth="1"/>
    <col min="7462" max="7462" width="13.54296875" style="95" bestFit="1" customWidth="1"/>
    <col min="7463" max="7463" width="7" style="95" bestFit="1" customWidth="1"/>
    <col min="7464" max="7464" width="8.453125" style="95" bestFit="1" customWidth="1"/>
    <col min="7465" max="7465" width="2.54296875" style="95" customWidth="1"/>
    <col min="7466" max="7466" width="23.1796875" style="95" bestFit="1" customWidth="1"/>
    <col min="7467" max="7467" width="10.81640625" style="95"/>
    <col min="7468" max="7468" width="15.1796875" style="95" bestFit="1" customWidth="1"/>
    <col min="7469" max="7469" width="16.453125" style="95" bestFit="1" customWidth="1"/>
    <col min="7470" max="7687" width="10.81640625" style="95"/>
    <col min="7688" max="7688" width="1.54296875" style="95" customWidth="1"/>
    <col min="7689" max="7689" width="13" style="95" bestFit="1" customWidth="1"/>
    <col min="7690" max="7690" width="47.453125" style="95" bestFit="1" customWidth="1"/>
    <col min="7691" max="7691" width="10.1796875" style="95" customWidth="1"/>
    <col min="7692" max="7692" width="5.54296875" style="95" bestFit="1" customWidth="1"/>
    <col min="7693" max="7693" width="16.81640625" style="95" bestFit="1" customWidth="1"/>
    <col min="7694" max="7694" width="15" style="95" customWidth="1"/>
    <col min="7695" max="7695" width="7.1796875" style="95" bestFit="1" customWidth="1"/>
    <col min="7696" max="7696" width="9.1796875" style="95" bestFit="1" customWidth="1"/>
    <col min="7697" max="7697" width="13.81640625" style="95" bestFit="1" customWidth="1"/>
    <col min="7698" max="7698" width="7.1796875" style="95" bestFit="1" customWidth="1"/>
    <col min="7699" max="7699" width="10.81640625" style="95"/>
    <col min="7700" max="7700" width="1.1796875" style="95" customWidth="1"/>
    <col min="7701" max="7701" width="5.81640625" style="95" bestFit="1" customWidth="1"/>
    <col min="7702" max="7702" width="9" style="95" bestFit="1" customWidth="1"/>
    <col min="7703" max="7703" width="13.54296875" style="95" bestFit="1" customWidth="1"/>
    <col min="7704" max="7704" width="7" style="95" bestFit="1" customWidth="1"/>
    <col min="7705" max="7705" width="2" style="95" customWidth="1"/>
    <col min="7706" max="7706" width="5.81640625" style="95" bestFit="1" customWidth="1"/>
    <col min="7707" max="7707" width="9" style="95" bestFit="1" customWidth="1"/>
    <col min="7708" max="7708" width="13.54296875" style="95" bestFit="1" customWidth="1"/>
    <col min="7709" max="7709" width="7" style="95" bestFit="1" customWidth="1"/>
    <col min="7710" max="7710" width="1.54296875" style="95" customWidth="1"/>
    <col min="7711" max="7711" width="8.453125" style="95" bestFit="1" customWidth="1"/>
    <col min="7712" max="7712" width="9" style="95" bestFit="1" customWidth="1"/>
    <col min="7713" max="7713" width="13.54296875" style="95" bestFit="1" customWidth="1"/>
    <col min="7714" max="7714" width="7" style="95" bestFit="1" customWidth="1"/>
    <col min="7715" max="7715" width="2" style="95" customWidth="1"/>
    <col min="7716" max="7716" width="8.453125" style="95" bestFit="1" customWidth="1"/>
    <col min="7717" max="7717" width="9" style="95" bestFit="1" customWidth="1"/>
    <col min="7718" max="7718" width="13.54296875" style="95" bestFit="1" customWidth="1"/>
    <col min="7719" max="7719" width="7" style="95" bestFit="1" customWidth="1"/>
    <col min="7720" max="7720" width="8.453125" style="95" bestFit="1" customWidth="1"/>
    <col min="7721" max="7721" width="2.54296875" style="95" customWidth="1"/>
    <col min="7722" max="7722" width="23.1796875" style="95" bestFit="1" customWidth="1"/>
    <col min="7723" max="7723" width="10.81640625" style="95"/>
    <col min="7724" max="7724" width="15.1796875" style="95" bestFit="1" customWidth="1"/>
    <col min="7725" max="7725" width="16.453125" style="95" bestFit="1" customWidth="1"/>
    <col min="7726" max="7943" width="10.81640625" style="95"/>
    <col min="7944" max="7944" width="1.54296875" style="95" customWidth="1"/>
    <col min="7945" max="7945" width="13" style="95" bestFit="1" customWidth="1"/>
    <col min="7946" max="7946" width="47.453125" style="95" bestFit="1" customWidth="1"/>
    <col min="7947" max="7947" width="10.1796875" style="95" customWidth="1"/>
    <col min="7948" max="7948" width="5.54296875" style="95" bestFit="1" customWidth="1"/>
    <col min="7949" max="7949" width="16.81640625" style="95" bestFit="1" customWidth="1"/>
    <col min="7950" max="7950" width="15" style="95" customWidth="1"/>
    <col min="7951" max="7951" width="7.1796875" style="95" bestFit="1" customWidth="1"/>
    <col min="7952" max="7952" width="9.1796875" style="95" bestFit="1" customWidth="1"/>
    <col min="7953" max="7953" width="13.81640625" style="95" bestFit="1" customWidth="1"/>
    <col min="7954" max="7954" width="7.1796875" style="95" bestFit="1" customWidth="1"/>
    <col min="7955" max="7955" width="10.81640625" style="95"/>
    <col min="7956" max="7956" width="1.1796875" style="95" customWidth="1"/>
    <col min="7957" max="7957" width="5.81640625" style="95" bestFit="1" customWidth="1"/>
    <col min="7958" max="7958" width="9" style="95" bestFit="1" customWidth="1"/>
    <col min="7959" max="7959" width="13.54296875" style="95" bestFit="1" customWidth="1"/>
    <col min="7960" max="7960" width="7" style="95" bestFit="1" customWidth="1"/>
    <col min="7961" max="7961" width="2" style="95" customWidth="1"/>
    <col min="7962" max="7962" width="5.81640625" style="95" bestFit="1" customWidth="1"/>
    <col min="7963" max="7963" width="9" style="95" bestFit="1" customWidth="1"/>
    <col min="7964" max="7964" width="13.54296875" style="95" bestFit="1" customWidth="1"/>
    <col min="7965" max="7965" width="7" style="95" bestFit="1" customWidth="1"/>
    <col min="7966" max="7966" width="1.54296875" style="95" customWidth="1"/>
    <col min="7967" max="7967" width="8.453125" style="95" bestFit="1" customWidth="1"/>
    <col min="7968" max="7968" width="9" style="95" bestFit="1" customWidth="1"/>
    <col min="7969" max="7969" width="13.54296875" style="95" bestFit="1" customWidth="1"/>
    <col min="7970" max="7970" width="7" style="95" bestFit="1" customWidth="1"/>
    <col min="7971" max="7971" width="2" style="95" customWidth="1"/>
    <col min="7972" max="7972" width="8.453125" style="95" bestFit="1" customWidth="1"/>
    <col min="7973" max="7973" width="9" style="95" bestFit="1" customWidth="1"/>
    <col min="7974" max="7974" width="13.54296875" style="95" bestFit="1" customWidth="1"/>
    <col min="7975" max="7975" width="7" style="95" bestFit="1" customWidth="1"/>
    <col min="7976" max="7976" width="8.453125" style="95" bestFit="1" customWidth="1"/>
    <col min="7977" max="7977" width="2.54296875" style="95" customWidth="1"/>
    <col min="7978" max="7978" width="23.1796875" style="95" bestFit="1" customWidth="1"/>
    <col min="7979" max="7979" width="10.81640625" style="95"/>
    <col min="7980" max="7980" width="15.1796875" style="95" bestFit="1" customWidth="1"/>
    <col min="7981" max="7981" width="16.453125" style="95" bestFit="1" customWidth="1"/>
    <col min="7982" max="8199" width="10.81640625" style="95"/>
    <col min="8200" max="8200" width="1.54296875" style="95" customWidth="1"/>
    <col min="8201" max="8201" width="13" style="95" bestFit="1" customWidth="1"/>
    <col min="8202" max="8202" width="47.453125" style="95" bestFit="1" customWidth="1"/>
    <col min="8203" max="8203" width="10.1796875" style="95" customWidth="1"/>
    <col min="8204" max="8204" width="5.54296875" style="95" bestFit="1" customWidth="1"/>
    <col min="8205" max="8205" width="16.81640625" style="95" bestFit="1" customWidth="1"/>
    <col min="8206" max="8206" width="15" style="95" customWidth="1"/>
    <col min="8207" max="8207" width="7.1796875" style="95" bestFit="1" customWidth="1"/>
    <col min="8208" max="8208" width="9.1796875" style="95" bestFit="1" customWidth="1"/>
    <col min="8209" max="8209" width="13.81640625" style="95" bestFit="1" customWidth="1"/>
    <col min="8210" max="8210" width="7.1796875" style="95" bestFit="1" customWidth="1"/>
    <col min="8211" max="8211" width="10.81640625" style="95"/>
    <col min="8212" max="8212" width="1.1796875" style="95" customWidth="1"/>
    <col min="8213" max="8213" width="5.81640625" style="95" bestFit="1" customWidth="1"/>
    <col min="8214" max="8214" width="9" style="95" bestFit="1" customWidth="1"/>
    <col min="8215" max="8215" width="13.54296875" style="95" bestFit="1" customWidth="1"/>
    <col min="8216" max="8216" width="7" style="95" bestFit="1" customWidth="1"/>
    <col min="8217" max="8217" width="2" style="95" customWidth="1"/>
    <col min="8218" max="8218" width="5.81640625" style="95" bestFit="1" customWidth="1"/>
    <col min="8219" max="8219" width="9" style="95" bestFit="1" customWidth="1"/>
    <col min="8220" max="8220" width="13.54296875" style="95" bestFit="1" customWidth="1"/>
    <col min="8221" max="8221" width="7" style="95" bestFit="1" customWidth="1"/>
    <col min="8222" max="8222" width="1.54296875" style="95" customWidth="1"/>
    <col min="8223" max="8223" width="8.453125" style="95" bestFit="1" customWidth="1"/>
    <col min="8224" max="8224" width="9" style="95" bestFit="1" customWidth="1"/>
    <col min="8225" max="8225" width="13.54296875" style="95" bestFit="1" customWidth="1"/>
    <col min="8226" max="8226" width="7" style="95" bestFit="1" customWidth="1"/>
    <col min="8227" max="8227" width="2" style="95" customWidth="1"/>
    <col min="8228" max="8228" width="8.453125" style="95" bestFit="1" customWidth="1"/>
    <col min="8229" max="8229" width="9" style="95" bestFit="1" customWidth="1"/>
    <col min="8230" max="8230" width="13.54296875" style="95" bestFit="1" customWidth="1"/>
    <col min="8231" max="8231" width="7" style="95" bestFit="1" customWidth="1"/>
    <col min="8232" max="8232" width="8.453125" style="95" bestFit="1" customWidth="1"/>
    <col min="8233" max="8233" width="2.54296875" style="95" customWidth="1"/>
    <col min="8234" max="8234" width="23.1796875" style="95" bestFit="1" customWidth="1"/>
    <col min="8235" max="8235" width="10.81640625" style="95"/>
    <col min="8236" max="8236" width="15.1796875" style="95" bestFit="1" customWidth="1"/>
    <col min="8237" max="8237" width="16.453125" style="95" bestFit="1" customWidth="1"/>
    <col min="8238" max="8455" width="10.81640625" style="95"/>
    <col min="8456" max="8456" width="1.54296875" style="95" customWidth="1"/>
    <col min="8457" max="8457" width="13" style="95" bestFit="1" customWidth="1"/>
    <col min="8458" max="8458" width="47.453125" style="95" bestFit="1" customWidth="1"/>
    <col min="8459" max="8459" width="10.1796875" style="95" customWidth="1"/>
    <col min="8460" max="8460" width="5.54296875" style="95" bestFit="1" customWidth="1"/>
    <col min="8461" max="8461" width="16.81640625" style="95" bestFit="1" customWidth="1"/>
    <col min="8462" max="8462" width="15" style="95" customWidth="1"/>
    <col min="8463" max="8463" width="7.1796875" style="95" bestFit="1" customWidth="1"/>
    <col min="8464" max="8464" width="9.1796875" style="95" bestFit="1" customWidth="1"/>
    <col min="8465" max="8465" width="13.81640625" style="95" bestFit="1" customWidth="1"/>
    <col min="8466" max="8466" width="7.1796875" style="95" bestFit="1" customWidth="1"/>
    <col min="8467" max="8467" width="10.81640625" style="95"/>
    <col min="8468" max="8468" width="1.1796875" style="95" customWidth="1"/>
    <col min="8469" max="8469" width="5.81640625" style="95" bestFit="1" customWidth="1"/>
    <col min="8470" max="8470" width="9" style="95" bestFit="1" customWidth="1"/>
    <col min="8471" max="8471" width="13.54296875" style="95" bestFit="1" customWidth="1"/>
    <col min="8472" max="8472" width="7" style="95" bestFit="1" customWidth="1"/>
    <col min="8473" max="8473" width="2" style="95" customWidth="1"/>
    <col min="8474" max="8474" width="5.81640625" style="95" bestFit="1" customWidth="1"/>
    <col min="8475" max="8475" width="9" style="95" bestFit="1" customWidth="1"/>
    <col min="8476" max="8476" width="13.54296875" style="95" bestFit="1" customWidth="1"/>
    <col min="8477" max="8477" width="7" style="95" bestFit="1" customWidth="1"/>
    <col min="8478" max="8478" width="1.54296875" style="95" customWidth="1"/>
    <col min="8479" max="8479" width="8.453125" style="95" bestFit="1" customWidth="1"/>
    <col min="8480" max="8480" width="9" style="95" bestFit="1" customWidth="1"/>
    <col min="8481" max="8481" width="13.54296875" style="95" bestFit="1" customWidth="1"/>
    <col min="8482" max="8482" width="7" style="95" bestFit="1" customWidth="1"/>
    <col min="8483" max="8483" width="2" style="95" customWidth="1"/>
    <col min="8484" max="8484" width="8.453125" style="95" bestFit="1" customWidth="1"/>
    <col min="8485" max="8485" width="9" style="95" bestFit="1" customWidth="1"/>
    <col min="8486" max="8486" width="13.54296875" style="95" bestFit="1" customWidth="1"/>
    <col min="8487" max="8487" width="7" style="95" bestFit="1" customWidth="1"/>
    <col min="8488" max="8488" width="8.453125" style="95" bestFit="1" customWidth="1"/>
    <col min="8489" max="8489" width="2.54296875" style="95" customWidth="1"/>
    <col min="8490" max="8490" width="23.1796875" style="95" bestFit="1" customWidth="1"/>
    <col min="8491" max="8491" width="10.81640625" style="95"/>
    <col min="8492" max="8492" width="15.1796875" style="95" bestFit="1" customWidth="1"/>
    <col min="8493" max="8493" width="16.453125" style="95" bestFit="1" customWidth="1"/>
    <col min="8494" max="8711" width="10.81640625" style="95"/>
    <col min="8712" max="8712" width="1.54296875" style="95" customWidth="1"/>
    <col min="8713" max="8713" width="13" style="95" bestFit="1" customWidth="1"/>
    <col min="8714" max="8714" width="47.453125" style="95" bestFit="1" customWidth="1"/>
    <col min="8715" max="8715" width="10.1796875" style="95" customWidth="1"/>
    <col min="8716" max="8716" width="5.54296875" style="95" bestFit="1" customWidth="1"/>
    <col min="8717" max="8717" width="16.81640625" style="95" bestFit="1" customWidth="1"/>
    <col min="8718" max="8718" width="15" style="95" customWidth="1"/>
    <col min="8719" max="8719" width="7.1796875" style="95" bestFit="1" customWidth="1"/>
    <col min="8720" max="8720" width="9.1796875" style="95" bestFit="1" customWidth="1"/>
    <col min="8721" max="8721" width="13.81640625" style="95" bestFit="1" customWidth="1"/>
    <col min="8722" max="8722" width="7.1796875" style="95" bestFit="1" customWidth="1"/>
    <col min="8723" max="8723" width="10.81640625" style="95"/>
    <col min="8724" max="8724" width="1.1796875" style="95" customWidth="1"/>
    <col min="8725" max="8725" width="5.81640625" style="95" bestFit="1" customWidth="1"/>
    <col min="8726" max="8726" width="9" style="95" bestFit="1" customWidth="1"/>
    <col min="8727" max="8727" width="13.54296875" style="95" bestFit="1" customWidth="1"/>
    <col min="8728" max="8728" width="7" style="95" bestFit="1" customWidth="1"/>
    <col min="8729" max="8729" width="2" style="95" customWidth="1"/>
    <col min="8730" max="8730" width="5.81640625" style="95" bestFit="1" customWidth="1"/>
    <col min="8731" max="8731" width="9" style="95" bestFit="1" customWidth="1"/>
    <col min="8732" max="8732" width="13.54296875" style="95" bestFit="1" customWidth="1"/>
    <col min="8733" max="8733" width="7" style="95" bestFit="1" customWidth="1"/>
    <col min="8734" max="8734" width="1.54296875" style="95" customWidth="1"/>
    <col min="8735" max="8735" width="8.453125" style="95" bestFit="1" customWidth="1"/>
    <col min="8736" max="8736" width="9" style="95" bestFit="1" customWidth="1"/>
    <col min="8737" max="8737" width="13.54296875" style="95" bestFit="1" customWidth="1"/>
    <col min="8738" max="8738" width="7" style="95" bestFit="1" customWidth="1"/>
    <col min="8739" max="8739" width="2" style="95" customWidth="1"/>
    <col min="8740" max="8740" width="8.453125" style="95" bestFit="1" customWidth="1"/>
    <col min="8741" max="8741" width="9" style="95" bestFit="1" customWidth="1"/>
    <col min="8742" max="8742" width="13.54296875" style="95" bestFit="1" customWidth="1"/>
    <col min="8743" max="8743" width="7" style="95" bestFit="1" customWidth="1"/>
    <col min="8744" max="8744" width="8.453125" style="95" bestFit="1" customWidth="1"/>
    <col min="8745" max="8745" width="2.54296875" style="95" customWidth="1"/>
    <col min="8746" max="8746" width="23.1796875" style="95" bestFit="1" customWidth="1"/>
    <col min="8747" max="8747" width="10.81640625" style="95"/>
    <col min="8748" max="8748" width="15.1796875" style="95" bestFit="1" customWidth="1"/>
    <col min="8749" max="8749" width="16.453125" style="95" bestFit="1" customWidth="1"/>
    <col min="8750" max="8967" width="10.81640625" style="95"/>
    <col min="8968" max="8968" width="1.54296875" style="95" customWidth="1"/>
    <col min="8969" max="8969" width="13" style="95" bestFit="1" customWidth="1"/>
    <col min="8970" max="8970" width="47.453125" style="95" bestFit="1" customWidth="1"/>
    <col min="8971" max="8971" width="10.1796875" style="95" customWidth="1"/>
    <col min="8972" max="8972" width="5.54296875" style="95" bestFit="1" customWidth="1"/>
    <col min="8973" max="8973" width="16.81640625" style="95" bestFit="1" customWidth="1"/>
    <col min="8974" max="8974" width="15" style="95" customWidth="1"/>
    <col min="8975" max="8975" width="7.1796875" style="95" bestFit="1" customWidth="1"/>
    <col min="8976" max="8976" width="9.1796875" style="95" bestFit="1" customWidth="1"/>
    <col min="8977" max="8977" width="13.81640625" style="95" bestFit="1" customWidth="1"/>
    <col min="8978" max="8978" width="7.1796875" style="95" bestFit="1" customWidth="1"/>
    <col min="8979" max="8979" width="10.81640625" style="95"/>
    <col min="8980" max="8980" width="1.1796875" style="95" customWidth="1"/>
    <col min="8981" max="8981" width="5.81640625" style="95" bestFit="1" customWidth="1"/>
    <col min="8982" max="8982" width="9" style="95" bestFit="1" customWidth="1"/>
    <col min="8983" max="8983" width="13.54296875" style="95" bestFit="1" customWidth="1"/>
    <col min="8984" max="8984" width="7" style="95" bestFit="1" customWidth="1"/>
    <col min="8985" max="8985" width="2" style="95" customWidth="1"/>
    <col min="8986" max="8986" width="5.81640625" style="95" bestFit="1" customWidth="1"/>
    <col min="8987" max="8987" width="9" style="95" bestFit="1" customWidth="1"/>
    <col min="8988" max="8988" width="13.54296875" style="95" bestFit="1" customWidth="1"/>
    <col min="8989" max="8989" width="7" style="95" bestFit="1" customWidth="1"/>
    <col min="8990" max="8990" width="1.54296875" style="95" customWidth="1"/>
    <col min="8991" max="8991" width="8.453125" style="95" bestFit="1" customWidth="1"/>
    <col min="8992" max="8992" width="9" style="95" bestFit="1" customWidth="1"/>
    <col min="8993" max="8993" width="13.54296875" style="95" bestFit="1" customWidth="1"/>
    <col min="8994" max="8994" width="7" style="95" bestFit="1" customWidth="1"/>
    <col min="8995" max="8995" width="2" style="95" customWidth="1"/>
    <col min="8996" max="8996" width="8.453125" style="95" bestFit="1" customWidth="1"/>
    <col min="8997" max="8997" width="9" style="95" bestFit="1" customWidth="1"/>
    <col min="8998" max="8998" width="13.54296875" style="95" bestFit="1" customWidth="1"/>
    <col min="8999" max="8999" width="7" style="95" bestFit="1" customWidth="1"/>
    <col min="9000" max="9000" width="8.453125" style="95" bestFit="1" customWidth="1"/>
    <col min="9001" max="9001" width="2.54296875" style="95" customWidth="1"/>
    <col min="9002" max="9002" width="23.1796875" style="95" bestFit="1" customWidth="1"/>
    <col min="9003" max="9003" width="10.81640625" style="95"/>
    <col min="9004" max="9004" width="15.1796875" style="95" bestFit="1" customWidth="1"/>
    <col min="9005" max="9005" width="16.453125" style="95" bestFit="1" customWidth="1"/>
    <col min="9006" max="9223" width="10.81640625" style="95"/>
    <col min="9224" max="9224" width="1.54296875" style="95" customWidth="1"/>
    <col min="9225" max="9225" width="13" style="95" bestFit="1" customWidth="1"/>
    <col min="9226" max="9226" width="47.453125" style="95" bestFit="1" customWidth="1"/>
    <col min="9227" max="9227" width="10.1796875" style="95" customWidth="1"/>
    <col min="9228" max="9228" width="5.54296875" style="95" bestFit="1" customWidth="1"/>
    <col min="9229" max="9229" width="16.81640625" style="95" bestFit="1" customWidth="1"/>
    <col min="9230" max="9230" width="15" style="95" customWidth="1"/>
    <col min="9231" max="9231" width="7.1796875" style="95" bestFit="1" customWidth="1"/>
    <col min="9232" max="9232" width="9.1796875" style="95" bestFit="1" customWidth="1"/>
    <col min="9233" max="9233" width="13.81640625" style="95" bestFit="1" customWidth="1"/>
    <col min="9234" max="9234" width="7.1796875" style="95" bestFit="1" customWidth="1"/>
    <col min="9235" max="9235" width="10.81640625" style="95"/>
    <col min="9236" max="9236" width="1.1796875" style="95" customWidth="1"/>
    <col min="9237" max="9237" width="5.81640625" style="95" bestFit="1" customWidth="1"/>
    <col min="9238" max="9238" width="9" style="95" bestFit="1" customWidth="1"/>
    <col min="9239" max="9239" width="13.54296875" style="95" bestFit="1" customWidth="1"/>
    <col min="9240" max="9240" width="7" style="95" bestFit="1" customWidth="1"/>
    <col min="9241" max="9241" width="2" style="95" customWidth="1"/>
    <col min="9242" max="9242" width="5.81640625" style="95" bestFit="1" customWidth="1"/>
    <col min="9243" max="9243" width="9" style="95" bestFit="1" customWidth="1"/>
    <col min="9244" max="9244" width="13.54296875" style="95" bestFit="1" customWidth="1"/>
    <col min="9245" max="9245" width="7" style="95" bestFit="1" customWidth="1"/>
    <col min="9246" max="9246" width="1.54296875" style="95" customWidth="1"/>
    <col min="9247" max="9247" width="8.453125" style="95" bestFit="1" customWidth="1"/>
    <col min="9248" max="9248" width="9" style="95" bestFit="1" customWidth="1"/>
    <col min="9249" max="9249" width="13.54296875" style="95" bestFit="1" customWidth="1"/>
    <col min="9250" max="9250" width="7" style="95" bestFit="1" customWidth="1"/>
    <col min="9251" max="9251" width="2" style="95" customWidth="1"/>
    <col min="9252" max="9252" width="8.453125" style="95" bestFit="1" customWidth="1"/>
    <col min="9253" max="9253" width="9" style="95" bestFit="1" customWidth="1"/>
    <col min="9254" max="9254" width="13.54296875" style="95" bestFit="1" customWidth="1"/>
    <col min="9255" max="9255" width="7" style="95" bestFit="1" customWidth="1"/>
    <col min="9256" max="9256" width="8.453125" style="95" bestFit="1" customWidth="1"/>
    <col min="9257" max="9257" width="2.54296875" style="95" customWidth="1"/>
    <col min="9258" max="9258" width="23.1796875" style="95" bestFit="1" customWidth="1"/>
    <col min="9259" max="9259" width="10.81640625" style="95"/>
    <col min="9260" max="9260" width="15.1796875" style="95" bestFit="1" customWidth="1"/>
    <col min="9261" max="9261" width="16.453125" style="95" bestFit="1" customWidth="1"/>
    <col min="9262" max="9479" width="10.81640625" style="95"/>
    <col min="9480" max="9480" width="1.54296875" style="95" customWidth="1"/>
    <col min="9481" max="9481" width="13" style="95" bestFit="1" customWidth="1"/>
    <col min="9482" max="9482" width="47.453125" style="95" bestFit="1" customWidth="1"/>
    <col min="9483" max="9483" width="10.1796875" style="95" customWidth="1"/>
    <col min="9484" max="9484" width="5.54296875" style="95" bestFit="1" customWidth="1"/>
    <col min="9485" max="9485" width="16.81640625" style="95" bestFit="1" customWidth="1"/>
    <col min="9486" max="9486" width="15" style="95" customWidth="1"/>
    <col min="9487" max="9487" width="7.1796875" style="95" bestFit="1" customWidth="1"/>
    <col min="9488" max="9488" width="9.1796875" style="95" bestFit="1" customWidth="1"/>
    <col min="9489" max="9489" width="13.81640625" style="95" bestFit="1" customWidth="1"/>
    <col min="9490" max="9490" width="7.1796875" style="95" bestFit="1" customWidth="1"/>
    <col min="9491" max="9491" width="10.81640625" style="95"/>
    <col min="9492" max="9492" width="1.1796875" style="95" customWidth="1"/>
    <col min="9493" max="9493" width="5.81640625" style="95" bestFit="1" customWidth="1"/>
    <col min="9494" max="9494" width="9" style="95" bestFit="1" customWidth="1"/>
    <col min="9495" max="9495" width="13.54296875" style="95" bestFit="1" customWidth="1"/>
    <col min="9496" max="9496" width="7" style="95" bestFit="1" customWidth="1"/>
    <col min="9497" max="9497" width="2" style="95" customWidth="1"/>
    <col min="9498" max="9498" width="5.81640625" style="95" bestFit="1" customWidth="1"/>
    <col min="9499" max="9499" width="9" style="95" bestFit="1" customWidth="1"/>
    <col min="9500" max="9500" width="13.54296875" style="95" bestFit="1" customWidth="1"/>
    <col min="9501" max="9501" width="7" style="95" bestFit="1" customWidth="1"/>
    <col min="9502" max="9502" width="1.54296875" style="95" customWidth="1"/>
    <col min="9503" max="9503" width="8.453125" style="95" bestFit="1" customWidth="1"/>
    <col min="9504" max="9504" width="9" style="95" bestFit="1" customWidth="1"/>
    <col min="9505" max="9505" width="13.54296875" style="95" bestFit="1" customWidth="1"/>
    <col min="9506" max="9506" width="7" style="95" bestFit="1" customWidth="1"/>
    <col min="9507" max="9507" width="2" style="95" customWidth="1"/>
    <col min="9508" max="9508" width="8.453125" style="95" bestFit="1" customWidth="1"/>
    <col min="9509" max="9509" width="9" style="95" bestFit="1" customWidth="1"/>
    <col min="9510" max="9510" width="13.54296875" style="95" bestFit="1" customWidth="1"/>
    <col min="9511" max="9511" width="7" style="95" bestFit="1" customWidth="1"/>
    <col min="9512" max="9512" width="8.453125" style="95" bestFit="1" customWidth="1"/>
    <col min="9513" max="9513" width="2.54296875" style="95" customWidth="1"/>
    <col min="9514" max="9514" width="23.1796875" style="95" bestFit="1" customWidth="1"/>
    <col min="9515" max="9515" width="10.81640625" style="95"/>
    <col min="9516" max="9516" width="15.1796875" style="95" bestFit="1" customWidth="1"/>
    <col min="9517" max="9517" width="16.453125" style="95" bestFit="1" customWidth="1"/>
    <col min="9518" max="9735" width="10.81640625" style="95"/>
    <col min="9736" max="9736" width="1.54296875" style="95" customWidth="1"/>
    <col min="9737" max="9737" width="13" style="95" bestFit="1" customWidth="1"/>
    <col min="9738" max="9738" width="47.453125" style="95" bestFit="1" customWidth="1"/>
    <col min="9739" max="9739" width="10.1796875" style="95" customWidth="1"/>
    <col min="9740" max="9740" width="5.54296875" style="95" bestFit="1" customWidth="1"/>
    <col min="9741" max="9741" width="16.81640625" style="95" bestFit="1" customWidth="1"/>
    <col min="9742" max="9742" width="15" style="95" customWidth="1"/>
    <col min="9743" max="9743" width="7.1796875" style="95" bestFit="1" customWidth="1"/>
    <col min="9744" max="9744" width="9.1796875" style="95" bestFit="1" customWidth="1"/>
    <col min="9745" max="9745" width="13.81640625" style="95" bestFit="1" customWidth="1"/>
    <col min="9746" max="9746" width="7.1796875" style="95" bestFit="1" customWidth="1"/>
    <col min="9747" max="9747" width="10.81640625" style="95"/>
    <col min="9748" max="9748" width="1.1796875" style="95" customWidth="1"/>
    <col min="9749" max="9749" width="5.81640625" style="95" bestFit="1" customWidth="1"/>
    <col min="9750" max="9750" width="9" style="95" bestFit="1" customWidth="1"/>
    <col min="9751" max="9751" width="13.54296875" style="95" bestFit="1" customWidth="1"/>
    <col min="9752" max="9752" width="7" style="95" bestFit="1" customWidth="1"/>
    <col min="9753" max="9753" width="2" style="95" customWidth="1"/>
    <col min="9754" max="9754" width="5.81640625" style="95" bestFit="1" customWidth="1"/>
    <col min="9755" max="9755" width="9" style="95" bestFit="1" customWidth="1"/>
    <col min="9756" max="9756" width="13.54296875" style="95" bestFit="1" customWidth="1"/>
    <col min="9757" max="9757" width="7" style="95" bestFit="1" customWidth="1"/>
    <col min="9758" max="9758" width="1.54296875" style="95" customWidth="1"/>
    <col min="9759" max="9759" width="8.453125" style="95" bestFit="1" customWidth="1"/>
    <col min="9760" max="9760" width="9" style="95" bestFit="1" customWidth="1"/>
    <col min="9761" max="9761" width="13.54296875" style="95" bestFit="1" customWidth="1"/>
    <col min="9762" max="9762" width="7" style="95" bestFit="1" customWidth="1"/>
    <col min="9763" max="9763" width="2" style="95" customWidth="1"/>
    <col min="9764" max="9764" width="8.453125" style="95" bestFit="1" customWidth="1"/>
    <col min="9765" max="9765" width="9" style="95" bestFit="1" customWidth="1"/>
    <col min="9766" max="9766" width="13.54296875" style="95" bestFit="1" customWidth="1"/>
    <col min="9767" max="9767" width="7" style="95" bestFit="1" customWidth="1"/>
    <col min="9768" max="9768" width="8.453125" style="95" bestFit="1" customWidth="1"/>
    <col min="9769" max="9769" width="2.54296875" style="95" customWidth="1"/>
    <col min="9770" max="9770" width="23.1796875" style="95" bestFit="1" customWidth="1"/>
    <col min="9771" max="9771" width="10.81640625" style="95"/>
    <col min="9772" max="9772" width="15.1796875" style="95" bestFit="1" customWidth="1"/>
    <col min="9773" max="9773" width="16.453125" style="95" bestFit="1" customWidth="1"/>
    <col min="9774" max="9991" width="10.81640625" style="95"/>
    <col min="9992" max="9992" width="1.54296875" style="95" customWidth="1"/>
    <col min="9993" max="9993" width="13" style="95" bestFit="1" customWidth="1"/>
    <col min="9994" max="9994" width="47.453125" style="95" bestFit="1" customWidth="1"/>
    <col min="9995" max="9995" width="10.1796875" style="95" customWidth="1"/>
    <col min="9996" max="9996" width="5.54296875" style="95" bestFit="1" customWidth="1"/>
    <col min="9997" max="9997" width="16.81640625" style="95" bestFit="1" customWidth="1"/>
    <col min="9998" max="9998" width="15" style="95" customWidth="1"/>
    <col min="9999" max="9999" width="7.1796875" style="95" bestFit="1" customWidth="1"/>
    <col min="10000" max="10000" width="9.1796875" style="95" bestFit="1" customWidth="1"/>
    <col min="10001" max="10001" width="13.81640625" style="95" bestFit="1" customWidth="1"/>
    <col min="10002" max="10002" width="7.1796875" style="95" bestFit="1" customWidth="1"/>
    <col min="10003" max="10003" width="10.81640625" style="95"/>
    <col min="10004" max="10004" width="1.1796875" style="95" customWidth="1"/>
    <col min="10005" max="10005" width="5.81640625" style="95" bestFit="1" customWidth="1"/>
    <col min="10006" max="10006" width="9" style="95" bestFit="1" customWidth="1"/>
    <col min="10007" max="10007" width="13.54296875" style="95" bestFit="1" customWidth="1"/>
    <col min="10008" max="10008" width="7" style="95" bestFit="1" customWidth="1"/>
    <col min="10009" max="10009" width="2" style="95" customWidth="1"/>
    <col min="10010" max="10010" width="5.81640625" style="95" bestFit="1" customWidth="1"/>
    <col min="10011" max="10011" width="9" style="95" bestFit="1" customWidth="1"/>
    <col min="10012" max="10012" width="13.54296875" style="95" bestFit="1" customWidth="1"/>
    <col min="10013" max="10013" width="7" style="95" bestFit="1" customWidth="1"/>
    <col min="10014" max="10014" width="1.54296875" style="95" customWidth="1"/>
    <col min="10015" max="10015" width="8.453125" style="95" bestFit="1" customWidth="1"/>
    <col min="10016" max="10016" width="9" style="95" bestFit="1" customWidth="1"/>
    <col min="10017" max="10017" width="13.54296875" style="95" bestFit="1" customWidth="1"/>
    <col min="10018" max="10018" width="7" style="95" bestFit="1" customWidth="1"/>
    <col min="10019" max="10019" width="2" style="95" customWidth="1"/>
    <col min="10020" max="10020" width="8.453125" style="95" bestFit="1" customWidth="1"/>
    <col min="10021" max="10021" width="9" style="95" bestFit="1" customWidth="1"/>
    <col min="10022" max="10022" width="13.54296875" style="95" bestFit="1" customWidth="1"/>
    <col min="10023" max="10023" width="7" style="95" bestFit="1" customWidth="1"/>
    <col min="10024" max="10024" width="8.453125" style="95" bestFit="1" customWidth="1"/>
    <col min="10025" max="10025" width="2.54296875" style="95" customWidth="1"/>
    <col min="10026" max="10026" width="23.1796875" style="95" bestFit="1" customWidth="1"/>
    <col min="10027" max="10027" width="10.81640625" style="95"/>
    <col min="10028" max="10028" width="15.1796875" style="95" bestFit="1" customWidth="1"/>
    <col min="10029" max="10029" width="16.453125" style="95" bestFit="1" customWidth="1"/>
    <col min="10030" max="10247" width="10.81640625" style="95"/>
    <col min="10248" max="10248" width="1.54296875" style="95" customWidth="1"/>
    <col min="10249" max="10249" width="13" style="95" bestFit="1" customWidth="1"/>
    <col min="10250" max="10250" width="47.453125" style="95" bestFit="1" customWidth="1"/>
    <col min="10251" max="10251" width="10.1796875" style="95" customWidth="1"/>
    <col min="10252" max="10252" width="5.54296875" style="95" bestFit="1" customWidth="1"/>
    <col min="10253" max="10253" width="16.81640625" style="95" bestFit="1" customWidth="1"/>
    <col min="10254" max="10254" width="15" style="95" customWidth="1"/>
    <col min="10255" max="10255" width="7.1796875" style="95" bestFit="1" customWidth="1"/>
    <col min="10256" max="10256" width="9.1796875" style="95" bestFit="1" customWidth="1"/>
    <col min="10257" max="10257" width="13.81640625" style="95" bestFit="1" customWidth="1"/>
    <col min="10258" max="10258" width="7.1796875" style="95" bestFit="1" customWidth="1"/>
    <col min="10259" max="10259" width="10.81640625" style="95"/>
    <col min="10260" max="10260" width="1.1796875" style="95" customWidth="1"/>
    <col min="10261" max="10261" width="5.81640625" style="95" bestFit="1" customWidth="1"/>
    <col min="10262" max="10262" width="9" style="95" bestFit="1" customWidth="1"/>
    <col min="10263" max="10263" width="13.54296875" style="95" bestFit="1" customWidth="1"/>
    <col min="10264" max="10264" width="7" style="95" bestFit="1" customWidth="1"/>
    <col min="10265" max="10265" width="2" style="95" customWidth="1"/>
    <col min="10266" max="10266" width="5.81640625" style="95" bestFit="1" customWidth="1"/>
    <col min="10267" max="10267" width="9" style="95" bestFit="1" customWidth="1"/>
    <col min="10268" max="10268" width="13.54296875" style="95" bestFit="1" customWidth="1"/>
    <col min="10269" max="10269" width="7" style="95" bestFit="1" customWidth="1"/>
    <col min="10270" max="10270" width="1.54296875" style="95" customWidth="1"/>
    <col min="10271" max="10271" width="8.453125" style="95" bestFit="1" customWidth="1"/>
    <col min="10272" max="10272" width="9" style="95" bestFit="1" customWidth="1"/>
    <col min="10273" max="10273" width="13.54296875" style="95" bestFit="1" customWidth="1"/>
    <col min="10274" max="10274" width="7" style="95" bestFit="1" customWidth="1"/>
    <col min="10275" max="10275" width="2" style="95" customWidth="1"/>
    <col min="10276" max="10276" width="8.453125" style="95" bestFit="1" customWidth="1"/>
    <col min="10277" max="10277" width="9" style="95" bestFit="1" customWidth="1"/>
    <col min="10278" max="10278" width="13.54296875" style="95" bestFit="1" customWidth="1"/>
    <col min="10279" max="10279" width="7" style="95" bestFit="1" customWidth="1"/>
    <col min="10280" max="10280" width="8.453125" style="95" bestFit="1" customWidth="1"/>
    <col min="10281" max="10281" width="2.54296875" style="95" customWidth="1"/>
    <col min="10282" max="10282" width="23.1796875" style="95" bestFit="1" customWidth="1"/>
    <col min="10283" max="10283" width="10.81640625" style="95"/>
    <col min="10284" max="10284" width="15.1796875" style="95" bestFit="1" customWidth="1"/>
    <col min="10285" max="10285" width="16.453125" style="95" bestFit="1" customWidth="1"/>
    <col min="10286" max="10503" width="10.81640625" style="95"/>
    <col min="10504" max="10504" width="1.54296875" style="95" customWidth="1"/>
    <col min="10505" max="10505" width="13" style="95" bestFit="1" customWidth="1"/>
    <col min="10506" max="10506" width="47.453125" style="95" bestFit="1" customWidth="1"/>
    <col min="10507" max="10507" width="10.1796875" style="95" customWidth="1"/>
    <col min="10508" max="10508" width="5.54296875" style="95" bestFit="1" customWidth="1"/>
    <col min="10509" max="10509" width="16.81640625" style="95" bestFit="1" customWidth="1"/>
    <col min="10510" max="10510" width="15" style="95" customWidth="1"/>
    <col min="10511" max="10511" width="7.1796875" style="95" bestFit="1" customWidth="1"/>
    <col min="10512" max="10512" width="9.1796875" style="95" bestFit="1" customWidth="1"/>
    <col min="10513" max="10513" width="13.81640625" style="95" bestFit="1" customWidth="1"/>
    <col min="10514" max="10514" width="7.1796875" style="95" bestFit="1" customWidth="1"/>
    <col min="10515" max="10515" width="10.81640625" style="95"/>
    <col min="10516" max="10516" width="1.1796875" style="95" customWidth="1"/>
    <col min="10517" max="10517" width="5.81640625" style="95" bestFit="1" customWidth="1"/>
    <col min="10518" max="10518" width="9" style="95" bestFit="1" customWidth="1"/>
    <col min="10519" max="10519" width="13.54296875" style="95" bestFit="1" customWidth="1"/>
    <col min="10520" max="10520" width="7" style="95" bestFit="1" customWidth="1"/>
    <col min="10521" max="10521" width="2" style="95" customWidth="1"/>
    <col min="10522" max="10522" width="5.81640625" style="95" bestFit="1" customWidth="1"/>
    <col min="10523" max="10523" width="9" style="95" bestFit="1" customWidth="1"/>
    <col min="10524" max="10524" width="13.54296875" style="95" bestFit="1" customWidth="1"/>
    <col min="10525" max="10525" width="7" style="95" bestFit="1" customWidth="1"/>
    <col min="10526" max="10526" width="1.54296875" style="95" customWidth="1"/>
    <col min="10527" max="10527" width="8.453125" style="95" bestFit="1" customWidth="1"/>
    <col min="10528" max="10528" width="9" style="95" bestFit="1" customWidth="1"/>
    <col min="10529" max="10529" width="13.54296875" style="95" bestFit="1" customWidth="1"/>
    <col min="10530" max="10530" width="7" style="95" bestFit="1" customWidth="1"/>
    <col min="10531" max="10531" width="2" style="95" customWidth="1"/>
    <col min="10532" max="10532" width="8.453125" style="95" bestFit="1" customWidth="1"/>
    <col min="10533" max="10533" width="9" style="95" bestFit="1" customWidth="1"/>
    <col min="10534" max="10534" width="13.54296875" style="95" bestFit="1" customWidth="1"/>
    <col min="10535" max="10535" width="7" style="95" bestFit="1" customWidth="1"/>
    <col min="10536" max="10536" width="8.453125" style="95" bestFit="1" customWidth="1"/>
    <col min="10537" max="10537" width="2.54296875" style="95" customWidth="1"/>
    <col min="10538" max="10538" width="23.1796875" style="95" bestFit="1" customWidth="1"/>
    <col min="10539" max="10539" width="10.81640625" style="95"/>
    <col min="10540" max="10540" width="15.1796875" style="95" bestFit="1" customWidth="1"/>
    <col min="10541" max="10541" width="16.453125" style="95" bestFit="1" customWidth="1"/>
    <col min="10542" max="10759" width="10.81640625" style="95"/>
    <col min="10760" max="10760" width="1.54296875" style="95" customWidth="1"/>
    <col min="10761" max="10761" width="13" style="95" bestFit="1" customWidth="1"/>
    <col min="10762" max="10762" width="47.453125" style="95" bestFit="1" customWidth="1"/>
    <col min="10763" max="10763" width="10.1796875" style="95" customWidth="1"/>
    <col min="10764" max="10764" width="5.54296875" style="95" bestFit="1" customWidth="1"/>
    <col min="10765" max="10765" width="16.81640625" style="95" bestFit="1" customWidth="1"/>
    <col min="10766" max="10766" width="15" style="95" customWidth="1"/>
    <col min="10767" max="10767" width="7.1796875" style="95" bestFit="1" customWidth="1"/>
    <col min="10768" max="10768" width="9.1796875" style="95" bestFit="1" customWidth="1"/>
    <col min="10769" max="10769" width="13.81640625" style="95" bestFit="1" customWidth="1"/>
    <col min="10770" max="10770" width="7.1796875" style="95" bestFit="1" customWidth="1"/>
    <col min="10771" max="10771" width="10.81640625" style="95"/>
    <col min="10772" max="10772" width="1.1796875" style="95" customWidth="1"/>
    <col min="10773" max="10773" width="5.81640625" style="95" bestFit="1" customWidth="1"/>
    <col min="10774" max="10774" width="9" style="95" bestFit="1" customWidth="1"/>
    <col min="10775" max="10775" width="13.54296875" style="95" bestFit="1" customWidth="1"/>
    <col min="10776" max="10776" width="7" style="95" bestFit="1" customWidth="1"/>
    <col min="10777" max="10777" width="2" style="95" customWidth="1"/>
    <col min="10778" max="10778" width="5.81640625" style="95" bestFit="1" customWidth="1"/>
    <col min="10779" max="10779" width="9" style="95" bestFit="1" customWidth="1"/>
    <col min="10780" max="10780" width="13.54296875" style="95" bestFit="1" customWidth="1"/>
    <col min="10781" max="10781" width="7" style="95" bestFit="1" customWidth="1"/>
    <col min="10782" max="10782" width="1.54296875" style="95" customWidth="1"/>
    <col min="10783" max="10783" width="8.453125" style="95" bestFit="1" customWidth="1"/>
    <col min="10784" max="10784" width="9" style="95" bestFit="1" customWidth="1"/>
    <col min="10785" max="10785" width="13.54296875" style="95" bestFit="1" customWidth="1"/>
    <col min="10786" max="10786" width="7" style="95" bestFit="1" customWidth="1"/>
    <col min="10787" max="10787" width="2" style="95" customWidth="1"/>
    <col min="10788" max="10788" width="8.453125" style="95" bestFit="1" customWidth="1"/>
    <col min="10789" max="10789" width="9" style="95" bestFit="1" customWidth="1"/>
    <col min="10790" max="10790" width="13.54296875" style="95" bestFit="1" customWidth="1"/>
    <col min="10791" max="10791" width="7" style="95" bestFit="1" customWidth="1"/>
    <col min="10792" max="10792" width="8.453125" style="95" bestFit="1" customWidth="1"/>
    <col min="10793" max="10793" width="2.54296875" style="95" customWidth="1"/>
    <col min="10794" max="10794" width="23.1796875" style="95" bestFit="1" customWidth="1"/>
    <col min="10795" max="10795" width="10.81640625" style="95"/>
    <col min="10796" max="10796" width="15.1796875" style="95" bestFit="1" customWidth="1"/>
    <col min="10797" max="10797" width="16.453125" style="95" bestFit="1" customWidth="1"/>
    <col min="10798" max="11015" width="10.81640625" style="95"/>
    <col min="11016" max="11016" width="1.54296875" style="95" customWidth="1"/>
    <col min="11017" max="11017" width="13" style="95" bestFit="1" customWidth="1"/>
    <col min="11018" max="11018" width="47.453125" style="95" bestFit="1" customWidth="1"/>
    <col min="11019" max="11019" width="10.1796875" style="95" customWidth="1"/>
    <col min="11020" max="11020" width="5.54296875" style="95" bestFit="1" customWidth="1"/>
    <col min="11021" max="11021" width="16.81640625" style="95" bestFit="1" customWidth="1"/>
    <col min="11022" max="11022" width="15" style="95" customWidth="1"/>
    <col min="11023" max="11023" width="7.1796875" style="95" bestFit="1" customWidth="1"/>
    <col min="11024" max="11024" width="9.1796875" style="95" bestFit="1" customWidth="1"/>
    <col min="11025" max="11025" width="13.81640625" style="95" bestFit="1" customWidth="1"/>
    <col min="11026" max="11026" width="7.1796875" style="95" bestFit="1" customWidth="1"/>
    <col min="11027" max="11027" width="10.81640625" style="95"/>
    <col min="11028" max="11028" width="1.1796875" style="95" customWidth="1"/>
    <col min="11029" max="11029" width="5.81640625" style="95" bestFit="1" customWidth="1"/>
    <col min="11030" max="11030" width="9" style="95" bestFit="1" customWidth="1"/>
    <col min="11031" max="11031" width="13.54296875" style="95" bestFit="1" customWidth="1"/>
    <col min="11032" max="11032" width="7" style="95" bestFit="1" customWidth="1"/>
    <col min="11033" max="11033" width="2" style="95" customWidth="1"/>
    <col min="11034" max="11034" width="5.81640625" style="95" bestFit="1" customWidth="1"/>
    <col min="11035" max="11035" width="9" style="95" bestFit="1" customWidth="1"/>
    <col min="11036" max="11036" width="13.54296875" style="95" bestFit="1" customWidth="1"/>
    <col min="11037" max="11037" width="7" style="95" bestFit="1" customWidth="1"/>
    <col min="11038" max="11038" width="1.54296875" style="95" customWidth="1"/>
    <col min="11039" max="11039" width="8.453125" style="95" bestFit="1" customWidth="1"/>
    <col min="11040" max="11040" width="9" style="95" bestFit="1" customWidth="1"/>
    <col min="11041" max="11041" width="13.54296875" style="95" bestFit="1" customWidth="1"/>
    <col min="11042" max="11042" width="7" style="95" bestFit="1" customWidth="1"/>
    <col min="11043" max="11043" width="2" style="95" customWidth="1"/>
    <col min="11044" max="11044" width="8.453125" style="95" bestFit="1" customWidth="1"/>
    <col min="11045" max="11045" width="9" style="95" bestFit="1" customWidth="1"/>
    <col min="11046" max="11046" width="13.54296875" style="95" bestFit="1" customWidth="1"/>
    <col min="11047" max="11047" width="7" style="95" bestFit="1" customWidth="1"/>
    <col min="11048" max="11048" width="8.453125" style="95" bestFit="1" customWidth="1"/>
    <col min="11049" max="11049" width="2.54296875" style="95" customWidth="1"/>
    <col min="11050" max="11050" width="23.1796875" style="95" bestFit="1" customWidth="1"/>
    <col min="11051" max="11051" width="10.81640625" style="95"/>
    <col min="11052" max="11052" width="15.1796875" style="95" bestFit="1" customWidth="1"/>
    <col min="11053" max="11053" width="16.453125" style="95" bestFit="1" customWidth="1"/>
    <col min="11054" max="11271" width="10.81640625" style="95"/>
    <col min="11272" max="11272" width="1.54296875" style="95" customWidth="1"/>
    <col min="11273" max="11273" width="13" style="95" bestFit="1" customWidth="1"/>
    <col min="11274" max="11274" width="47.453125" style="95" bestFit="1" customWidth="1"/>
    <col min="11275" max="11275" width="10.1796875" style="95" customWidth="1"/>
    <col min="11276" max="11276" width="5.54296875" style="95" bestFit="1" customWidth="1"/>
    <col min="11277" max="11277" width="16.81640625" style="95" bestFit="1" customWidth="1"/>
    <col min="11278" max="11278" width="15" style="95" customWidth="1"/>
    <col min="11279" max="11279" width="7.1796875" style="95" bestFit="1" customWidth="1"/>
    <col min="11280" max="11280" width="9.1796875" style="95" bestFit="1" customWidth="1"/>
    <col min="11281" max="11281" width="13.81640625" style="95" bestFit="1" customWidth="1"/>
    <col min="11282" max="11282" width="7.1796875" style="95" bestFit="1" customWidth="1"/>
    <col min="11283" max="11283" width="10.81640625" style="95"/>
    <col min="11284" max="11284" width="1.1796875" style="95" customWidth="1"/>
    <col min="11285" max="11285" width="5.81640625" style="95" bestFit="1" customWidth="1"/>
    <col min="11286" max="11286" width="9" style="95" bestFit="1" customWidth="1"/>
    <col min="11287" max="11287" width="13.54296875" style="95" bestFit="1" customWidth="1"/>
    <col min="11288" max="11288" width="7" style="95" bestFit="1" customWidth="1"/>
    <col min="11289" max="11289" width="2" style="95" customWidth="1"/>
    <col min="11290" max="11290" width="5.81640625" style="95" bestFit="1" customWidth="1"/>
    <col min="11291" max="11291" width="9" style="95" bestFit="1" customWidth="1"/>
    <col min="11292" max="11292" width="13.54296875" style="95" bestFit="1" customWidth="1"/>
    <col min="11293" max="11293" width="7" style="95" bestFit="1" customWidth="1"/>
    <col min="11294" max="11294" width="1.54296875" style="95" customWidth="1"/>
    <col min="11295" max="11295" width="8.453125" style="95" bestFit="1" customWidth="1"/>
    <col min="11296" max="11296" width="9" style="95" bestFit="1" customWidth="1"/>
    <col min="11297" max="11297" width="13.54296875" style="95" bestFit="1" customWidth="1"/>
    <col min="11298" max="11298" width="7" style="95" bestFit="1" customWidth="1"/>
    <col min="11299" max="11299" width="2" style="95" customWidth="1"/>
    <col min="11300" max="11300" width="8.453125" style="95" bestFit="1" customWidth="1"/>
    <col min="11301" max="11301" width="9" style="95" bestFit="1" customWidth="1"/>
    <col min="11302" max="11302" width="13.54296875" style="95" bestFit="1" customWidth="1"/>
    <col min="11303" max="11303" width="7" style="95" bestFit="1" customWidth="1"/>
    <col min="11304" max="11304" width="8.453125" style="95" bestFit="1" customWidth="1"/>
    <col min="11305" max="11305" width="2.54296875" style="95" customWidth="1"/>
    <col min="11306" max="11306" width="23.1796875" style="95" bestFit="1" customWidth="1"/>
    <col min="11307" max="11307" width="10.81640625" style="95"/>
    <col min="11308" max="11308" width="15.1796875" style="95" bestFit="1" customWidth="1"/>
    <col min="11309" max="11309" width="16.453125" style="95" bestFit="1" customWidth="1"/>
    <col min="11310" max="11527" width="10.81640625" style="95"/>
    <col min="11528" max="11528" width="1.54296875" style="95" customWidth="1"/>
    <col min="11529" max="11529" width="13" style="95" bestFit="1" customWidth="1"/>
    <col min="11530" max="11530" width="47.453125" style="95" bestFit="1" customWidth="1"/>
    <col min="11531" max="11531" width="10.1796875" style="95" customWidth="1"/>
    <col min="11532" max="11532" width="5.54296875" style="95" bestFit="1" customWidth="1"/>
    <col min="11533" max="11533" width="16.81640625" style="95" bestFit="1" customWidth="1"/>
    <col min="11534" max="11534" width="15" style="95" customWidth="1"/>
    <col min="11535" max="11535" width="7.1796875" style="95" bestFit="1" customWidth="1"/>
    <col min="11536" max="11536" width="9.1796875" style="95" bestFit="1" customWidth="1"/>
    <col min="11537" max="11537" width="13.81640625" style="95" bestFit="1" customWidth="1"/>
    <col min="11538" max="11538" width="7.1796875" style="95" bestFit="1" customWidth="1"/>
    <col min="11539" max="11539" width="10.81640625" style="95"/>
    <col min="11540" max="11540" width="1.1796875" style="95" customWidth="1"/>
    <col min="11541" max="11541" width="5.81640625" style="95" bestFit="1" customWidth="1"/>
    <col min="11542" max="11542" width="9" style="95" bestFit="1" customWidth="1"/>
    <col min="11543" max="11543" width="13.54296875" style="95" bestFit="1" customWidth="1"/>
    <col min="11544" max="11544" width="7" style="95" bestFit="1" customWidth="1"/>
    <col min="11545" max="11545" width="2" style="95" customWidth="1"/>
    <col min="11546" max="11546" width="5.81640625" style="95" bestFit="1" customWidth="1"/>
    <col min="11547" max="11547" width="9" style="95" bestFit="1" customWidth="1"/>
    <col min="11548" max="11548" width="13.54296875" style="95" bestFit="1" customWidth="1"/>
    <col min="11549" max="11549" width="7" style="95" bestFit="1" customWidth="1"/>
    <col min="11550" max="11550" width="1.54296875" style="95" customWidth="1"/>
    <col min="11551" max="11551" width="8.453125" style="95" bestFit="1" customWidth="1"/>
    <col min="11552" max="11552" width="9" style="95" bestFit="1" customWidth="1"/>
    <col min="11553" max="11553" width="13.54296875" style="95" bestFit="1" customWidth="1"/>
    <col min="11554" max="11554" width="7" style="95" bestFit="1" customWidth="1"/>
    <col min="11555" max="11555" width="2" style="95" customWidth="1"/>
    <col min="11556" max="11556" width="8.453125" style="95" bestFit="1" customWidth="1"/>
    <col min="11557" max="11557" width="9" style="95" bestFit="1" customWidth="1"/>
    <col min="11558" max="11558" width="13.54296875" style="95" bestFit="1" customWidth="1"/>
    <col min="11559" max="11559" width="7" style="95" bestFit="1" customWidth="1"/>
    <col min="11560" max="11560" width="8.453125" style="95" bestFit="1" customWidth="1"/>
    <col min="11561" max="11561" width="2.54296875" style="95" customWidth="1"/>
    <col min="11562" max="11562" width="23.1796875" style="95" bestFit="1" customWidth="1"/>
    <col min="11563" max="11563" width="10.81640625" style="95"/>
    <col min="11564" max="11564" width="15.1796875" style="95" bestFit="1" customWidth="1"/>
    <col min="11565" max="11565" width="16.453125" style="95" bestFit="1" customWidth="1"/>
    <col min="11566" max="11783" width="10.81640625" style="95"/>
    <col min="11784" max="11784" width="1.54296875" style="95" customWidth="1"/>
    <col min="11785" max="11785" width="13" style="95" bestFit="1" customWidth="1"/>
    <col min="11786" max="11786" width="47.453125" style="95" bestFit="1" customWidth="1"/>
    <col min="11787" max="11787" width="10.1796875" style="95" customWidth="1"/>
    <col min="11788" max="11788" width="5.54296875" style="95" bestFit="1" customWidth="1"/>
    <col min="11789" max="11789" width="16.81640625" style="95" bestFit="1" customWidth="1"/>
    <col min="11790" max="11790" width="15" style="95" customWidth="1"/>
    <col min="11791" max="11791" width="7.1796875" style="95" bestFit="1" customWidth="1"/>
    <col min="11792" max="11792" width="9.1796875" style="95" bestFit="1" customWidth="1"/>
    <col min="11793" max="11793" width="13.81640625" style="95" bestFit="1" customWidth="1"/>
    <col min="11794" max="11794" width="7.1796875" style="95" bestFit="1" customWidth="1"/>
    <col min="11795" max="11795" width="10.81640625" style="95"/>
    <col min="11796" max="11796" width="1.1796875" style="95" customWidth="1"/>
    <col min="11797" max="11797" width="5.81640625" style="95" bestFit="1" customWidth="1"/>
    <col min="11798" max="11798" width="9" style="95" bestFit="1" customWidth="1"/>
    <col min="11799" max="11799" width="13.54296875" style="95" bestFit="1" customWidth="1"/>
    <col min="11800" max="11800" width="7" style="95" bestFit="1" customWidth="1"/>
    <col min="11801" max="11801" width="2" style="95" customWidth="1"/>
    <col min="11802" max="11802" width="5.81640625" style="95" bestFit="1" customWidth="1"/>
    <col min="11803" max="11803" width="9" style="95" bestFit="1" customWidth="1"/>
    <col min="11804" max="11804" width="13.54296875" style="95" bestFit="1" customWidth="1"/>
    <col min="11805" max="11805" width="7" style="95" bestFit="1" customWidth="1"/>
    <col min="11806" max="11806" width="1.54296875" style="95" customWidth="1"/>
    <col min="11807" max="11807" width="8.453125" style="95" bestFit="1" customWidth="1"/>
    <col min="11808" max="11808" width="9" style="95" bestFit="1" customWidth="1"/>
    <col min="11809" max="11809" width="13.54296875" style="95" bestFit="1" customWidth="1"/>
    <col min="11810" max="11810" width="7" style="95" bestFit="1" customWidth="1"/>
    <col min="11811" max="11811" width="2" style="95" customWidth="1"/>
    <col min="11812" max="11812" width="8.453125" style="95" bestFit="1" customWidth="1"/>
    <col min="11813" max="11813" width="9" style="95" bestFit="1" customWidth="1"/>
    <col min="11814" max="11814" width="13.54296875" style="95" bestFit="1" customWidth="1"/>
    <col min="11815" max="11815" width="7" style="95" bestFit="1" customWidth="1"/>
    <col min="11816" max="11816" width="8.453125" style="95" bestFit="1" customWidth="1"/>
    <col min="11817" max="11817" width="2.54296875" style="95" customWidth="1"/>
    <col min="11818" max="11818" width="23.1796875" style="95" bestFit="1" customWidth="1"/>
    <col min="11819" max="11819" width="10.81640625" style="95"/>
    <col min="11820" max="11820" width="15.1796875" style="95" bestFit="1" customWidth="1"/>
    <col min="11821" max="11821" width="16.453125" style="95" bestFit="1" customWidth="1"/>
    <col min="11822" max="12039" width="10.81640625" style="95"/>
    <col min="12040" max="12040" width="1.54296875" style="95" customWidth="1"/>
    <col min="12041" max="12041" width="13" style="95" bestFit="1" customWidth="1"/>
    <col min="12042" max="12042" width="47.453125" style="95" bestFit="1" customWidth="1"/>
    <col min="12043" max="12043" width="10.1796875" style="95" customWidth="1"/>
    <col min="12044" max="12044" width="5.54296875" style="95" bestFit="1" customWidth="1"/>
    <col min="12045" max="12045" width="16.81640625" style="95" bestFit="1" customWidth="1"/>
    <col min="12046" max="12046" width="15" style="95" customWidth="1"/>
    <col min="12047" max="12047" width="7.1796875" style="95" bestFit="1" customWidth="1"/>
    <col min="12048" max="12048" width="9.1796875" style="95" bestFit="1" customWidth="1"/>
    <col min="12049" max="12049" width="13.81640625" style="95" bestFit="1" customWidth="1"/>
    <col min="12050" max="12050" width="7.1796875" style="95" bestFit="1" customWidth="1"/>
    <col min="12051" max="12051" width="10.81640625" style="95"/>
    <col min="12052" max="12052" width="1.1796875" style="95" customWidth="1"/>
    <col min="12053" max="12053" width="5.81640625" style="95" bestFit="1" customWidth="1"/>
    <col min="12054" max="12054" width="9" style="95" bestFit="1" customWidth="1"/>
    <col min="12055" max="12055" width="13.54296875" style="95" bestFit="1" customWidth="1"/>
    <col min="12056" max="12056" width="7" style="95" bestFit="1" customWidth="1"/>
    <col min="12057" max="12057" width="2" style="95" customWidth="1"/>
    <col min="12058" max="12058" width="5.81640625" style="95" bestFit="1" customWidth="1"/>
    <col min="12059" max="12059" width="9" style="95" bestFit="1" customWidth="1"/>
    <col min="12060" max="12060" width="13.54296875" style="95" bestFit="1" customWidth="1"/>
    <col min="12061" max="12061" width="7" style="95" bestFit="1" customWidth="1"/>
    <col min="12062" max="12062" width="1.54296875" style="95" customWidth="1"/>
    <col min="12063" max="12063" width="8.453125" style="95" bestFit="1" customWidth="1"/>
    <col min="12064" max="12064" width="9" style="95" bestFit="1" customWidth="1"/>
    <col min="12065" max="12065" width="13.54296875" style="95" bestFit="1" customWidth="1"/>
    <col min="12066" max="12066" width="7" style="95" bestFit="1" customWidth="1"/>
    <col min="12067" max="12067" width="2" style="95" customWidth="1"/>
    <col min="12068" max="12068" width="8.453125" style="95" bestFit="1" customWidth="1"/>
    <col min="12069" max="12069" width="9" style="95" bestFit="1" customWidth="1"/>
    <col min="12070" max="12070" width="13.54296875" style="95" bestFit="1" customWidth="1"/>
    <col min="12071" max="12071" width="7" style="95" bestFit="1" customWidth="1"/>
    <col min="12072" max="12072" width="8.453125" style="95" bestFit="1" customWidth="1"/>
    <col min="12073" max="12073" width="2.54296875" style="95" customWidth="1"/>
    <col min="12074" max="12074" width="23.1796875" style="95" bestFit="1" customWidth="1"/>
    <col min="12075" max="12075" width="10.81640625" style="95"/>
    <col min="12076" max="12076" width="15.1796875" style="95" bestFit="1" customWidth="1"/>
    <col min="12077" max="12077" width="16.453125" style="95" bestFit="1" customWidth="1"/>
    <col min="12078" max="12295" width="10.81640625" style="95"/>
    <col min="12296" max="12296" width="1.54296875" style="95" customWidth="1"/>
    <col min="12297" max="12297" width="13" style="95" bestFit="1" customWidth="1"/>
    <col min="12298" max="12298" width="47.453125" style="95" bestFit="1" customWidth="1"/>
    <col min="12299" max="12299" width="10.1796875" style="95" customWidth="1"/>
    <col min="12300" max="12300" width="5.54296875" style="95" bestFit="1" customWidth="1"/>
    <col min="12301" max="12301" width="16.81640625" style="95" bestFit="1" customWidth="1"/>
    <col min="12302" max="12302" width="15" style="95" customWidth="1"/>
    <col min="12303" max="12303" width="7.1796875" style="95" bestFit="1" customWidth="1"/>
    <col min="12304" max="12304" width="9.1796875" style="95" bestFit="1" customWidth="1"/>
    <col min="12305" max="12305" width="13.81640625" style="95" bestFit="1" customWidth="1"/>
    <col min="12306" max="12306" width="7.1796875" style="95" bestFit="1" customWidth="1"/>
    <col min="12307" max="12307" width="10.81640625" style="95"/>
    <col min="12308" max="12308" width="1.1796875" style="95" customWidth="1"/>
    <col min="12309" max="12309" width="5.81640625" style="95" bestFit="1" customWidth="1"/>
    <col min="12310" max="12310" width="9" style="95" bestFit="1" customWidth="1"/>
    <col min="12311" max="12311" width="13.54296875" style="95" bestFit="1" customWidth="1"/>
    <col min="12312" max="12312" width="7" style="95" bestFit="1" customWidth="1"/>
    <col min="12313" max="12313" width="2" style="95" customWidth="1"/>
    <col min="12314" max="12314" width="5.81640625" style="95" bestFit="1" customWidth="1"/>
    <col min="12315" max="12315" width="9" style="95" bestFit="1" customWidth="1"/>
    <col min="12316" max="12316" width="13.54296875" style="95" bestFit="1" customWidth="1"/>
    <col min="12317" max="12317" width="7" style="95" bestFit="1" customWidth="1"/>
    <col min="12318" max="12318" width="1.54296875" style="95" customWidth="1"/>
    <col min="12319" max="12319" width="8.453125" style="95" bestFit="1" customWidth="1"/>
    <col min="12320" max="12320" width="9" style="95" bestFit="1" customWidth="1"/>
    <col min="12321" max="12321" width="13.54296875" style="95" bestFit="1" customWidth="1"/>
    <col min="12322" max="12322" width="7" style="95" bestFit="1" customWidth="1"/>
    <col min="12323" max="12323" width="2" style="95" customWidth="1"/>
    <col min="12324" max="12324" width="8.453125" style="95" bestFit="1" customWidth="1"/>
    <col min="12325" max="12325" width="9" style="95" bestFit="1" customWidth="1"/>
    <col min="12326" max="12326" width="13.54296875" style="95" bestFit="1" customWidth="1"/>
    <col min="12327" max="12327" width="7" style="95" bestFit="1" customWidth="1"/>
    <col min="12328" max="12328" width="8.453125" style="95" bestFit="1" customWidth="1"/>
    <col min="12329" max="12329" width="2.54296875" style="95" customWidth="1"/>
    <col min="12330" max="12330" width="23.1796875" style="95" bestFit="1" customWidth="1"/>
    <col min="12331" max="12331" width="10.81640625" style="95"/>
    <col min="12332" max="12332" width="15.1796875" style="95" bestFit="1" customWidth="1"/>
    <col min="12333" max="12333" width="16.453125" style="95" bestFit="1" customWidth="1"/>
    <col min="12334" max="12551" width="10.81640625" style="95"/>
    <col min="12552" max="12552" width="1.54296875" style="95" customWidth="1"/>
    <col min="12553" max="12553" width="13" style="95" bestFit="1" customWidth="1"/>
    <col min="12554" max="12554" width="47.453125" style="95" bestFit="1" customWidth="1"/>
    <col min="12555" max="12555" width="10.1796875" style="95" customWidth="1"/>
    <col min="12556" max="12556" width="5.54296875" style="95" bestFit="1" customWidth="1"/>
    <col min="12557" max="12557" width="16.81640625" style="95" bestFit="1" customWidth="1"/>
    <col min="12558" max="12558" width="15" style="95" customWidth="1"/>
    <col min="12559" max="12559" width="7.1796875" style="95" bestFit="1" customWidth="1"/>
    <col min="12560" max="12560" width="9.1796875" style="95" bestFit="1" customWidth="1"/>
    <col min="12561" max="12561" width="13.81640625" style="95" bestFit="1" customWidth="1"/>
    <col min="12562" max="12562" width="7.1796875" style="95" bestFit="1" customWidth="1"/>
    <col min="12563" max="12563" width="10.81640625" style="95"/>
    <col min="12564" max="12564" width="1.1796875" style="95" customWidth="1"/>
    <col min="12565" max="12565" width="5.81640625" style="95" bestFit="1" customWidth="1"/>
    <col min="12566" max="12566" width="9" style="95" bestFit="1" customWidth="1"/>
    <col min="12567" max="12567" width="13.54296875" style="95" bestFit="1" customWidth="1"/>
    <col min="12568" max="12568" width="7" style="95" bestFit="1" customWidth="1"/>
    <col min="12569" max="12569" width="2" style="95" customWidth="1"/>
    <col min="12570" max="12570" width="5.81640625" style="95" bestFit="1" customWidth="1"/>
    <col min="12571" max="12571" width="9" style="95" bestFit="1" customWidth="1"/>
    <col min="12572" max="12572" width="13.54296875" style="95" bestFit="1" customWidth="1"/>
    <col min="12573" max="12573" width="7" style="95" bestFit="1" customWidth="1"/>
    <col min="12574" max="12574" width="1.54296875" style="95" customWidth="1"/>
    <col min="12575" max="12575" width="8.453125" style="95" bestFit="1" customWidth="1"/>
    <col min="12576" max="12576" width="9" style="95" bestFit="1" customWidth="1"/>
    <col min="12577" max="12577" width="13.54296875" style="95" bestFit="1" customWidth="1"/>
    <col min="12578" max="12578" width="7" style="95" bestFit="1" customWidth="1"/>
    <col min="12579" max="12579" width="2" style="95" customWidth="1"/>
    <col min="12580" max="12580" width="8.453125" style="95" bestFit="1" customWidth="1"/>
    <col min="12581" max="12581" width="9" style="95" bestFit="1" customWidth="1"/>
    <col min="12582" max="12582" width="13.54296875" style="95" bestFit="1" customWidth="1"/>
    <col min="12583" max="12583" width="7" style="95" bestFit="1" customWidth="1"/>
    <col min="12584" max="12584" width="8.453125" style="95" bestFit="1" customWidth="1"/>
    <col min="12585" max="12585" width="2.54296875" style="95" customWidth="1"/>
    <col min="12586" max="12586" width="23.1796875" style="95" bestFit="1" customWidth="1"/>
    <col min="12587" max="12587" width="10.81640625" style="95"/>
    <col min="12588" max="12588" width="15.1796875" style="95" bestFit="1" customWidth="1"/>
    <col min="12589" max="12589" width="16.453125" style="95" bestFit="1" customWidth="1"/>
    <col min="12590" max="12807" width="10.81640625" style="95"/>
    <col min="12808" max="12808" width="1.54296875" style="95" customWidth="1"/>
    <col min="12809" max="12809" width="13" style="95" bestFit="1" customWidth="1"/>
    <col min="12810" max="12810" width="47.453125" style="95" bestFit="1" customWidth="1"/>
    <col min="12811" max="12811" width="10.1796875" style="95" customWidth="1"/>
    <col min="12812" max="12812" width="5.54296875" style="95" bestFit="1" customWidth="1"/>
    <col min="12813" max="12813" width="16.81640625" style="95" bestFit="1" customWidth="1"/>
    <col min="12814" max="12814" width="15" style="95" customWidth="1"/>
    <col min="12815" max="12815" width="7.1796875" style="95" bestFit="1" customWidth="1"/>
    <col min="12816" max="12816" width="9.1796875" style="95" bestFit="1" customWidth="1"/>
    <col min="12817" max="12817" width="13.81640625" style="95" bestFit="1" customWidth="1"/>
    <col min="12818" max="12818" width="7.1796875" style="95" bestFit="1" customWidth="1"/>
    <col min="12819" max="12819" width="10.81640625" style="95"/>
    <col min="12820" max="12820" width="1.1796875" style="95" customWidth="1"/>
    <col min="12821" max="12821" width="5.81640625" style="95" bestFit="1" customWidth="1"/>
    <col min="12822" max="12822" width="9" style="95" bestFit="1" customWidth="1"/>
    <col min="12823" max="12823" width="13.54296875" style="95" bestFit="1" customWidth="1"/>
    <col min="12824" max="12824" width="7" style="95" bestFit="1" customWidth="1"/>
    <col min="12825" max="12825" width="2" style="95" customWidth="1"/>
    <col min="12826" max="12826" width="5.81640625" style="95" bestFit="1" customWidth="1"/>
    <col min="12827" max="12827" width="9" style="95" bestFit="1" customWidth="1"/>
    <col min="12828" max="12828" width="13.54296875" style="95" bestFit="1" customWidth="1"/>
    <col min="12829" max="12829" width="7" style="95" bestFit="1" customWidth="1"/>
    <col min="12830" max="12830" width="1.54296875" style="95" customWidth="1"/>
    <col min="12831" max="12831" width="8.453125" style="95" bestFit="1" customWidth="1"/>
    <col min="12832" max="12832" width="9" style="95" bestFit="1" customWidth="1"/>
    <col min="12833" max="12833" width="13.54296875" style="95" bestFit="1" customWidth="1"/>
    <col min="12834" max="12834" width="7" style="95" bestFit="1" customWidth="1"/>
    <col min="12835" max="12835" width="2" style="95" customWidth="1"/>
    <col min="12836" max="12836" width="8.453125" style="95" bestFit="1" customWidth="1"/>
    <col min="12837" max="12837" width="9" style="95" bestFit="1" customWidth="1"/>
    <col min="12838" max="12838" width="13.54296875" style="95" bestFit="1" customWidth="1"/>
    <col min="12839" max="12839" width="7" style="95" bestFit="1" customWidth="1"/>
    <col min="12840" max="12840" width="8.453125" style="95" bestFit="1" customWidth="1"/>
    <col min="12841" max="12841" width="2.54296875" style="95" customWidth="1"/>
    <col min="12842" max="12842" width="23.1796875" style="95" bestFit="1" customWidth="1"/>
    <col min="12843" max="12843" width="10.81640625" style="95"/>
    <col min="12844" max="12844" width="15.1796875" style="95" bestFit="1" customWidth="1"/>
    <col min="12845" max="12845" width="16.453125" style="95" bestFit="1" customWidth="1"/>
    <col min="12846" max="13063" width="10.81640625" style="95"/>
    <col min="13064" max="13064" width="1.54296875" style="95" customWidth="1"/>
    <col min="13065" max="13065" width="13" style="95" bestFit="1" customWidth="1"/>
    <col min="13066" max="13066" width="47.453125" style="95" bestFit="1" customWidth="1"/>
    <col min="13067" max="13067" width="10.1796875" style="95" customWidth="1"/>
    <col min="13068" max="13068" width="5.54296875" style="95" bestFit="1" customWidth="1"/>
    <col min="13069" max="13069" width="16.81640625" style="95" bestFit="1" customWidth="1"/>
    <col min="13070" max="13070" width="15" style="95" customWidth="1"/>
    <col min="13071" max="13071" width="7.1796875" style="95" bestFit="1" customWidth="1"/>
    <col min="13072" max="13072" width="9.1796875" style="95" bestFit="1" customWidth="1"/>
    <col min="13073" max="13073" width="13.81640625" style="95" bestFit="1" customWidth="1"/>
    <col min="13074" max="13074" width="7.1796875" style="95" bestFit="1" customWidth="1"/>
    <col min="13075" max="13075" width="10.81640625" style="95"/>
    <col min="13076" max="13076" width="1.1796875" style="95" customWidth="1"/>
    <col min="13077" max="13077" width="5.81640625" style="95" bestFit="1" customWidth="1"/>
    <col min="13078" max="13078" width="9" style="95" bestFit="1" customWidth="1"/>
    <col min="13079" max="13079" width="13.54296875" style="95" bestFit="1" customWidth="1"/>
    <col min="13080" max="13080" width="7" style="95" bestFit="1" customWidth="1"/>
    <col min="13081" max="13081" width="2" style="95" customWidth="1"/>
    <col min="13082" max="13082" width="5.81640625" style="95" bestFit="1" customWidth="1"/>
    <col min="13083" max="13083" width="9" style="95" bestFit="1" customWidth="1"/>
    <col min="13084" max="13084" width="13.54296875" style="95" bestFit="1" customWidth="1"/>
    <col min="13085" max="13085" width="7" style="95" bestFit="1" customWidth="1"/>
    <col min="13086" max="13086" width="1.54296875" style="95" customWidth="1"/>
    <col min="13087" max="13087" width="8.453125" style="95" bestFit="1" customWidth="1"/>
    <col min="13088" max="13088" width="9" style="95" bestFit="1" customWidth="1"/>
    <col min="13089" max="13089" width="13.54296875" style="95" bestFit="1" customWidth="1"/>
    <col min="13090" max="13090" width="7" style="95" bestFit="1" customWidth="1"/>
    <col min="13091" max="13091" width="2" style="95" customWidth="1"/>
    <col min="13092" max="13092" width="8.453125" style="95" bestFit="1" customWidth="1"/>
    <col min="13093" max="13093" width="9" style="95" bestFit="1" customWidth="1"/>
    <col min="13094" max="13094" width="13.54296875" style="95" bestFit="1" customWidth="1"/>
    <col min="13095" max="13095" width="7" style="95" bestFit="1" customWidth="1"/>
    <col min="13096" max="13096" width="8.453125" style="95" bestFit="1" customWidth="1"/>
    <col min="13097" max="13097" width="2.54296875" style="95" customWidth="1"/>
    <col min="13098" max="13098" width="23.1796875" style="95" bestFit="1" customWidth="1"/>
    <col min="13099" max="13099" width="10.81640625" style="95"/>
    <col min="13100" max="13100" width="15.1796875" style="95" bestFit="1" customWidth="1"/>
    <col min="13101" max="13101" width="16.453125" style="95" bestFit="1" customWidth="1"/>
    <col min="13102" max="13319" width="10.81640625" style="95"/>
    <col min="13320" max="13320" width="1.54296875" style="95" customWidth="1"/>
    <col min="13321" max="13321" width="13" style="95" bestFit="1" customWidth="1"/>
    <col min="13322" max="13322" width="47.453125" style="95" bestFit="1" customWidth="1"/>
    <col min="13323" max="13323" width="10.1796875" style="95" customWidth="1"/>
    <col min="13324" max="13324" width="5.54296875" style="95" bestFit="1" customWidth="1"/>
    <col min="13325" max="13325" width="16.81640625" style="95" bestFit="1" customWidth="1"/>
    <col min="13326" max="13326" width="15" style="95" customWidth="1"/>
    <col min="13327" max="13327" width="7.1796875" style="95" bestFit="1" customWidth="1"/>
    <col min="13328" max="13328" width="9.1796875" style="95" bestFit="1" customWidth="1"/>
    <col min="13329" max="13329" width="13.81640625" style="95" bestFit="1" customWidth="1"/>
    <col min="13330" max="13330" width="7.1796875" style="95" bestFit="1" customWidth="1"/>
    <col min="13331" max="13331" width="10.81640625" style="95"/>
    <col min="13332" max="13332" width="1.1796875" style="95" customWidth="1"/>
    <col min="13333" max="13333" width="5.81640625" style="95" bestFit="1" customWidth="1"/>
    <col min="13334" max="13334" width="9" style="95" bestFit="1" customWidth="1"/>
    <col min="13335" max="13335" width="13.54296875" style="95" bestFit="1" customWidth="1"/>
    <col min="13336" max="13336" width="7" style="95" bestFit="1" customWidth="1"/>
    <col min="13337" max="13337" width="2" style="95" customWidth="1"/>
    <col min="13338" max="13338" width="5.81640625" style="95" bestFit="1" customWidth="1"/>
    <col min="13339" max="13339" width="9" style="95" bestFit="1" customWidth="1"/>
    <col min="13340" max="13340" width="13.54296875" style="95" bestFit="1" customWidth="1"/>
    <col min="13341" max="13341" width="7" style="95" bestFit="1" customWidth="1"/>
    <col min="13342" max="13342" width="1.54296875" style="95" customWidth="1"/>
    <col min="13343" max="13343" width="8.453125" style="95" bestFit="1" customWidth="1"/>
    <col min="13344" max="13344" width="9" style="95" bestFit="1" customWidth="1"/>
    <col min="13345" max="13345" width="13.54296875" style="95" bestFit="1" customWidth="1"/>
    <col min="13346" max="13346" width="7" style="95" bestFit="1" customWidth="1"/>
    <col min="13347" max="13347" width="2" style="95" customWidth="1"/>
    <col min="13348" max="13348" width="8.453125" style="95" bestFit="1" customWidth="1"/>
    <col min="13349" max="13349" width="9" style="95" bestFit="1" customWidth="1"/>
    <col min="13350" max="13350" width="13.54296875" style="95" bestFit="1" customWidth="1"/>
    <col min="13351" max="13351" width="7" style="95" bestFit="1" customWidth="1"/>
    <col min="13352" max="13352" width="8.453125" style="95" bestFit="1" customWidth="1"/>
    <col min="13353" max="13353" width="2.54296875" style="95" customWidth="1"/>
    <col min="13354" max="13354" width="23.1796875" style="95" bestFit="1" customWidth="1"/>
    <col min="13355" max="13355" width="10.81640625" style="95"/>
    <col min="13356" max="13356" width="15.1796875" style="95" bestFit="1" customWidth="1"/>
    <col min="13357" max="13357" width="16.453125" style="95" bestFit="1" customWidth="1"/>
    <col min="13358" max="13575" width="10.81640625" style="95"/>
    <col min="13576" max="13576" width="1.54296875" style="95" customWidth="1"/>
    <col min="13577" max="13577" width="13" style="95" bestFit="1" customWidth="1"/>
    <col min="13578" max="13578" width="47.453125" style="95" bestFit="1" customWidth="1"/>
    <col min="13579" max="13579" width="10.1796875" style="95" customWidth="1"/>
    <col min="13580" max="13580" width="5.54296875" style="95" bestFit="1" customWidth="1"/>
    <col min="13581" max="13581" width="16.81640625" style="95" bestFit="1" customWidth="1"/>
    <col min="13582" max="13582" width="15" style="95" customWidth="1"/>
    <col min="13583" max="13583" width="7.1796875" style="95" bestFit="1" customWidth="1"/>
    <col min="13584" max="13584" width="9.1796875" style="95" bestFit="1" customWidth="1"/>
    <col min="13585" max="13585" width="13.81640625" style="95" bestFit="1" customWidth="1"/>
    <col min="13586" max="13586" width="7.1796875" style="95" bestFit="1" customWidth="1"/>
    <col min="13587" max="13587" width="10.81640625" style="95"/>
    <col min="13588" max="13588" width="1.1796875" style="95" customWidth="1"/>
    <col min="13589" max="13589" width="5.81640625" style="95" bestFit="1" customWidth="1"/>
    <col min="13590" max="13590" width="9" style="95" bestFit="1" customWidth="1"/>
    <col min="13591" max="13591" width="13.54296875" style="95" bestFit="1" customWidth="1"/>
    <col min="13592" max="13592" width="7" style="95" bestFit="1" customWidth="1"/>
    <col min="13593" max="13593" width="2" style="95" customWidth="1"/>
    <col min="13594" max="13594" width="5.81640625" style="95" bestFit="1" customWidth="1"/>
    <col min="13595" max="13595" width="9" style="95" bestFit="1" customWidth="1"/>
    <col min="13596" max="13596" width="13.54296875" style="95" bestFit="1" customWidth="1"/>
    <col min="13597" max="13597" width="7" style="95" bestFit="1" customWidth="1"/>
    <col min="13598" max="13598" width="1.54296875" style="95" customWidth="1"/>
    <col min="13599" max="13599" width="8.453125" style="95" bestFit="1" customWidth="1"/>
    <col min="13600" max="13600" width="9" style="95" bestFit="1" customWidth="1"/>
    <col min="13601" max="13601" width="13.54296875" style="95" bestFit="1" customWidth="1"/>
    <col min="13602" max="13602" width="7" style="95" bestFit="1" customWidth="1"/>
    <col min="13603" max="13603" width="2" style="95" customWidth="1"/>
    <col min="13604" max="13604" width="8.453125" style="95" bestFit="1" customWidth="1"/>
    <col min="13605" max="13605" width="9" style="95" bestFit="1" customWidth="1"/>
    <col min="13606" max="13606" width="13.54296875" style="95" bestFit="1" customWidth="1"/>
    <col min="13607" max="13607" width="7" style="95" bestFit="1" customWidth="1"/>
    <col min="13608" max="13608" width="8.453125" style="95" bestFit="1" customWidth="1"/>
    <col min="13609" max="13609" width="2.54296875" style="95" customWidth="1"/>
    <col min="13610" max="13610" width="23.1796875" style="95" bestFit="1" customWidth="1"/>
    <col min="13611" max="13611" width="10.81640625" style="95"/>
    <col min="13612" max="13612" width="15.1796875" style="95" bestFit="1" customWidth="1"/>
    <col min="13613" max="13613" width="16.453125" style="95" bestFit="1" customWidth="1"/>
    <col min="13614" max="13831" width="10.81640625" style="95"/>
    <col min="13832" max="13832" width="1.54296875" style="95" customWidth="1"/>
    <col min="13833" max="13833" width="13" style="95" bestFit="1" customWidth="1"/>
    <col min="13834" max="13834" width="47.453125" style="95" bestFit="1" customWidth="1"/>
    <col min="13835" max="13835" width="10.1796875" style="95" customWidth="1"/>
    <col min="13836" max="13836" width="5.54296875" style="95" bestFit="1" customWidth="1"/>
    <col min="13837" max="13837" width="16.81640625" style="95" bestFit="1" customWidth="1"/>
    <col min="13838" max="13838" width="15" style="95" customWidth="1"/>
    <col min="13839" max="13839" width="7.1796875" style="95" bestFit="1" customWidth="1"/>
    <col min="13840" max="13840" width="9.1796875" style="95" bestFit="1" customWidth="1"/>
    <col min="13841" max="13841" width="13.81640625" style="95" bestFit="1" customWidth="1"/>
    <col min="13842" max="13842" width="7.1796875" style="95" bestFit="1" customWidth="1"/>
    <col min="13843" max="13843" width="10.81640625" style="95"/>
    <col min="13844" max="13844" width="1.1796875" style="95" customWidth="1"/>
    <col min="13845" max="13845" width="5.81640625" style="95" bestFit="1" customWidth="1"/>
    <col min="13846" max="13846" width="9" style="95" bestFit="1" customWidth="1"/>
    <col min="13847" max="13847" width="13.54296875" style="95" bestFit="1" customWidth="1"/>
    <col min="13848" max="13848" width="7" style="95" bestFit="1" customWidth="1"/>
    <col min="13849" max="13849" width="2" style="95" customWidth="1"/>
    <col min="13850" max="13850" width="5.81640625" style="95" bestFit="1" customWidth="1"/>
    <col min="13851" max="13851" width="9" style="95" bestFit="1" customWidth="1"/>
    <col min="13852" max="13852" width="13.54296875" style="95" bestFit="1" customWidth="1"/>
    <col min="13853" max="13853" width="7" style="95" bestFit="1" customWidth="1"/>
    <col min="13854" max="13854" width="1.54296875" style="95" customWidth="1"/>
    <col min="13855" max="13855" width="8.453125" style="95" bestFit="1" customWidth="1"/>
    <col min="13856" max="13856" width="9" style="95" bestFit="1" customWidth="1"/>
    <col min="13857" max="13857" width="13.54296875" style="95" bestFit="1" customWidth="1"/>
    <col min="13858" max="13858" width="7" style="95" bestFit="1" customWidth="1"/>
    <col min="13859" max="13859" width="2" style="95" customWidth="1"/>
    <col min="13860" max="13860" width="8.453125" style="95" bestFit="1" customWidth="1"/>
    <col min="13861" max="13861" width="9" style="95" bestFit="1" customWidth="1"/>
    <col min="13862" max="13862" width="13.54296875" style="95" bestFit="1" customWidth="1"/>
    <col min="13863" max="13863" width="7" style="95" bestFit="1" customWidth="1"/>
    <col min="13864" max="13864" width="8.453125" style="95" bestFit="1" customWidth="1"/>
    <col min="13865" max="13865" width="2.54296875" style="95" customWidth="1"/>
    <col min="13866" max="13866" width="23.1796875" style="95" bestFit="1" customWidth="1"/>
    <col min="13867" max="13867" width="10.81640625" style="95"/>
    <col min="13868" max="13868" width="15.1796875" style="95" bestFit="1" customWidth="1"/>
    <col min="13869" max="13869" width="16.453125" style="95" bestFit="1" customWidth="1"/>
    <col min="13870" max="14087" width="10.81640625" style="95"/>
    <col min="14088" max="14088" width="1.54296875" style="95" customWidth="1"/>
    <col min="14089" max="14089" width="13" style="95" bestFit="1" customWidth="1"/>
    <col min="14090" max="14090" width="47.453125" style="95" bestFit="1" customWidth="1"/>
    <col min="14091" max="14091" width="10.1796875" style="95" customWidth="1"/>
    <col min="14092" max="14092" width="5.54296875" style="95" bestFit="1" customWidth="1"/>
    <col min="14093" max="14093" width="16.81640625" style="95" bestFit="1" customWidth="1"/>
    <col min="14094" max="14094" width="15" style="95" customWidth="1"/>
    <col min="14095" max="14095" width="7.1796875" style="95" bestFit="1" customWidth="1"/>
    <col min="14096" max="14096" width="9.1796875" style="95" bestFit="1" customWidth="1"/>
    <col min="14097" max="14097" width="13.81640625" style="95" bestFit="1" customWidth="1"/>
    <col min="14098" max="14098" width="7.1796875" style="95" bestFit="1" customWidth="1"/>
    <col min="14099" max="14099" width="10.81640625" style="95"/>
    <col min="14100" max="14100" width="1.1796875" style="95" customWidth="1"/>
    <col min="14101" max="14101" width="5.81640625" style="95" bestFit="1" customWidth="1"/>
    <col min="14102" max="14102" width="9" style="95" bestFit="1" customWidth="1"/>
    <col min="14103" max="14103" width="13.54296875" style="95" bestFit="1" customWidth="1"/>
    <col min="14104" max="14104" width="7" style="95" bestFit="1" customWidth="1"/>
    <col min="14105" max="14105" width="2" style="95" customWidth="1"/>
    <col min="14106" max="14106" width="5.81640625" style="95" bestFit="1" customWidth="1"/>
    <col min="14107" max="14107" width="9" style="95" bestFit="1" customWidth="1"/>
    <col min="14108" max="14108" width="13.54296875" style="95" bestFit="1" customWidth="1"/>
    <col min="14109" max="14109" width="7" style="95" bestFit="1" customWidth="1"/>
    <col min="14110" max="14110" width="1.54296875" style="95" customWidth="1"/>
    <col min="14111" max="14111" width="8.453125" style="95" bestFit="1" customWidth="1"/>
    <col min="14112" max="14112" width="9" style="95" bestFit="1" customWidth="1"/>
    <col min="14113" max="14113" width="13.54296875" style="95" bestFit="1" customWidth="1"/>
    <col min="14114" max="14114" width="7" style="95" bestFit="1" customWidth="1"/>
    <col min="14115" max="14115" width="2" style="95" customWidth="1"/>
    <col min="14116" max="14116" width="8.453125" style="95" bestFit="1" customWidth="1"/>
    <col min="14117" max="14117" width="9" style="95" bestFit="1" customWidth="1"/>
    <col min="14118" max="14118" width="13.54296875" style="95" bestFit="1" customWidth="1"/>
    <col min="14119" max="14119" width="7" style="95" bestFit="1" customWidth="1"/>
    <col min="14120" max="14120" width="8.453125" style="95" bestFit="1" customWidth="1"/>
    <col min="14121" max="14121" width="2.54296875" style="95" customWidth="1"/>
    <col min="14122" max="14122" width="23.1796875" style="95" bestFit="1" customWidth="1"/>
    <col min="14123" max="14123" width="10.81640625" style="95"/>
    <col min="14124" max="14124" width="15.1796875" style="95" bestFit="1" customWidth="1"/>
    <col min="14125" max="14125" width="16.453125" style="95" bestFit="1" customWidth="1"/>
    <col min="14126" max="14343" width="10.81640625" style="95"/>
    <col min="14344" max="14344" width="1.54296875" style="95" customWidth="1"/>
    <col min="14345" max="14345" width="13" style="95" bestFit="1" customWidth="1"/>
    <col min="14346" max="14346" width="47.453125" style="95" bestFit="1" customWidth="1"/>
    <col min="14347" max="14347" width="10.1796875" style="95" customWidth="1"/>
    <col min="14348" max="14348" width="5.54296875" style="95" bestFit="1" customWidth="1"/>
    <col min="14349" max="14349" width="16.81640625" style="95" bestFit="1" customWidth="1"/>
    <col min="14350" max="14350" width="15" style="95" customWidth="1"/>
    <col min="14351" max="14351" width="7.1796875" style="95" bestFit="1" customWidth="1"/>
    <col min="14352" max="14352" width="9.1796875" style="95" bestFit="1" customWidth="1"/>
    <col min="14353" max="14353" width="13.81640625" style="95" bestFit="1" customWidth="1"/>
    <col min="14354" max="14354" width="7.1796875" style="95" bestFit="1" customWidth="1"/>
    <col min="14355" max="14355" width="10.81640625" style="95"/>
    <col min="14356" max="14356" width="1.1796875" style="95" customWidth="1"/>
    <col min="14357" max="14357" width="5.81640625" style="95" bestFit="1" customWidth="1"/>
    <col min="14358" max="14358" width="9" style="95" bestFit="1" customWidth="1"/>
    <col min="14359" max="14359" width="13.54296875" style="95" bestFit="1" customWidth="1"/>
    <col min="14360" max="14360" width="7" style="95" bestFit="1" customWidth="1"/>
    <col min="14361" max="14361" width="2" style="95" customWidth="1"/>
    <col min="14362" max="14362" width="5.81640625" style="95" bestFit="1" customWidth="1"/>
    <col min="14363" max="14363" width="9" style="95" bestFit="1" customWidth="1"/>
    <col min="14364" max="14364" width="13.54296875" style="95" bestFit="1" customWidth="1"/>
    <col min="14365" max="14365" width="7" style="95" bestFit="1" customWidth="1"/>
    <col min="14366" max="14366" width="1.54296875" style="95" customWidth="1"/>
    <col min="14367" max="14367" width="8.453125" style="95" bestFit="1" customWidth="1"/>
    <col min="14368" max="14368" width="9" style="95" bestFit="1" customWidth="1"/>
    <col min="14369" max="14369" width="13.54296875" style="95" bestFit="1" customWidth="1"/>
    <col min="14370" max="14370" width="7" style="95" bestFit="1" customWidth="1"/>
    <col min="14371" max="14371" width="2" style="95" customWidth="1"/>
    <col min="14372" max="14372" width="8.453125" style="95" bestFit="1" customWidth="1"/>
    <col min="14373" max="14373" width="9" style="95" bestFit="1" customWidth="1"/>
    <col min="14374" max="14374" width="13.54296875" style="95" bestFit="1" customWidth="1"/>
    <col min="14375" max="14375" width="7" style="95" bestFit="1" customWidth="1"/>
    <col min="14376" max="14376" width="8.453125" style="95" bestFit="1" customWidth="1"/>
    <col min="14377" max="14377" width="2.54296875" style="95" customWidth="1"/>
    <col min="14378" max="14378" width="23.1796875" style="95" bestFit="1" customWidth="1"/>
    <col min="14379" max="14379" width="10.81640625" style="95"/>
    <col min="14380" max="14380" width="15.1796875" style="95" bestFit="1" customWidth="1"/>
    <col min="14381" max="14381" width="16.453125" style="95" bestFit="1" customWidth="1"/>
    <col min="14382" max="14599" width="10.81640625" style="95"/>
    <col min="14600" max="14600" width="1.54296875" style="95" customWidth="1"/>
    <col min="14601" max="14601" width="13" style="95" bestFit="1" customWidth="1"/>
    <col min="14602" max="14602" width="47.453125" style="95" bestFit="1" customWidth="1"/>
    <col min="14603" max="14603" width="10.1796875" style="95" customWidth="1"/>
    <col min="14604" max="14604" width="5.54296875" style="95" bestFit="1" customWidth="1"/>
    <col min="14605" max="14605" width="16.81640625" style="95" bestFit="1" customWidth="1"/>
    <col min="14606" max="14606" width="15" style="95" customWidth="1"/>
    <col min="14607" max="14607" width="7.1796875" style="95" bestFit="1" customWidth="1"/>
    <col min="14608" max="14608" width="9.1796875" style="95" bestFit="1" customWidth="1"/>
    <col min="14609" max="14609" width="13.81640625" style="95" bestFit="1" customWidth="1"/>
    <col min="14610" max="14610" width="7.1796875" style="95" bestFit="1" customWidth="1"/>
    <col min="14611" max="14611" width="10.81640625" style="95"/>
    <col min="14612" max="14612" width="1.1796875" style="95" customWidth="1"/>
    <col min="14613" max="14613" width="5.81640625" style="95" bestFit="1" customWidth="1"/>
    <col min="14614" max="14614" width="9" style="95" bestFit="1" customWidth="1"/>
    <col min="14615" max="14615" width="13.54296875" style="95" bestFit="1" customWidth="1"/>
    <col min="14616" max="14616" width="7" style="95" bestFit="1" customWidth="1"/>
    <col min="14617" max="14617" width="2" style="95" customWidth="1"/>
    <col min="14618" max="14618" width="5.81640625" style="95" bestFit="1" customWidth="1"/>
    <col min="14619" max="14619" width="9" style="95" bestFit="1" customWidth="1"/>
    <col min="14620" max="14620" width="13.54296875" style="95" bestFit="1" customWidth="1"/>
    <col min="14621" max="14621" width="7" style="95" bestFit="1" customWidth="1"/>
    <col min="14622" max="14622" width="1.54296875" style="95" customWidth="1"/>
    <col min="14623" max="14623" width="8.453125" style="95" bestFit="1" customWidth="1"/>
    <col min="14624" max="14624" width="9" style="95" bestFit="1" customWidth="1"/>
    <col min="14625" max="14625" width="13.54296875" style="95" bestFit="1" customWidth="1"/>
    <col min="14626" max="14626" width="7" style="95" bestFit="1" customWidth="1"/>
    <col min="14627" max="14627" width="2" style="95" customWidth="1"/>
    <col min="14628" max="14628" width="8.453125" style="95" bestFit="1" customWidth="1"/>
    <col min="14629" max="14629" width="9" style="95" bestFit="1" customWidth="1"/>
    <col min="14630" max="14630" width="13.54296875" style="95" bestFit="1" customWidth="1"/>
    <col min="14631" max="14631" width="7" style="95" bestFit="1" customWidth="1"/>
    <col min="14632" max="14632" width="8.453125" style="95" bestFit="1" customWidth="1"/>
    <col min="14633" max="14633" width="2.54296875" style="95" customWidth="1"/>
    <col min="14634" max="14634" width="23.1796875" style="95" bestFit="1" customWidth="1"/>
    <col min="14635" max="14635" width="10.81640625" style="95"/>
    <col min="14636" max="14636" width="15.1796875" style="95" bestFit="1" customWidth="1"/>
    <col min="14637" max="14637" width="16.453125" style="95" bestFit="1" customWidth="1"/>
    <col min="14638" max="14855" width="10.81640625" style="95"/>
    <col min="14856" max="14856" width="1.54296875" style="95" customWidth="1"/>
    <col min="14857" max="14857" width="13" style="95" bestFit="1" customWidth="1"/>
    <col min="14858" max="14858" width="47.453125" style="95" bestFit="1" customWidth="1"/>
    <col min="14859" max="14859" width="10.1796875" style="95" customWidth="1"/>
    <col min="14860" max="14860" width="5.54296875" style="95" bestFit="1" customWidth="1"/>
    <col min="14861" max="14861" width="16.81640625" style="95" bestFit="1" customWidth="1"/>
    <col min="14862" max="14862" width="15" style="95" customWidth="1"/>
    <col min="14863" max="14863" width="7.1796875" style="95" bestFit="1" customWidth="1"/>
    <col min="14864" max="14864" width="9.1796875" style="95" bestFit="1" customWidth="1"/>
    <col min="14865" max="14865" width="13.81640625" style="95" bestFit="1" customWidth="1"/>
    <col min="14866" max="14866" width="7.1796875" style="95" bestFit="1" customWidth="1"/>
    <col min="14867" max="14867" width="10.81640625" style="95"/>
    <col min="14868" max="14868" width="1.1796875" style="95" customWidth="1"/>
    <col min="14869" max="14869" width="5.81640625" style="95" bestFit="1" customWidth="1"/>
    <col min="14870" max="14870" width="9" style="95" bestFit="1" customWidth="1"/>
    <col min="14871" max="14871" width="13.54296875" style="95" bestFit="1" customWidth="1"/>
    <col min="14872" max="14872" width="7" style="95" bestFit="1" customWidth="1"/>
    <col min="14873" max="14873" width="2" style="95" customWidth="1"/>
    <col min="14874" max="14874" width="5.81640625" style="95" bestFit="1" customWidth="1"/>
    <col min="14875" max="14875" width="9" style="95" bestFit="1" customWidth="1"/>
    <col min="14876" max="14876" width="13.54296875" style="95" bestFit="1" customWidth="1"/>
    <col min="14877" max="14877" width="7" style="95" bestFit="1" customWidth="1"/>
    <col min="14878" max="14878" width="1.54296875" style="95" customWidth="1"/>
    <col min="14879" max="14879" width="8.453125" style="95" bestFit="1" customWidth="1"/>
    <col min="14880" max="14880" width="9" style="95" bestFit="1" customWidth="1"/>
    <col min="14881" max="14881" width="13.54296875" style="95" bestFit="1" customWidth="1"/>
    <col min="14882" max="14882" width="7" style="95" bestFit="1" customWidth="1"/>
    <col min="14883" max="14883" width="2" style="95" customWidth="1"/>
    <col min="14884" max="14884" width="8.453125" style="95" bestFit="1" customWidth="1"/>
    <col min="14885" max="14885" width="9" style="95" bestFit="1" customWidth="1"/>
    <col min="14886" max="14886" width="13.54296875" style="95" bestFit="1" customWidth="1"/>
    <col min="14887" max="14887" width="7" style="95" bestFit="1" customWidth="1"/>
    <col min="14888" max="14888" width="8.453125" style="95" bestFit="1" customWidth="1"/>
    <col min="14889" max="14889" width="2.54296875" style="95" customWidth="1"/>
    <col min="14890" max="14890" width="23.1796875" style="95" bestFit="1" customWidth="1"/>
    <col min="14891" max="14891" width="10.81640625" style="95"/>
    <col min="14892" max="14892" width="15.1796875" style="95" bestFit="1" customWidth="1"/>
    <col min="14893" max="14893" width="16.453125" style="95" bestFit="1" customWidth="1"/>
    <col min="14894" max="15111" width="10.81640625" style="95"/>
    <col min="15112" max="15112" width="1.54296875" style="95" customWidth="1"/>
    <col min="15113" max="15113" width="13" style="95" bestFit="1" customWidth="1"/>
    <col min="15114" max="15114" width="47.453125" style="95" bestFit="1" customWidth="1"/>
    <col min="15115" max="15115" width="10.1796875" style="95" customWidth="1"/>
    <col min="15116" max="15116" width="5.54296875" style="95" bestFit="1" customWidth="1"/>
    <col min="15117" max="15117" width="16.81640625" style="95" bestFit="1" customWidth="1"/>
    <col min="15118" max="15118" width="15" style="95" customWidth="1"/>
    <col min="15119" max="15119" width="7.1796875" style="95" bestFit="1" customWidth="1"/>
    <col min="15120" max="15120" width="9.1796875" style="95" bestFit="1" customWidth="1"/>
    <col min="15121" max="15121" width="13.81640625" style="95" bestFit="1" customWidth="1"/>
    <col min="15122" max="15122" width="7.1796875" style="95" bestFit="1" customWidth="1"/>
    <col min="15123" max="15123" width="10.81640625" style="95"/>
    <col min="15124" max="15124" width="1.1796875" style="95" customWidth="1"/>
    <col min="15125" max="15125" width="5.81640625" style="95" bestFit="1" customWidth="1"/>
    <col min="15126" max="15126" width="9" style="95" bestFit="1" customWidth="1"/>
    <col min="15127" max="15127" width="13.54296875" style="95" bestFit="1" customWidth="1"/>
    <col min="15128" max="15128" width="7" style="95" bestFit="1" customWidth="1"/>
    <col min="15129" max="15129" width="2" style="95" customWidth="1"/>
    <col min="15130" max="15130" width="5.81640625" style="95" bestFit="1" customWidth="1"/>
    <col min="15131" max="15131" width="9" style="95" bestFit="1" customWidth="1"/>
    <col min="15132" max="15132" width="13.54296875" style="95" bestFit="1" customWidth="1"/>
    <col min="15133" max="15133" width="7" style="95" bestFit="1" customWidth="1"/>
    <col min="15134" max="15134" width="1.54296875" style="95" customWidth="1"/>
    <col min="15135" max="15135" width="8.453125" style="95" bestFit="1" customWidth="1"/>
    <col min="15136" max="15136" width="9" style="95" bestFit="1" customWidth="1"/>
    <col min="15137" max="15137" width="13.54296875" style="95" bestFit="1" customWidth="1"/>
    <col min="15138" max="15138" width="7" style="95" bestFit="1" customWidth="1"/>
    <col min="15139" max="15139" width="2" style="95" customWidth="1"/>
    <col min="15140" max="15140" width="8.453125" style="95" bestFit="1" customWidth="1"/>
    <col min="15141" max="15141" width="9" style="95" bestFit="1" customWidth="1"/>
    <col min="15142" max="15142" width="13.54296875" style="95" bestFit="1" customWidth="1"/>
    <col min="15143" max="15143" width="7" style="95" bestFit="1" customWidth="1"/>
    <col min="15144" max="15144" width="8.453125" style="95" bestFit="1" customWidth="1"/>
    <col min="15145" max="15145" width="2.54296875" style="95" customWidth="1"/>
    <col min="15146" max="15146" width="23.1796875" style="95" bestFit="1" customWidth="1"/>
    <col min="15147" max="15147" width="10.81640625" style="95"/>
    <col min="15148" max="15148" width="15.1796875" style="95" bestFit="1" customWidth="1"/>
    <col min="15149" max="15149" width="16.453125" style="95" bestFit="1" customWidth="1"/>
    <col min="15150" max="15367" width="10.81640625" style="95"/>
    <col min="15368" max="15368" width="1.54296875" style="95" customWidth="1"/>
    <col min="15369" max="15369" width="13" style="95" bestFit="1" customWidth="1"/>
    <col min="15370" max="15370" width="47.453125" style="95" bestFit="1" customWidth="1"/>
    <col min="15371" max="15371" width="10.1796875" style="95" customWidth="1"/>
    <col min="15372" max="15372" width="5.54296875" style="95" bestFit="1" customWidth="1"/>
    <col min="15373" max="15373" width="16.81640625" style="95" bestFit="1" customWidth="1"/>
    <col min="15374" max="15374" width="15" style="95" customWidth="1"/>
    <col min="15375" max="15375" width="7.1796875" style="95" bestFit="1" customWidth="1"/>
    <col min="15376" max="15376" width="9.1796875" style="95" bestFit="1" customWidth="1"/>
    <col min="15377" max="15377" width="13.81640625" style="95" bestFit="1" customWidth="1"/>
    <col min="15378" max="15378" width="7.1796875" style="95" bestFit="1" customWidth="1"/>
    <col min="15379" max="15379" width="10.81640625" style="95"/>
    <col min="15380" max="15380" width="1.1796875" style="95" customWidth="1"/>
    <col min="15381" max="15381" width="5.81640625" style="95" bestFit="1" customWidth="1"/>
    <col min="15382" max="15382" width="9" style="95" bestFit="1" customWidth="1"/>
    <col min="15383" max="15383" width="13.54296875" style="95" bestFit="1" customWidth="1"/>
    <col min="15384" max="15384" width="7" style="95" bestFit="1" customWidth="1"/>
    <col min="15385" max="15385" width="2" style="95" customWidth="1"/>
    <col min="15386" max="15386" width="5.81640625" style="95" bestFit="1" customWidth="1"/>
    <col min="15387" max="15387" width="9" style="95" bestFit="1" customWidth="1"/>
    <col min="15388" max="15388" width="13.54296875" style="95" bestFit="1" customWidth="1"/>
    <col min="15389" max="15389" width="7" style="95" bestFit="1" customWidth="1"/>
    <col min="15390" max="15390" width="1.54296875" style="95" customWidth="1"/>
    <col min="15391" max="15391" width="8.453125" style="95" bestFit="1" customWidth="1"/>
    <col min="15392" max="15392" width="9" style="95" bestFit="1" customWidth="1"/>
    <col min="15393" max="15393" width="13.54296875" style="95" bestFit="1" customWidth="1"/>
    <col min="15394" max="15394" width="7" style="95" bestFit="1" customWidth="1"/>
    <col min="15395" max="15395" width="2" style="95" customWidth="1"/>
    <col min="15396" max="15396" width="8.453125" style="95" bestFit="1" customWidth="1"/>
    <col min="15397" max="15397" width="9" style="95" bestFit="1" customWidth="1"/>
    <col min="15398" max="15398" width="13.54296875" style="95" bestFit="1" customWidth="1"/>
    <col min="15399" max="15399" width="7" style="95" bestFit="1" customWidth="1"/>
    <col min="15400" max="15400" width="8.453125" style="95" bestFit="1" customWidth="1"/>
    <col min="15401" max="15401" width="2.54296875" style="95" customWidth="1"/>
    <col min="15402" max="15402" width="23.1796875" style="95" bestFit="1" customWidth="1"/>
    <col min="15403" max="15403" width="10.81640625" style="95"/>
    <col min="15404" max="15404" width="15.1796875" style="95" bestFit="1" customWidth="1"/>
    <col min="15405" max="15405" width="16.453125" style="95" bestFit="1" customWidth="1"/>
    <col min="15406" max="15623" width="10.81640625" style="95"/>
    <col min="15624" max="15624" width="1.54296875" style="95" customWidth="1"/>
    <col min="15625" max="15625" width="13" style="95" bestFit="1" customWidth="1"/>
    <col min="15626" max="15626" width="47.453125" style="95" bestFit="1" customWidth="1"/>
    <col min="15627" max="15627" width="10.1796875" style="95" customWidth="1"/>
    <col min="15628" max="15628" width="5.54296875" style="95" bestFit="1" customWidth="1"/>
    <col min="15629" max="15629" width="16.81640625" style="95" bestFit="1" customWidth="1"/>
    <col min="15630" max="15630" width="15" style="95" customWidth="1"/>
    <col min="15631" max="15631" width="7.1796875" style="95" bestFit="1" customWidth="1"/>
    <col min="15632" max="15632" width="9.1796875" style="95" bestFit="1" customWidth="1"/>
    <col min="15633" max="15633" width="13.81640625" style="95" bestFit="1" customWidth="1"/>
    <col min="15634" max="15634" width="7.1796875" style="95" bestFit="1" customWidth="1"/>
    <col min="15635" max="15635" width="10.81640625" style="95"/>
    <col min="15636" max="15636" width="1.1796875" style="95" customWidth="1"/>
    <col min="15637" max="15637" width="5.81640625" style="95" bestFit="1" customWidth="1"/>
    <col min="15638" max="15638" width="9" style="95" bestFit="1" customWidth="1"/>
    <col min="15639" max="15639" width="13.54296875" style="95" bestFit="1" customWidth="1"/>
    <col min="15640" max="15640" width="7" style="95" bestFit="1" customWidth="1"/>
    <col min="15641" max="15641" width="2" style="95" customWidth="1"/>
    <col min="15642" max="15642" width="5.81640625" style="95" bestFit="1" customWidth="1"/>
    <col min="15643" max="15643" width="9" style="95" bestFit="1" customWidth="1"/>
    <col min="15644" max="15644" width="13.54296875" style="95" bestFit="1" customWidth="1"/>
    <col min="15645" max="15645" width="7" style="95" bestFit="1" customWidth="1"/>
    <col min="15646" max="15646" width="1.54296875" style="95" customWidth="1"/>
    <col min="15647" max="15647" width="8.453125" style="95" bestFit="1" customWidth="1"/>
    <col min="15648" max="15648" width="9" style="95" bestFit="1" customWidth="1"/>
    <col min="15649" max="15649" width="13.54296875" style="95" bestFit="1" customWidth="1"/>
    <col min="15650" max="15650" width="7" style="95" bestFit="1" customWidth="1"/>
    <col min="15651" max="15651" width="2" style="95" customWidth="1"/>
    <col min="15652" max="15652" width="8.453125" style="95" bestFit="1" customWidth="1"/>
    <col min="15653" max="15653" width="9" style="95" bestFit="1" customWidth="1"/>
    <col min="15654" max="15654" width="13.54296875" style="95" bestFit="1" customWidth="1"/>
    <col min="15655" max="15655" width="7" style="95" bestFit="1" customWidth="1"/>
    <col min="15656" max="15656" width="8.453125" style="95" bestFit="1" customWidth="1"/>
    <col min="15657" max="15657" width="2.54296875" style="95" customWidth="1"/>
    <col min="15658" max="15658" width="23.1796875" style="95" bestFit="1" customWidth="1"/>
    <col min="15659" max="15659" width="10.81640625" style="95"/>
    <col min="15660" max="15660" width="15.1796875" style="95" bestFit="1" customWidth="1"/>
    <col min="15661" max="15661" width="16.453125" style="95" bestFit="1" customWidth="1"/>
    <col min="15662" max="15879" width="10.81640625" style="95"/>
    <col min="15880" max="15880" width="1.54296875" style="95" customWidth="1"/>
    <col min="15881" max="15881" width="13" style="95" bestFit="1" customWidth="1"/>
    <col min="15882" max="15882" width="47.453125" style="95" bestFit="1" customWidth="1"/>
    <col min="15883" max="15883" width="10.1796875" style="95" customWidth="1"/>
    <col min="15884" max="15884" width="5.54296875" style="95" bestFit="1" customWidth="1"/>
    <col min="15885" max="15885" width="16.81640625" style="95" bestFit="1" customWidth="1"/>
    <col min="15886" max="15886" width="15" style="95" customWidth="1"/>
    <col min="15887" max="15887" width="7.1796875" style="95" bestFit="1" customWidth="1"/>
    <col min="15888" max="15888" width="9.1796875" style="95" bestFit="1" customWidth="1"/>
    <col min="15889" max="15889" width="13.81640625" style="95" bestFit="1" customWidth="1"/>
    <col min="15890" max="15890" width="7.1796875" style="95" bestFit="1" customWidth="1"/>
    <col min="15891" max="15891" width="10.81640625" style="95"/>
    <col min="15892" max="15892" width="1.1796875" style="95" customWidth="1"/>
    <col min="15893" max="15893" width="5.81640625" style="95" bestFit="1" customWidth="1"/>
    <col min="15894" max="15894" width="9" style="95" bestFit="1" customWidth="1"/>
    <col min="15895" max="15895" width="13.54296875" style="95" bestFit="1" customWidth="1"/>
    <col min="15896" max="15896" width="7" style="95" bestFit="1" customWidth="1"/>
    <col min="15897" max="15897" width="2" style="95" customWidth="1"/>
    <col min="15898" max="15898" width="5.81640625" style="95" bestFit="1" customWidth="1"/>
    <col min="15899" max="15899" width="9" style="95" bestFit="1" customWidth="1"/>
    <col min="15900" max="15900" width="13.54296875" style="95" bestFit="1" customWidth="1"/>
    <col min="15901" max="15901" width="7" style="95" bestFit="1" customWidth="1"/>
    <col min="15902" max="15902" width="1.54296875" style="95" customWidth="1"/>
    <col min="15903" max="15903" width="8.453125" style="95" bestFit="1" customWidth="1"/>
    <col min="15904" max="15904" width="9" style="95" bestFit="1" customWidth="1"/>
    <col min="15905" max="15905" width="13.54296875" style="95" bestFit="1" customWidth="1"/>
    <col min="15906" max="15906" width="7" style="95" bestFit="1" customWidth="1"/>
    <col min="15907" max="15907" width="2" style="95" customWidth="1"/>
    <col min="15908" max="15908" width="8.453125" style="95" bestFit="1" customWidth="1"/>
    <col min="15909" max="15909" width="9" style="95" bestFit="1" customWidth="1"/>
    <col min="15910" max="15910" width="13.54296875" style="95" bestFit="1" customWidth="1"/>
    <col min="15911" max="15911" width="7" style="95" bestFit="1" customWidth="1"/>
    <col min="15912" max="15912" width="8.453125" style="95" bestFit="1" customWidth="1"/>
    <col min="15913" max="15913" width="2.54296875" style="95" customWidth="1"/>
    <col min="15914" max="15914" width="23.1796875" style="95" bestFit="1" customWidth="1"/>
    <col min="15915" max="15915" width="10.81640625" style="95"/>
    <col min="15916" max="15916" width="15.1796875" style="95" bestFit="1" customWidth="1"/>
    <col min="15917" max="15917" width="16.453125" style="95" bestFit="1" customWidth="1"/>
    <col min="15918" max="16135" width="10.81640625" style="95"/>
    <col min="16136" max="16136" width="1.54296875" style="95" customWidth="1"/>
    <col min="16137" max="16137" width="13" style="95" bestFit="1" customWidth="1"/>
    <col min="16138" max="16138" width="47.453125" style="95" bestFit="1" customWidth="1"/>
    <col min="16139" max="16139" width="10.1796875" style="95" customWidth="1"/>
    <col min="16140" max="16140" width="5.54296875" style="95" bestFit="1" customWidth="1"/>
    <col min="16141" max="16141" width="16.81640625" style="95" bestFit="1" customWidth="1"/>
    <col min="16142" max="16142" width="15" style="95" customWidth="1"/>
    <col min="16143" max="16143" width="7.1796875" style="95" bestFit="1" customWidth="1"/>
    <col min="16144" max="16144" width="9.1796875" style="95" bestFit="1" customWidth="1"/>
    <col min="16145" max="16145" width="13.81640625" style="95" bestFit="1" customWidth="1"/>
    <col min="16146" max="16146" width="7.1796875" style="95" bestFit="1" customWidth="1"/>
    <col min="16147" max="16147" width="10.81640625" style="95"/>
    <col min="16148" max="16148" width="1.1796875" style="95" customWidth="1"/>
    <col min="16149" max="16149" width="5.81640625" style="95" bestFit="1" customWidth="1"/>
    <col min="16150" max="16150" width="9" style="95" bestFit="1" customWidth="1"/>
    <col min="16151" max="16151" width="13.54296875" style="95" bestFit="1" customWidth="1"/>
    <col min="16152" max="16152" width="7" style="95" bestFit="1" customWidth="1"/>
    <col min="16153" max="16153" width="2" style="95" customWidth="1"/>
    <col min="16154" max="16154" width="5.81640625" style="95" bestFit="1" customWidth="1"/>
    <col min="16155" max="16155" width="9" style="95" bestFit="1" customWidth="1"/>
    <col min="16156" max="16156" width="13.54296875" style="95" bestFit="1" customWidth="1"/>
    <col min="16157" max="16157" width="7" style="95" bestFit="1" customWidth="1"/>
    <col min="16158" max="16158" width="1.54296875" style="95" customWidth="1"/>
    <col min="16159" max="16159" width="8.453125" style="95" bestFit="1" customWidth="1"/>
    <col min="16160" max="16160" width="9" style="95" bestFit="1" customWidth="1"/>
    <col min="16161" max="16161" width="13.54296875" style="95" bestFit="1" customWidth="1"/>
    <col min="16162" max="16162" width="7" style="95" bestFit="1" customWidth="1"/>
    <col min="16163" max="16163" width="2" style="95" customWidth="1"/>
    <col min="16164" max="16164" width="8.453125" style="95" bestFit="1" customWidth="1"/>
    <col min="16165" max="16165" width="9" style="95" bestFit="1" customWidth="1"/>
    <col min="16166" max="16166" width="13.54296875" style="95" bestFit="1" customWidth="1"/>
    <col min="16167" max="16167" width="7" style="95" bestFit="1" customWidth="1"/>
    <col min="16168" max="16168" width="8.453125" style="95" bestFit="1" customWidth="1"/>
    <col min="16169" max="16169" width="2.54296875" style="95" customWidth="1"/>
    <col min="16170" max="16170" width="23.1796875" style="95" bestFit="1" customWidth="1"/>
    <col min="16171" max="16171" width="10.81640625" style="95"/>
    <col min="16172" max="16172" width="15.1796875" style="95" bestFit="1" customWidth="1"/>
    <col min="16173" max="16173" width="16.453125" style="95" bestFit="1" customWidth="1"/>
    <col min="16174" max="16384" width="10.81640625" style="95"/>
  </cols>
  <sheetData>
    <row r="1" spans="2:51" x14ac:dyDescent="0.35">
      <c r="P1" s="357" t="s">
        <v>49</v>
      </c>
      <c r="Q1" s="357"/>
      <c r="R1" s="357"/>
      <c r="S1" s="357"/>
      <c r="T1" s="357"/>
      <c r="V1" s="358" t="s">
        <v>50</v>
      </c>
      <c r="W1" s="358"/>
      <c r="X1" s="358"/>
      <c r="Y1" s="358"/>
      <c r="Z1" s="358"/>
      <c r="AB1" s="358" t="s">
        <v>39</v>
      </c>
      <c r="AC1" s="358"/>
      <c r="AD1" s="358"/>
      <c r="AE1" s="358"/>
      <c r="AF1" s="358"/>
      <c r="AH1" s="358" t="s">
        <v>43</v>
      </c>
      <c r="AI1" s="358"/>
      <c r="AJ1" s="358"/>
      <c r="AK1" s="358"/>
      <c r="AL1" s="358"/>
      <c r="AM1" s="358"/>
    </row>
    <row r="2" spans="2:51" s="105" customFormat="1" x14ac:dyDescent="0.35">
      <c r="B2" s="114" t="s">
        <v>189</v>
      </c>
      <c r="C2" s="114" t="s">
        <v>33</v>
      </c>
      <c r="D2" s="115" t="s">
        <v>34</v>
      </c>
      <c r="E2" s="115" t="s">
        <v>35</v>
      </c>
      <c r="F2" s="115" t="s">
        <v>18</v>
      </c>
      <c r="G2" s="116" t="s">
        <v>44</v>
      </c>
      <c r="H2" s="116" t="s">
        <v>36</v>
      </c>
      <c r="I2" s="117" t="s">
        <v>19</v>
      </c>
      <c r="J2" s="117" t="s">
        <v>52</v>
      </c>
      <c r="K2" s="117" t="s">
        <v>53</v>
      </c>
      <c r="L2" s="117" t="s">
        <v>21</v>
      </c>
      <c r="M2" s="117" t="s">
        <v>20</v>
      </c>
      <c r="N2" s="117" t="s">
        <v>36</v>
      </c>
      <c r="P2" s="298" t="str">
        <f>+$I$2</f>
        <v>MO</v>
      </c>
      <c r="Q2" s="298" t="str">
        <f>+$J$2</f>
        <v>EQUIPOS ACARA</v>
      </c>
      <c r="R2" s="298" t="str">
        <f>+$K$2</f>
        <v>EQUIPOS USD</v>
      </c>
      <c r="S2" s="298" t="str">
        <f>+$L$2</f>
        <v>COMBUSTIBLE</v>
      </c>
      <c r="T2" s="298" t="str">
        <f>+$M$2</f>
        <v>OTROS</v>
      </c>
      <c r="V2" s="117" t="str">
        <f>+$I$2</f>
        <v>MO</v>
      </c>
      <c r="W2" s="117" t="str">
        <f>+$J$2</f>
        <v>EQUIPOS ACARA</v>
      </c>
      <c r="X2" s="117" t="str">
        <f>+$K$2</f>
        <v>EQUIPOS USD</v>
      </c>
      <c r="Y2" s="117" t="str">
        <f>+$L$2</f>
        <v>COMBUSTIBLE</v>
      </c>
      <c r="Z2" s="117" t="str">
        <f>+$M$2</f>
        <v>OTROS</v>
      </c>
      <c r="AB2" s="117" t="str">
        <f>+$I$2</f>
        <v>MO</v>
      </c>
      <c r="AC2" s="117" t="str">
        <f>+$J$2</f>
        <v>EQUIPOS ACARA</v>
      </c>
      <c r="AD2" s="117" t="str">
        <f>+$K$2</f>
        <v>EQUIPOS USD</v>
      </c>
      <c r="AE2" s="117" t="str">
        <f>+$L$2</f>
        <v>COMBUSTIBLE</v>
      </c>
      <c r="AF2" s="117" t="str">
        <f>+$M$2</f>
        <v>OTROS</v>
      </c>
      <c r="AG2" s="118"/>
      <c r="AH2" s="117" t="str">
        <f>+$I$2</f>
        <v>MO</v>
      </c>
      <c r="AI2" s="117" t="str">
        <f>+$J$2</f>
        <v>EQUIPOS ACARA</v>
      </c>
      <c r="AJ2" s="117" t="str">
        <f>+$K$2</f>
        <v>EQUIPOS USD</v>
      </c>
      <c r="AK2" s="117" t="str">
        <f>+$L$2</f>
        <v>COMBUSTIBLE</v>
      </c>
      <c r="AL2" s="117" t="str">
        <f>+$M$2</f>
        <v>OTROS</v>
      </c>
      <c r="AM2" s="117" t="s">
        <v>36</v>
      </c>
      <c r="AO2" s="119" t="s">
        <v>50</v>
      </c>
      <c r="AQ2" s="116" t="s">
        <v>51</v>
      </c>
      <c r="AR2" s="116" t="s">
        <v>48</v>
      </c>
      <c r="AT2" s="117" t="s">
        <v>45</v>
      </c>
      <c r="AU2" s="117" t="str">
        <f>+$I$2</f>
        <v>MO</v>
      </c>
      <c r="AV2" s="117" t="str">
        <f>+$J$2</f>
        <v>EQUIPOS ACARA</v>
      </c>
      <c r="AW2" s="117" t="str">
        <f>+$K$2</f>
        <v>EQUIPOS USD</v>
      </c>
      <c r="AX2" s="117" t="str">
        <f>+$L$2</f>
        <v>COMBUSTIBLE</v>
      </c>
      <c r="AY2" s="117" t="str">
        <f>+$M$2</f>
        <v>OTROS</v>
      </c>
    </row>
    <row r="3" spans="2:51" ht="15.5" x14ac:dyDescent="0.35">
      <c r="B3" s="306">
        <v>1</v>
      </c>
      <c r="C3" s="307">
        <v>701410194600</v>
      </c>
      <c r="D3" s="308" t="s">
        <v>336</v>
      </c>
      <c r="E3" s="309"/>
      <c r="F3" s="310" t="s">
        <v>249</v>
      </c>
      <c r="G3" s="311">
        <f>+'[3]PRECIO SEP 23'!$G$3</f>
        <v>82188.076144907347</v>
      </c>
      <c r="H3" s="120">
        <f>+G3*E3</f>
        <v>0</v>
      </c>
      <c r="I3" s="318">
        <v>0.65400000000000003</v>
      </c>
      <c r="J3" s="318">
        <v>0.152</v>
      </c>
      <c r="K3" s="318">
        <v>0.104</v>
      </c>
      <c r="L3" s="318">
        <v>7.9000000000000001E-2</v>
      </c>
      <c r="M3" s="318">
        <v>0.01</v>
      </c>
      <c r="N3" s="319">
        <v>0.999</v>
      </c>
      <c r="P3" s="122">
        <f>+'PRECIOS ABR24'!N8</f>
        <v>1</v>
      </c>
      <c r="Q3" s="123">
        <f>+'PRECIOS ABR24'!N13</f>
        <v>12470</v>
      </c>
      <c r="R3" s="123">
        <f>+'PRECIOS ABR24'!N19</f>
        <v>256.7</v>
      </c>
      <c r="S3" s="123">
        <f>+'PRECIOS ABR24'!N20</f>
        <v>245.48699999999999</v>
      </c>
      <c r="T3" s="123">
        <f>+'PRECIOS ABR24'!N14</f>
        <v>27223.052521560079</v>
      </c>
      <c r="V3" s="335">
        <f>+'PRECIOS ABR24'!O8</f>
        <v>2.62</v>
      </c>
      <c r="W3" s="336">
        <f>+'PRECIOS ABR24'!O13</f>
        <v>39078</v>
      </c>
      <c r="X3" s="336">
        <f>+'PRECIOS ABR24'!O19</f>
        <v>876</v>
      </c>
      <c r="Y3" s="336">
        <f>+'PRECIOS ABR24'!O20</f>
        <v>922.9</v>
      </c>
      <c r="Z3" s="336">
        <f>+'PRECIOS ABR24'!O14</f>
        <v>86409.555033848243</v>
      </c>
      <c r="AB3" s="122">
        <f>+V3/P3-1</f>
        <v>1.62</v>
      </c>
      <c r="AC3" s="122">
        <f>+W3/Q3-1</f>
        <v>2.1337610264635125</v>
      </c>
      <c r="AD3" s="122">
        <f>+X3/R3-1</f>
        <v>2.4125438254772109</v>
      </c>
      <c r="AE3" s="122">
        <f>+Y3/S3-1</f>
        <v>2.759465878030201</v>
      </c>
      <c r="AF3" s="122">
        <f>+Z3/T3-1</f>
        <v>2.1741317387318602</v>
      </c>
      <c r="AH3" s="122">
        <f>+AB3*I3</f>
        <v>1.0594800000000002</v>
      </c>
      <c r="AI3" s="122">
        <f>+AC3*J3</f>
        <v>0.32433167602245389</v>
      </c>
      <c r="AJ3" s="122">
        <f>+AD3*K3</f>
        <v>0.25090455784962995</v>
      </c>
      <c r="AK3" s="122">
        <f>+AE3*L3</f>
        <v>0.21799780436438587</v>
      </c>
      <c r="AL3" s="122">
        <f>+AF3*M3</f>
        <v>2.17413173873186E-2</v>
      </c>
      <c r="AM3" s="122">
        <f t="shared" ref="AM3:AM60" si="0">SUM(AH3:AL3)</f>
        <v>1.8744553556237884</v>
      </c>
      <c r="AO3" s="120">
        <f>+G3*(1+AM3)</f>
        <v>236245.95564314464</v>
      </c>
      <c r="AQ3" s="120">
        <f>+G3*$E3</f>
        <v>0</v>
      </c>
      <c r="AR3" s="120">
        <f>+AO3*$E3</f>
        <v>0</v>
      </c>
      <c r="AT3" s="122" t="e">
        <f t="shared" ref="AT3:AT34" si="1">+AQ3/$AQ$61</f>
        <v>#DIV/0!</v>
      </c>
      <c r="AU3" s="122" t="e">
        <f>+I3*$AT3</f>
        <v>#DIV/0!</v>
      </c>
      <c r="AV3" s="122" t="e">
        <f>+J3*$AT3</f>
        <v>#DIV/0!</v>
      </c>
      <c r="AW3" s="122" t="e">
        <f>+K3*$AT3</f>
        <v>#DIV/0!</v>
      </c>
      <c r="AX3" s="122" t="e">
        <f>+L3*$AT3</f>
        <v>#DIV/0!</v>
      </c>
      <c r="AY3" s="122" t="e">
        <f>+M3*$AT3</f>
        <v>#DIV/0!</v>
      </c>
    </row>
    <row r="4" spans="2:51" ht="15.5" x14ac:dyDescent="0.35">
      <c r="B4" s="306"/>
      <c r="C4" s="312">
        <v>701410196600</v>
      </c>
      <c r="D4" s="313" t="s">
        <v>337</v>
      </c>
      <c r="E4" s="309"/>
      <c r="F4" s="314" t="s">
        <v>249</v>
      </c>
      <c r="G4" s="311">
        <f>+'[3]PRECIO SEP 23'!$G$4</f>
        <v>167701.02888795998</v>
      </c>
      <c r="H4" s="120">
        <f t="shared" ref="H4:H60" si="2">+G4*E4</f>
        <v>0</v>
      </c>
      <c r="I4" s="318">
        <v>0.65400000000000003</v>
      </c>
      <c r="J4" s="318">
        <v>0.152</v>
      </c>
      <c r="K4" s="318">
        <v>0.104</v>
      </c>
      <c r="L4" s="318">
        <v>7.9000000000000001E-2</v>
      </c>
      <c r="M4" s="318">
        <v>0.01</v>
      </c>
      <c r="N4" s="319">
        <v>0.999</v>
      </c>
      <c r="P4" s="122">
        <f>+P3</f>
        <v>1</v>
      </c>
      <c r="Q4" s="123">
        <f>+Q3</f>
        <v>12470</v>
      </c>
      <c r="R4" s="123">
        <f>+R3</f>
        <v>256.7</v>
      </c>
      <c r="S4" s="123">
        <f>+S3</f>
        <v>245.48699999999999</v>
      </c>
      <c r="T4" s="123">
        <f>+T3</f>
        <v>27223.052521560079</v>
      </c>
      <c r="V4" s="122">
        <f>+V3</f>
        <v>2.62</v>
      </c>
      <c r="W4" s="123">
        <f>+W3</f>
        <v>39078</v>
      </c>
      <c r="X4" s="123">
        <f>+X3</f>
        <v>876</v>
      </c>
      <c r="Y4" s="123">
        <f>+Y3</f>
        <v>922.9</v>
      </c>
      <c r="Z4" s="123">
        <f>+Z3</f>
        <v>86409.555033848243</v>
      </c>
      <c r="AB4" s="122">
        <f t="shared" ref="AB4:AB60" si="3">+V4/P4-1</f>
        <v>1.62</v>
      </c>
      <c r="AC4" s="122">
        <f t="shared" ref="AC4:AC60" si="4">+W4/Q4-1</f>
        <v>2.1337610264635125</v>
      </c>
      <c r="AD4" s="122">
        <f t="shared" ref="AD4:AD60" si="5">+X4/R4-1</f>
        <v>2.4125438254772109</v>
      </c>
      <c r="AE4" s="122">
        <f t="shared" ref="AE4:AE60" si="6">+Y4/S4-1</f>
        <v>2.759465878030201</v>
      </c>
      <c r="AF4" s="122">
        <f t="shared" ref="AF4:AF60" si="7">+Z4/T4-1</f>
        <v>2.1741317387318602</v>
      </c>
      <c r="AH4" s="122">
        <f t="shared" ref="AH4:AH60" si="8">+AB4*I4</f>
        <v>1.0594800000000002</v>
      </c>
      <c r="AI4" s="122">
        <f t="shared" ref="AI4:AI60" si="9">+AC4*J4</f>
        <v>0.32433167602245389</v>
      </c>
      <c r="AJ4" s="122">
        <f t="shared" ref="AJ4:AJ60" si="10">+AD4*K4</f>
        <v>0.25090455784962995</v>
      </c>
      <c r="AK4" s="122">
        <f t="shared" ref="AK4:AK60" si="11">+AE4*L4</f>
        <v>0.21799780436438587</v>
      </c>
      <c r="AL4" s="122">
        <f t="shared" ref="AL4:AL60" si="12">+AF4*M4</f>
        <v>2.17413173873186E-2</v>
      </c>
      <c r="AM4" s="122">
        <f t="shared" si="0"/>
        <v>1.8744553556237884</v>
      </c>
      <c r="AO4" s="120">
        <f t="shared" ref="AO4:AO60" si="13">+G4*(1+AM4)</f>
        <v>482049.12063061621</v>
      </c>
      <c r="AQ4" s="120">
        <f t="shared" ref="AQ4:AQ60" si="14">+G4*$E4</f>
        <v>0</v>
      </c>
      <c r="AR4" s="120">
        <f t="shared" ref="AR4:AR60" si="15">+AO4*$E4</f>
        <v>0</v>
      </c>
      <c r="AT4" s="122" t="e">
        <f t="shared" si="1"/>
        <v>#DIV/0!</v>
      </c>
      <c r="AU4" s="122" t="e">
        <f t="shared" ref="AU4:AY35" si="16">+I4*$AT4</f>
        <v>#DIV/0!</v>
      </c>
      <c r="AV4" s="122" t="e">
        <f t="shared" si="16"/>
        <v>#DIV/0!</v>
      </c>
      <c r="AW4" s="122" t="e">
        <f t="shared" si="16"/>
        <v>#DIV/0!</v>
      </c>
      <c r="AX4" s="122" t="e">
        <f t="shared" si="16"/>
        <v>#DIV/0!</v>
      </c>
      <c r="AY4" s="122" t="e">
        <f t="shared" si="16"/>
        <v>#DIV/0!</v>
      </c>
    </row>
    <row r="5" spans="2:51" ht="15.5" x14ac:dyDescent="0.35">
      <c r="B5" s="306"/>
      <c r="C5" s="315">
        <v>621015003200</v>
      </c>
      <c r="D5" s="316" t="s">
        <v>338</v>
      </c>
      <c r="E5" s="317"/>
      <c r="F5" s="316" t="s">
        <v>291</v>
      </c>
      <c r="G5" s="311">
        <f>+'[3]PRECIO SEP 23'!$G$5</f>
        <v>436169.84699993348</v>
      </c>
      <c r="H5" s="120">
        <f t="shared" si="2"/>
        <v>0</v>
      </c>
      <c r="I5" s="318">
        <v>0</v>
      </c>
      <c r="J5" s="318">
        <v>0</v>
      </c>
      <c r="K5" s="318">
        <v>0</v>
      </c>
      <c r="L5" s="318">
        <v>0</v>
      </c>
      <c r="M5" s="318">
        <v>1</v>
      </c>
      <c r="N5" s="319">
        <v>1</v>
      </c>
      <c r="P5" s="122">
        <f t="shared" ref="P5:P60" si="17">+P4</f>
        <v>1</v>
      </c>
      <c r="Q5" s="123">
        <f t="shared" ref="Q5:Q60" si="18">+Q4</f>
        <v>12470</v>
      </c>
      <c r="R5" s="123">
        <f t="shared" ref="R5:R60" si="19">+R4</f>
        <v>256.7</v>
      </c>
      <c r="S5" s="123">
        <f t="shared" ref="S5:S60" si="20">+S4</f>
        <v>245.48699999999999</v>
      </c>
      <c r="T5" s="355">
        <f>+'PRECIOS ABR24'!N25</f>
        <v>27223.052521560079</v>
      </c>
      <c r="V5" s="122">
        <f t="shared" ref="V5:V60" si="21">+V4</f>
        <v>2.62</v>
      </c>
      <c r="W5" s="123">
        <f t="shared" ref="W5:W60" si="22">+W4</f>
        <v>39078</v>
      </c>
      <c r="X5" s="123">
        <f t="shared" ref="X5:X60" si="23">+X4</f>
        <v>876</v>
      </c>
      <c r="Y5" s="123">
        <f t="shared" ref="Y5:Y60" si="24">+Y4</f>
        <v>922.9</v>
      </c>
      <c r="Z5" s="355">
        <f>+'PRECIOS ABR24'!O25</f>
        <v>86409.555033848243</v>
      </c>
      <c r="AB5" s="122">
        <f t="shared" si="3"/>
        <v>1.62</v>
      </c>
      <c r="AC5" s="122">
        <f t="shared" si="4"/>
        <v>2.1337610264635125</v>
      </c>
      <c r="AD5" s="122">
        <f t="shared" si="5"/>
        <v>2.4125438254772109</v>
      </c>
      <c r="AE5" s="122">
        <f t="shared" si="6"/>
        <v>2.759465878030201</v>
      </c>
      <c r="AF5" s="122">
        <f t="shared" si="7"/>
        <v>2.1741317387318602</v>
      </c>
      <c r="AH5" s="122">
        <f t="shared" si="8"/>
        <v>0</v>
      </c>
      <c r="AI5" s="122">
        <f t="shared" si="9"/>
        <v>0</v>
      </c>
      <c r="AJ5" s="122">
        <f t="shared" si="10"/>
        <v>0</v>
      </c>
      <c r="AK5" s="122">
        <f t="shared" si="11"/>
        <v>0</v>
      </c>
      <c r="AL5" s="122">
        <f t="shared" si="12"/>
        <v>2.1741317387318602</v>
      </c>
      <c r="AM5" s="122">
        <f t="shared" si="0"/>
        <v>2.1741317387318602</v>
      </c>
      <c r="AO5" s="120">
        <f t="shared" si="13"/>
        <v>1384460.5548403084</v>
      </c>
      <c r="AQ5" s="120">
        <f t="shared" si="14"/>
        <v>0</v>
      </c>
      <c r="AR5" s="120">
        <f t="shared" si="15"/>
        <v>0</v>
      </c>
      <c r="AT5" s="122" t="e">
        <f t="shared" si="1"/>
        <v>#DIV/0!</v>
      </c>
      <c r="AU5" s="122" t="e">
        <f t="shared" si="16"/>
        <v>#DIV/0!</v>
      </c>
      <c r="AV5" s="122" t="e">
        <f t="shared" si="16"/>
        <v>#DIV/0!</v>
      </c>
      <c r="AW5" s="122" t="e">
        <f t="shared" si="16"/>
        <v>#DIV/0!</v>
      </c>
      <c r="AX5" s="122" t="e">
        <f t="shared" si="16"/>
        <v>#DIV/0!</v>
      </c>
      <c r="AY5" s="122" t="e">
        <f t="shared" si="16"/>
        <v>#DIV/0!</v>
      </c>
    </row>
    <row r="6" spans="2:51" x14ac:dyDescent="0.35">
      <c r="B6" s="114"/>
      <c r="C6" s="70"/>
      <c r="D6" s="70"/>
      <c r="E6" s="296"/>
      <c r="F6" s="125"/>
      <c r="G6" s="126"/>
      <c r="H6" s="120">
        <f t="shared" si="2"/>
        <v>0</v>
      </c>
      <c r="I6" s="318">
        <v>0</v>
      </c>
      <c r="J6" s="318">
        <v>0</v>
      </c>
      <c r="K6" s="318">
        <v>0</v>
      </c>
      <c r="L6" s="318">
        <v>0</v>
      </c>
      <c r="M6" s="318">
        <v>1</v>
      </c>
      <c r="N6" s="121">
        <f t="shared" ref="N6:N32" si="25">SUM(I6:M6)</f>
        <v>1</v>
      </c>
      <c r="P6" s="122">
        <f t="shared" si="17"/>
        <v>1</v>
      </c>
      <c r="Q6" s="123">
        <f t="shared" si="18"/>
        <v>12470</v>
      </c>
      <c r="R6" s="123">
        <f t="shared" si="19"/>
        <v>256.7</v>
      </c>
      <c r="S6" s="123">
        <f t="shared" si="20"/>
        <v>245.48699999999999</v>
      </c>
      <c r="T6" s="123">
        <f t="shared" ref="T6:T60" si="26">+T5</f>
        <v>27223.052521560079</v>
      </c>
      <c r="V6" s="122">
        <f t="shared" si="21"/>
        <v>2.62</v>
      </c>
      <c r="W6" s="123">
        <f t="shared" si="22"/>
        <v>39078</v>
      </c>
      <c r="X6" s="123">
        <f t="shared" si="23"/>
        <v>876</v>
      </c>
      <c r="Y6" s="123">
        <f t="shared" si="24"/>
        <v>922.9</v>
      </c>
      <c r="Z6" s="123">
        <f t="shared" ref="Z6:Z60" si="27">+Z5</f>
        <v>86409.555033848243</v>
      </c>
      <c r="AB6" s="122">
        <f t="shared" si="3"/>
        <v>1.62</v>
      </c>
      <c r="AC6" s="122">
        <f t="shared" si="4"/>
        <v>2.1337610264635125</v>
      </c>
      <c r="AD6" s="122">
        <f t="shared" si="5"/>
        <v>2.4125438254772109</v>
      </c>
      <c r="AE6" s="122">
        <f t="shared" si="6"/>
        <v>2.759465878030201</v>
      </c>
      <c r="AF6" s="122">
        <f t="shared" si="7"/>
        <v>2.1741317387318602</v>
      </c>
      <c r="AH6" s="122">
        <f t="shared" si="8"/>
        <v>0</v>
      </c>
      <c r="AI6" s="122">
        <f t="shared" si="9"/>
        <v>0</v>
      </c>
      <c r="AJ6" s="122">
        <f t="shared" si="10"/>
        <v>0</v>
      </c>
      <c r="AK6" s="122">
        <f t="shared" si="11"/>
        <v>0</v>
      </c>
      <c r="AL6" s="122">
        <f t="shared" si="12"/>
        <v>2.1741317387318602</v>
      </c>
      <c r="AM6" s="122">
        <f t="shared" si="0"/>
        <v>2.1741317387318602</v>
      </c>
      <c r="AO6" s="120">
        <f t="shared" si="13"/>
        <v>0</v>
      </c>
      <c r="AQ6" s="120">
        <f t="shared" si="14"/>
        <v>0</v>
      </c>
      <c r="AR6" s="120">
        <f t="shared" si="15"/>
        <v>0</v>
      </c>
      <c r="AT6" s="122" t="e">
        <f t="shared" si="1"/>
        <v>#DIV/0!</v>
      </c>
      <c r="AU6" s="122" t="e">
        <f t="shared" si="16"/>
        <v>#DIV/0!</v>
      </c>
      <c r="AV6" s="122" t="e">
        <f t="shared" si="16"/>
        <v>#DIV/0!</v>
      </c>
      <c r="AW6" s="122" t="e">
        <f t="shared" si="16"/>
        <v>#DIV/0!</v>
      </c>
      <c r="AX6" s="122" t="e">
        <f t="shared" si="16"/>
        <v>#DIV/0!</v>
      </c>
      <c r="AY6" s="122" t="e">
        <f t="shared" si="16"/>
        <v>#DIV/0!</v>
      </c>
    </row>
    <row r="7" spans="2:51" x14ac:dyDescent="0.35">
      <c r="B7" s="114"/>
      <c r="C7" s="70"/>
      <c r="D7" s="70"/>
      <c r="E7" s="296"/>
      <c r="F7" s="125"/>
      <c r="G7" s="126"/>
      <c r="H7" s="120">
        <f t="shared" si="2"/>
        <v>0</v>
      </c>
      <c r="I7" s="318">
        <v>0</v>
      </c>
      <c r="J7" s="318">
        <v>0</v>
      </c>
      <c r="K7" s="318">
        <v>0</v>
      </c>
      <c r="L7" s="318">
        <v>0</v>
      </c>
      <c r="M7" s="318">
        <v>1</v>
      </c>
      <c r="N7" s="121">
        <f t="shared" si="25"/>
        <v>1</v>
      </c>
      <c r="P7" s="122">
        <f t="shared" si="17"/>
        <v>1</v>
      </c>
      <c r="Q7" s="123">
        <f t="shared" si="18"/>
        <v>12470</v>
      </c>
      <c r="R7" s="123">
        <f t="shared" si="19"/>
        <v>256.7</v>
      </c>
      <c r="S7" s="123">
        <f t="shared" si="20"/>
        <v>245.48699999999999</v>
      </c>
      <c r="T7" s="123">
        <f t="shared" si="26"/>
        <v>27223.052521560079</v>
      </c>
      <c r="V7" s="122">
        <f t="shared" si="21"/>
        <v>2.62</v>
      </c>
      <c r="W7" s="123">
        <f t="shared" si="22"/>
        <v>39078</v>
      </c>
      <c r="X7" s="123">
        <f t="shared" si="23"/>
        <v>876</v>
      </c>
      <c r="Y7" s="123">
        <f t="shared" si="24"/>
        <v>922.9</v>
      </c>
      <c r="Z7" s="123">
        <f t="shared" si="27"/>
        <v>86409.555033848243</v>
      </c>
      <c r="AB7" s="122">
        <f t="shared" si="3"/>
        <v>1.62</v>
      </c>
      <c r="AC7" s="122">
        <f t="shared" si="4"/>
        <v>2.1337610264635125</v>
      </c>
      <c r="AD7" s="122">
        <f t="shared" si="5"/>
        <v>2.4125438254772109</v>
      </c>
      <c r="AE7" s="122">
        <f t="shared" si="6"/>
        <v>2.759465878030201</v>
      </c>
      <c r="AF7" s="122">
        <f t="shared" si="7"/>
        <v>2.1741317387318602</v>
      </c>
      <c r="AH7" s="122">
        <f t="shared" si="8"/>
        <v>0</v>
      </c>
      <c r="AI7" s="122">
        <f t="shared" si="9"/>
        <v>0</v>
      </c>
      <c r="AJ7" s="122">
        <f t="shared" si="10"/>
        <v>0</v>
      </c>
      <c r="AK7" s="122">
        <f t="shared" si="11"/>
        <v>0</v>
      </c>
      <c r="AL7" s="122">
        <f t="shared" si="12"/>
        <v>2.1741317387318602</v>
      </c>
      <c r="AM7" s="122">
        <f t="shared" si="0"/>
        <v>2.1741317387318602</v>
      </c>
      <c r="AO7" s="120">
        <f t="shared" si="13"/>
        <v>0</v>
      </c>
      <c r="AQ7" s="120">
        <f t="shared" si="14"/>
        <v>0</v>
      </c>
      <c r="AR7" s="120">
        <f t="shared" si="15"/>
        <v>0</v>
      </c>
      <c r="AT7" s="122" t="e">
        <f t="shared" si="1"/>
        <v>#DIV/0!</v>
      </c>
      <c r="AU7" s="122" t="e">
        <f t="shared" si="16"/>
        <v>#DIV/0!</v>
      </c>
      <c r="AV7" s="122" t="e">
        <f t="shared" si="16"/>
        <v>#DIV/0!</v>
      </c>
      <c r="AW7" s="122" t="e">
        <f t="shared" si="16"/>
        <v>#DIV/0!</v>
      </c>
      <c r="AX7" s="122" t="e">
        <f t="shared" si="16"/>
        <v>#DIV/0!</v>
      </c>
      <c r="AY7" s="122" t="e">
        <f t="shared" si="16"/>
        <v>#DIV/0!</v>
      </c>
    </row>
    <row r="8" spans="2:51" x14ac:dyDescent="0.35">
      <c r="B8" s="114"/>
      <c r="C8" s="70"/>
      <c r="D8" s="70"/>
      <c r="E8" s="296"/>
      <c r="F8" s="125"/>
      <c r="G8" s="126"/>
      <c r="H8" s="120">
        <f t="shared" si="2"/>
        <v>0</v>
      </c>
      <c r="I8" s="318">
        <v>0</v>
      </c>
      <c r="J8" s="318">
        <v>0</v>
      </c>
      <c r="K8" s="318">
        <v>0</v>
      </c>
      <c r="L8" s="318">
        <v>0</v>
      </c>
      <c r="M8" s="318">
        <v>1</v>
      </c>
      <c r="N8" s="121">
        <f t="shared" si="25"/>
        <v>1</v>
      </c>
      <c r="P8" s="122">
        <f t="shared" si="17"/>
        <v>1</v>
      </c>
      <c r="Q8" s="123">
        <f t="shared" si="18"/>
        <v>12470</v>
      </c>
      <c r="R8" s="123">
        <f t="shared" si="19"/>
        <v>256.7</v>
      </c>
      <c r="S8" s="123">
        <f t="shared" si="20"/>
        <v>245.48699999999999</v>
      </c>
      <c r="T8" s="123">
        <f t="shared" si="26"/>
        <v>27223.052521560079</v>
      </c>
      <c r="V8" s="122">
        <f t="shared" si="21"/>
        <v>2.62</v>
      </c>
      <c r="W8" s="123">
        <f t="shared" si="22"/>
        <v>39078</v>
      </c>
      <c r="X8" s="123">
        <f t="shared" si="23"/>
        <v>876</v>
      </c>
      <c r="Y8" s="123">
        <f t="shared" si="24"/>
        <v>922.9</v>
      </c>
      <c r="Z8" s="123">
        <f t="shared" si="27"/>
        <v>86409.555033848243</v>
      </c>
      <c r="AB8" s="122">
        <f t="shared" si="3"/>
        <v>1.62</v>
      </c>
      <c r="AC8" s="122">
        <f t="shared" si="4"/>
        <v>2.1337610264635125</v>
      </c>
      <c r="AD8" s="122">
        <f t="shared" si="5"/>
        <v>2.4125438254772109</v>
      </c>
      <c r="AE8" s="122">
        <f t="shared" si="6"/>
        <v>2.759465878030201</v>
      </c>
      <c r="AF8" s="122">
        <f t="shared" si="7"/>
        <v>2.1741317387318602</v>
      </c>
      <c r="AH8" s="122">
        <f t="shared" si="8"/>
        <v>0</v>
      </c>
      <c r="AI8" s="122">
        <f t="shared" si="9"/>
        <v>0</v>
      </c>
      <c r="AJ8" s="122">
        <f t="shared" si="10"/>
        <v>0</v>
      </c>
      <c r="AK8" s="122">
        <f t="shared" si="11"/>
        <v>0</v>
      </c>
      <c r="AL8" s="122">
        <f t="shared" si="12"/>
        <v>2.1741317387318602</v>
      </c>
      <c r="AM8" s="122">
        <f t="shared" si="0"/>
        <v>2.1741317387318602</v>
      </c>
      <c r="AO8" s="120">
        <f t="shared" si="13"/>
        <v>0</v>
      </c>
      <c r="AQ8" s="120">
        <f t="shared" si="14"/>
        <v>0</v>
      </c>
      <c r="AR8" s="120">
        <f t="shared" si="15"/>
        <v>0</v>
      </c>
      <c r="AT8" s="122" t="e">
        <f t="shared" si="1"/>
        <v>#DIV/0!</v>
      </c>
      <c r="AU8" s="122" t="e">
        <f t="shared" si="16"/>
        <v>#DIV/0!</v>
      </c>
      <c r="AV8" s="122" t="e">
        <f t="shared" si="16"/>
        <v>#DIV/0!</v>
      </c>
      <c r="AW8" s="122" t="e">
        <f t="shared" si="16"/>
        <v>#DIV/0!</v>
      </c>
      <c r="AX8" s="122" t="e">
        <f t="shared" si="16"/>
        <v>#DIV/0!</v>
      </c>
      <c r="AY8" s="122" t="e">
        <f t="shared" si="16"/>
        <v>#DIV/0!</v>
      </c>
    </row>
    <row r="9" spans="2:51" x14ac:dyDescent="0.35">
      <c r="B9" s="114"/>
      <c r="C9" s="70"/>
      <c r="D9" s="70"/>
      <c r="E9" s="296"/>
      <c r="F9" s="125"/>
      <c r="G9" s="126"/>
      <c r="H9" s="120">
        <f t="shared" si="2"/>
        <v>0</v>
      </c>
      <c r="I9" s="318">
        <v>0</v>
      </c>
      <c r="J9" s="318">
        <v>0</v>
      </c>
      <c r="K9" s="318">
        <v>0</v>
      </c>
      <c r="L9" s="318">
        <v>0</v>
      </c>
      <c r="M9" s="318">
        <v>1</v>
      </c>
      <c r="N9" s="121">
        <f t="shared" si="25"/>
        <v>1</v>
      </c>
      <c r="P9" s="122">
        <f t="shared" si="17"/>
        <v>1</v>
      </c>
      <c r="Q9" s="123">
        <f t="shared" si="18"/>
        <v>12470</v>
      </c>
      <c r="R9" s="123">
        <f t="shared" si="19"/>
        <v>256.7</v>
      </c>
      <c r="S9" s="123">
        <f t="shared" si="20"/>
        <v>245.48699999999999</v>
      </c>
      <c r="T9" s="123">
        <f t="shared" si="26"/>
        <v>27223.052521560079</v>
      </c>
      <c r="V9" s="122">
        <f t="shared" si="21"/>
        <v>2.62</v>
      </c>
      <c r="W9" s="123">
        <f t="shared" si="22"/>
        <v>39078</v>
      </c>
      <c r="X9" s="123">
        <f t="shared" si="23"/>
        <v>876</v>
      </c>
      <c r="Y9" s="123">
        <f t="shared" si="24"/>
        <v>922.9</v>
      </c>
      <c r="Z9" s="123">
        <f t="shared" si="27"/>
        <v>86409.555033848243</v>
      </c>
      <c r="AB9" s="122">
        <f t="shared" si="3"/>
        <v>1.62</v>
      </c>
      <c r="AC9" s="122">
        <f t="shared" si="4"/>
        <v>2.1337610264635125</v>
      </c>
      <c r="AD9" s="122">
        <f t="shared" si="5"/>
        <v>2.4125438254772109</v>
      </c>
      <c r="AE9" s="122">
        <f t="shared" si="6"/>
        <v>2.759465878030201</v>
      </c>
      <c r="AF9" s="122">
        <f t="shared" si="7"/>
        <v>2.1741317387318602</v>
      </c>
      <c r="AH9" s="122">
        <f t="shared" si="8"/>
        <v>0</v>
      </c>
      <c r="AI9" s="122">
        <f t="shared" si="9"/>
        <v>0</v>
      </c>
      <c r="AJ9" s="122">
        <f t="shared" si="10"/>
        <v>0</v>
      </c>
      <c r="AK9" s="122">
        <f t="shared" si="11"/>
        <v>0</v>
      </c>
      <c r="AL9" s="122">
        <f t="shared" si="12"/>
        <v>2.1741317387318602</v>
      </c>
      <c r="AM9" s="122">
        <f t="shared" si="0"/>
        <v>2.1741317387318602</v>
      </c>
      <c r="AO9" s="120">
        <f t="shared" si="13"/>
        <v>0</v>
      </c>
      <c r="AQ9" s="120">
        <f t="shared" si="14"/>
        <v>0</v>
      </c>
      <c r="AR9" s="120">
        <f t="shared" si="15"/>
        <v>0</v>
      </c>
      <c r="AT9" s="122" t="e">
        <f t="shared" si="1"/>
        <v>#DIV/0!</v>
      </c>
      <c r="AU9" s="122" t="e">
        <f t="shared" si="16"/>
        <v>#DIV/0!</v>
      </c>
      <c r="AV9" s="122" t="e">
        <f t="shared" si="16"/>
        <v>#DIV/0!</v>
      </c>
      <c r="AW9" s="122" t="e">
        <f t="shared" si="16"/>
        <v>#DIV/0!</v>
      </c>
      <c r="AX9" s="122" t="e">
        <f t="shared" si="16"/>
        <v>#DIV/0!</v>
      </c>
      <c r="AY9" s="122" t="e">
        <f t="shared" si="16"/>
        <v>#DIV/0!</v>
      </c>
    </row>
    <row r="10" spans="2:51" x14ac:dyDescent="0.35">
      <c r="B10" s="114"/>
      <c r="C10" s="70"/>
      <c r="D10" s="70"/>
      <c r="E10" s="296"/>
      <c r="F10" s="125"/>
      <c r="G10" s="126"/>
      <c r="H10" s="120">
        <f>+G10*E10</f>
        <v>0</v>
      </c>
      <c r="I10" s="318">
        <v>0</v>
      </c>
      <c r="J10" s="318">
        <v>0</v>
      </c>
      <c r="K10" s="318">
        <v>0</v>
      </c>
      <c r="L10" s="318">
        <v>0</v>
      </c>
      <c r="M10" s="318">
        <v>1</v>
      </c>
      <c r="N10" s="121">
        <f t="shared" si="25"/>
        <v>1</v>
      </c>
      <c r="P10" s="122">
        <f t="shared" si="17"/>
        <v>1</v>
      </c>
      <c r="Q10" s="123">
        <f t="shared" si="18"/>
        <v>12470</v>
      </c>
      <c r="R10" s="123">
        <f t="shared" si="19"/>
        <v>256.7</v>
      </c>
      <c r="S10" s="123">
        <f t="shared" si="20"/>
        <v>245.48699999999999</v>
      </c>
      <c r="T10" s="123">
        <f t="shared" si="26"/>
        <v>27223.052521560079</v>
      </c>
      <c r="V10" s="122">
        <f t="shared" si="21"/>
        <v>2.62</v>
      </c>
      <c r="W10" s="123">
        <f t="shared" si="22"/>
        <v>39078</v>
      </c>
      <c r="X10" s="123">
        <f t="shared" si="23"/>
        <v>876</v>
      </c>
      <c r="Y10" s="123">
        <f t="shared" si="24"/>
        <v>922.9</v>
      </c>
      <c r="Z10" s="123">
        <f t="shared" si="27"/>
        <v>86409.555033848243</v>
      </c>
      <c r="AB10" s="122">
        <f t="shared" si="3"/>
        <v>1.62</v>
      </c>
      <c r="AC10" s="122">
        <f t="shared" si="4"/>
        <v>2.1337610264635125</v>
      </c>
      <c r="AD10" s="122">
        <f t="shared" si="5"/>
        <v>2.4125438254772109</v>
      </c>
      <c r="AE10" s="122">
        <f t="shared" si="6"/>
        <v>2.759465878030201</v>
      </c>
      <c r="AF10" s="122">
        <f t="shared" si="7"/>
        <v>2.1741317387318602</v>
      </c>
      <c r="AH10" s="122">
        <f t="shared" si="8"/>
        <v>0</v>
      </c>
      <c r="AI10" s="122">
        <f t="shared" si="9"/>
        <v>0</v>
      </c>
      <c r="AJ10" s="122">
        <f t="shared" si="10"/>
        <v>0</v>
      </c>
      <c r="AK10" s="122">
        <f t="shared" si="11"/>
        <v>0</v>
      </c>
      <c r="AL10" s="122">
        <f t="shared" si="12"/>
        <v>2.1741317387318602</v>
      </c>
      <c r="AM10" s="122">
        <f t="shared" si="0"/>
        <v>2.1741317387318602</v>
      </c>
      <c r="AO10" s="120">
        <f t="shared" si="13"/>
        <v>0</v>
      </c>
      <c r="AQ10" s="120">
        <f t="shared" si="14"/>
        <v>0</v>
      </c>
      <c r="AR10" s="120">
        <f t="shared" si="15"/>
        <v>0</v>
      </c>
      <c r="AT10" s="122" t="e">
        <f t="shared" si="1"/>
        <v>#DIV/0!</v>
      </c>
      <c r="AU10" s="122" t="e">
        <f t="shared" si="16"/>
        <v>#DIV/0!</v>
      </c>
      <c r="AV10" s="122" t="e">
        <f t="shared" si="16"/>
        <v>#DIV/0!</v>
      </c>
      <c r="AW10" s="122" t="e">
        <f t="shared" si="16"/>
        <v>#DIV/0!</v>
      </c>
      <c r="AX10" s="122" t="e">
        <f t="shared" si="16"/>
        <v>#DIV/0!</v>
      </c>
      <c r="AY10" s="122" t="e">
        <f t="shared" si="16"/>
        <v>#DIV/0!</v>
      </c>
    </row>
    <row r="11" spans="2:51" x14ac:dyDescent="0.35">
      <c r="B11" s="114"/>
      <c r="C11" s="70"/>
      <c r="D11" s="70"/>
      <c r="E11" s="296"/>
      <c r="F11" s="125"/>
      <c r="G11" s="127"/>
      <c r="H11" s="120">
        <f t="shared" si="2"/>
        <v>0</v>
      </c>
      <c r="I11" s="318">
        <v>0</v>
      </c>
      <c r="J11" s="318">
        <v>0</v>
      </c>
      <c r="K11" s="318">
        <v>0</v>
      </c>
      <c r="L11" s="318">
        <v>0</v>
      </c>
      <c r="M11" s="318">
        <v>1</v>
      </c>
      <c r="N11" s="121">
        <f t="shared" si="25"/>
        <v>1</v>
      </c>
      <c r="P11" s="122">
        <f t="shared" si="17"/>
        <v>1</v>
      </c>
      <c r="Q11" s="123">
        <f t="shared" si="18"/>
        <v>12470</v>
      </c>
      <c r="R11" s="123">
        <f t="shared" si="19"/>
        <v>256.7</v>
      </c>
      <c r="S11" s="123">
        <f t="shared" si="20"/>
        <v>245.48699999999999</v>
      </c>
      <c r="T11" s="123">
        <f t="shared" si="26"/>
        <v>27223.052521560079</v>
      </c>
      <c r="V11" s="122">
        <f t="shared" si="21"/>
        <v>2.62</v>
      </c>
      <c r="W11" s="123">
        <f t="shared" si="22"/>
        <v>39078</v>
      </c>
      <c r="X11" s="123">
        <f t="shared" si="23"/>
        <v>876</v>
      </c>
      <c r="Y11" s="123">
        <f t="shared" si="24"/>
        <v>922.9</v>
      </c>
      <c r="Z11" s="123">
        <f t="shared" si="27"/>
        <v>86409.555033848243</v>
      </c>
      <c r="AB11" s="122">
        <f t="shared" si="3"/>
        <v>1.62</v>
      </c>
      <c r="AC11" s="122">
        <f t="shared" si="4"/>
        <v>2.1337610264635125</v>
      </c>
      <c r="AD11" s="122">
        <f t="shared" si="5"/>
        <v>2.4125438254772109</v>
      </c>
      <c r="AE11" s="122">
        <f t="shared" si="6"/>
        <v>2.759465878030201</v>
      </c>
      <c r="AF11" s="122">
        <f t="shared" si="7"/>
        <v>2.1741317387318602</v>
      </c>
      <c r="AH11" s="122">
        <f t="shared" si="8"/>
        <v>0</v>
      </c>
      <c r="AI11" s="122">
        <f t="shared" si="9"/>
        <v>0</v>
      </c>
      <c r="AJ11" s="122">
        <f t="shared" si="10"/>
        <v>0</v>
      </c>
      <c r="AK11" s="122">
        <f t="shared" si="11"/>
        <v>0</v>
      </c>
      <c r="AL11" s="122">
        <f t="shared" si="12"/>
        <v>2.1741317387318602</v>
      </c>
      <c r="AM11" s="122">
        <f t="shared" si="0"/>
        <v>2.1741317387318602</v>
      </c>
      <c r="AO11" s="120">
        <f t="shared" si="13"/>
        <v>0</v>
      </c>
      <c r="AQ11" s="120">
        <f t="shared" si="14"/>
        <v>0</v>
      </c>
      <c r="AR11" s="120">
        <f t="shared" si="15"/>
        <v>0</v>
      </c>
      <c r="AT11" s="122" t="e">
        <f t="shared" si="1"/>
        <v>#DIV/0!</v>
      </c>
      <c r="AU11" s="122" t="e">
        <f t="shared" si="16"/>
        <v>#DIV/0!</v>
      </c>
      <c r="AV11" s="122" t="e">
        <f t="shared" si="16"/>
        <v>#DIV/0!</v>
      </c>
      <c r="AW11" s="122" t="e">
        <f t="shared" si="16"/>
        <v>#DIV/0!</v>
      </c>
      <c r="AX11" s="122" t="e">
        <f t="shared" si="16"/>
        <v>#DIV/0!</v>
      </c>
      <c r="AY11" s="122" t="e">
        <f t="shared" si="16"/>
        <v>#DIV/0!</v>
      </c>
    </row>
    <row r="12" spans="2:51" x14ac:dyDescent="0.35">
      <c r="B12" s="114"/>
      <c r="C12" s="70"/>
      <c r="D12" s="70"/>
      <c r="E12" s="296"/>
      <c r="F12" s="125"/>
      <c r="G12" s="126"/>
      <c r="H12" s="120">
        <f t="shared" si="2"/>
        <v>0</v>
      </c>
      <c r="I12" s="318">
        <v>0</v>
      </c>
      <c r="J12" s="318">
        <v>0</v>
      </c>
      <c r="K12" s="318">
        <v>0</v>
      </c>
      <c r="L12" s="318">
        <v>0</v>
      </c>
      <c r="M12" s="318">
        <v>1</v>
      </c>
      <c r="N12" s="121">
        <f t="shared" si="25"/>
        <v>1</v>
      </c>
      <c r="P12" s="122">
        <f t="shared" si="17"/>
        <v>1</v>
      </c>
      <c r="Q12" s="123">
        <f t="shared" si="18"/>
        <v>12470</v>
      </c>
      <c r="R12" s="123">
        <f t="shared" si="19"/>
        <v>256.7</v>
      </c>
      <c r="S12" s="123">
        <f t="shared" si="20"/>
        <v>245.48699999999999</v>
      </c>
      <c r="T12" s="123">
        <f t="shared" si="26"/>
        <v>27223.052521560079</v>
      </c>
      <c r="V12" s="122">
        <f t="shared" si="21"/>
        <v>2.62</v>
      </c>
      <c r="W12" s="123">
        <f t="shared" si="22"/>
        <v>39078</v>
      </c>
      <c r="X12" s="123">
        <f t="shared" si="23"/>
        <v>876</v>
      </c>
      <c r="Y12" s="123">
        <f t="shared" si="24"/>
        <v>922.9</v>
      </c>
      <c r="Z12" s="123">
        <f t="shared" si="27"/>
        <v>86409.555033848243</v>
      </c>
      <c r="AB12" s="122">
        <f t="shared" si="3"/>
        <v>1.62</v>
      </c>
      <c r="AC12" s="122">
        <f t="shared" si="4"/>
        <v>2.1337610264635125</v>
      </c>
      <c r="AD12" s="122">
        <f t="shared" si="5"/>
        <v>2.4125438254772109</v>
      </c>
      <c r="AE12" s="122">
        <f t="shared" si="6"/>
        <v>2.759465878030201</v>
      </c>
      <c r="AF12" s="122">
        <f t="shared" si="7"/>
        <v>2.1741317387318602</v>
      </c>
      <c r="AH12" s="122">
        <f t="shared" si="8"/>
        <v>0</v>
      </c>
      <c r="AI12" s="122">
        <f t="shared" si="9"/>
        <v>0</v>
      </c>
      <c r="AJ12" s="122">
        <f t="shared" si="10"/>
        <v>0</v>
      </c>
      <c r="AK12" s="122">
        <f t="shared" si="11"/>
        <v>0</v>
      </c>
      <c r="AL12" s="122">
        <f t="shared" si="12"/>
        <v>2.1741317387318602</v>
      </c>
      <c r="AM12" s="122">
        <f t="shared" si="0"/>
        <v>2.1741317387318602</v>
      </c>
      <c r="AO12" s="120">
        <f t="shared" si="13"/>
        <v>0</v>
      </c>
      <c r="AQ12" s="120">
        <f t="shared" si="14"/>
        <v>0</v>
      </c>
      <c r="AR12" s="120">
        <f t="shared" si="15"/>
        <v>0</v>
      </c>
      <c r="AT12" s="122" t="e">
        <f t="shared" si="1"/>
        <v>#DIV/0!</v>
      </c>
      <c r="AU12" s="122" t="e">
        <f t="shared" si="16"/>
        <v>#DIV/0!</v>
      </c>
      <c r="AV12" s="122" t="e">
        <f t="shared" si="16"/>
        <v>#DIV/0!</v>
      </c>
      <c r="AW12" s="122" t="e">
        <f t="shared" si="16"/>
        <v>#DIV/0!</v>
      </c>
      <c r="AX12" s="122" t="e">
        <f t="shared" si="16"/>
        <v>#DIV/0!</v>
      </c>
      <c r="AY12" s="122" t="e">
        <f t="shared" si="16"/>
        <v>#DIV/0!</v>
      </c>
    </row>
    <row r="13" spans="2:51" x14ac:dyDescent="0.35">
      <c r="B13" s="114"/>
      <c r="C13" s="70"/>
      <c r="D13" s="70"/>
      <c r="E13" s="296"/>
      <c r="F13" s="125"/>
      <c r="G13" s="126"/>
      <c r="H13" s="120">
        <f>+G13*E13</f>
        <v>0</v>
      </c>
      <c r="I13" s="318">
        <v>0</v>
      </c>
      <c r="J13" s="318">
        <v>0</v>
      </c>
      <c r="K13" s="318">
        <v>0</v>
      </c>
      <c r="L13" s="318">
        <v>0</v>
      </c>
      <c r="M13" s="318">
        <v>1</v>
      </c>
      <c r="N13" s="121">
        <f t="shared" si="25"/>
        <v>1</v>
      </c>
      <c r="P13" s="122">
        <f t="shared" si="17"/>
        <v>1</v>
      </c>
      <c r="Q13" s="123">
        <f t="shared" si="18"/>
        <v>12470</v>
      </c>
      <c r="R13" s="123">
        <f t="shared" si="19"/>
        <v>256.7</v>
      </c>
      <c r="S13" s="123">
        <f t="shared" si="20"/>
        <v>245.48699999999999</v>
      </c>
      <c r="T13" s="123">
        <f t="shared" si="26"/>
        <v>27223.052521560079</v>
      </c>
      <c r="V13" s="122">
        <f t="shared" si="21"/>
        <v>2.62</v>
      </c>
      <c r="W13" s="123">
        <f t="shared" si="22"/>
        <v>39078</v>
      </c>
      <c r="X13" s="123">
        <f t="shared" si="23"/>
        <v>876</v>
      </c>
      <c r="Y13" s="123">
        <f t="shared" si="24"/>
        <v>922.9</v>
      </c>
      <c r="Z13" s="123">
        <f t="shared" si="27"/>
        <v>86409.555033848243</v>
      </c>
      <c r="AB13" s="122">
        <f t="shared" si="3"/>
        <v>1.62</v>
      </c>
      <c r="AC13" s="122">
        <f t="shared" si="4"/>
        <v>2.1337610264635125</v>
      </c>
      <c r="AD13" s="122">
        <f t="shared" si="5"/>
        <v>2.4125438254772109</v>
      </c>
      <c r="AE13" s="122">
        <f t="shared" si="6"/>
        <v>2.759465878030201</v>
      </c>
      <c r="AF13" s="122">
        <f t="shared" si="7"/>
        <v>2.1741317387318602</v>
      </c>
      <c r="AH13" s="122">
        <f t="shared" si="8"/>
        <v>0</v>
      </c>
      <c r="AI13" s="122">
        <f t="shared" si="9"/>
        <v>0</v>
      </c>
      <c r="AJ13" s="122">
        <f t="shared" si="10"/>
        <v>0</v>
      </c>
      <c r="AK13" s="122">
        <f t="shared" si="11"/>
        <v>0</v>
      </c>
      <c r="AL13" s="122">
        <f t="shared" si="12"/>
        <v>2.1741317387318602</v>
      </c>
      <c r="AM13" s="122">
        <f t="shared" si="0"/>
        <v>2.1741317387318602</v>
      </c>
      <c r="AO13" s="120">
        <f t="shared" si="13"/>
        <v>0</v>
      </c>
      <c r="AQ13" s="120">
        <f t="shared" si="14"/>
        <v>0</v>
      </c>
      <c r="AR13" s="120">
        <f t="shared" si="15"/>
        <v>0</v>
      </c>
      <c r="AT13" s="122" t="e">
        <f t="shared" si="1"/>
        <v>#DIV/0!</v>
      </c>
      <c r="AU13" s="122" t="e">
        <f t="shared" si="16"/>
        <v>#DIV/0!</v>
      </c>
      <c r="AV13" s="122" t="e">
        <f t="shared" si="16"/>
        <v>#DIV/0!</v>
      </c>
      <c r="AW13" s="122" t="e">
        <f t="shared" si="16"/>
        <v>#DIV/0!</v>
      </c>
      <c r="AX13" s="122" t="e">
        <f t="shared" si="16"/>
        <v>#DIV/0!</v>
      </c>
      <c r="AY13" s="122" t="e">
        <f t="shared" si="16"/>
        <v>#DIV/0!</v>
      </c>
    </row>
    <row r="14" spans="2:51" x14ac:dyDescent="0.35">
      <c r="B14" s="114"/>
      <c r="C14" s="70"/>
      <c r="D14" s="70"/>
      <c r="E14" s="296"/>
      <c r="F14" s="125"/>
      <c r="G14" s="126"/>
      <c r="H14" s="120">
        <f t="shared" si="2"/>
        <v>0</v>
      </c>
      <c r="I14" s="318">
        <v>0</v>
      </c>
      <c r="J14" s="318">
        <v>0</v>
      </c>
      <c r="K14" s="318">
        <v>0</v>
      </c>
      <c r="L14" s="318">
        <v>0</v>
      </c>
      <c r="M14" s="318">
        <v>1</v>
      </c>
      <c r="N14" s="121">
        <f t="shared" si="25"/>
        <v>1</v>
      </c>
      <c r="P14" s="122">
        <f t="shared" si="17"/>
        <v>1</v>
      </c>
      <c r="Q14" s="123">
        <f t="shared" si="18"/>
        <v>12470</v>
      </c>
      <c r="R14" s="123">
        <f t="shared" si="19"/>
        <v>256.7</v>
      </c>
      <c r="S14" s="123">
        <f t="shared" si="20"/>
        <v>245.48699999999999</v>
      </c>
      <c r="T14" s="123">
        <f t="shared" si="26"/>
        <v>27223.052521560079</v>
      </c>
      <c r="V14" s="122">
        <f t="shared" si="21"/>
        <v>2.62</v>
      </c>
      <c r="W14" s="123">
        <f t="shared" si="22"/>
        <v>39078</v>
      </c>
      <c r="X14" s="123">
        <f t="shared" si="23"/>
        <v>876</v>
      </c>
      <c r="Y14" s="123">
        <f t="shared" si="24"/>
        <v>922.9</v>
      </c>
      <c r="Z14" s="123">
        <f t="shared" si="27"/>
        <v>86409.555033848243</v>
      </c>
      <c r="AB14" s="122">
        <f t="shared" si="3"/>
        <v>1.62</v>
      </c>
      <c r="AC14" s="122">
        <f t="shared" si="4"/>
        <v>2.1337610264635125</v>
      </c>
      <c r="AD14" s="122">
        <f t="shared" si="5"/>
        <v>2.4125438254772109</v>
      </c>
      <c r="AE14" s="122">
        <f t="shared" si="6"/>
        <v>2.759465878030201</v>
      </c>
      <c r="AF14" s="122">
        <f t="shared" si="7"/>
        <v>2.1741317387318602</v>
      </c>
      <c r="AH14" s="122">
        <f t="shared" si="8"/>
        <v>0</v>
      </c>
      <c r="AI14" s="122">
        <f t="shared" si="9"/>
        <v>0</v>
      </c>
      <c r="AJ14" s="122">
        <f t="shared" si="10"/>
        <v>0</v>
      </c>
      <c r="AK14" s="122">
        <f t="shared" si="11"/>
        <v>0</v>
      </c>
      <c r="AL14" s="122">
        <f t="shared" si="12"/>
        <v>2.1741317387318602</v>
      </c>
      <c r="AM14" s="122">
        <f t="shared" si="0"/>
        <v>2.1741317387318602</v>
      </c>
      <c r="AO14" s="120">
        <f t="shared" si="13"/>
        <v>0</v>
      </c>
      <c r="AQ14" s="120">
        <f t="shared" si="14"/>
        <v>0</v>
      </c>
      <c r="AR14" s="120">
        <f t="shared" si="15"/>
        <v>0</v>
      </c>
      <c r="AT14" s="122" t="e">
        <f t="shared" si="1"/>
        <v>#DIV/0!</v>
      </c>
      <c r="AU14" s="122" t="e">
        <f t="shared" si="16"/>
        <v>#DIV/0!</v>
      </c>
      <c r="AV14" s="122" t="e">
        <f t="shared" si="16"/>
        <v>#DIV/0!</v>
      </c>
      <c r="AW14" s="122" t="e">
        <f t="shared" si="16"/>
        <v>#DIV/0!</v>
      </c>
      <c r="AX14" s="122" t="e">
        <f t="shared" si="16"/>
        <v>#DIV/0!</v>
      </c>
      <c r="AY14" s="122" t="e">
        <f t="shared" si="16"/>
        <v>#DIV/0!</v>
      </c>
    </row>
    <row r="15" spans="2:51" x14ac:dyDescent="0.35">
      <c r="B15" s="114"/>
      <c r="C15" s="70"/>
      <c r="D15" s="70"/>
      <c r="E15" s="296"/>
      <c r="F15" s="125"/>
      <c r="G15" s="126"/>
      <c r="H15" s="120">
        <f t="shared" si="2"/>
        <v>0</v>
      </c>
      <c r="I15" s="318">
        <v>0</v>
      </c>
      <c r="J15" s="318">
        <v>0</v>
      </c>
      <c r="K15" s="318">
        <v>0</v>
      </c>
      <c r="L15" s="318">
        <v>0</v>
      </c>
      <c r="M15" s="318">
        <v>1</v>
      </c>
      <c r="N15" s="121">
        <f t="shared" si="25"/>
        <v>1</v>
      </c>
      <c r="P15" s="122">
        <f t="shared" si="17"/>
        <v>1</v>
      </c>
      <c r="Q15" s="123">
        <f t="shared" si="18"/>
        <v>12470</v>
      </c>
      <c r="R15" s="123">
        <f t="shared" si="19"/>
        <v>256.7</v>
      </c>
      <c r="S15" s="123">
        <f t="shared" si="20"/>
        <v>245.48699999999999</v>
      </c>
      <c r="T15" s="123">
        <f t="shared" si="26"/>
        <v>27223.052521560079</v>
      </c>
      <c r="V15" s="122">
        <f t="shared" si="21"/>
        <v>2.62</v>
      </c>
      <c r="W15" s="123">
        <f t="shared" si="22"/>
        <v>39078</v>
      </c>
      <c r="X15" s="123">
        <f t="shared" si="23"/>
        <v>876</v>
      </c>
      <c r="Y15" s="123">
        <f t="shared" si="24"/>
        <v>922.9</v>
      </c>
      <c r="Z15" s="123">
        <f t="shared" si="27"/>
        <v>86409.555033848243</v>
      </c>
      <c r="AB15" s="122">
        <f t="shared" si="3"/>
        <v>1.62</v>
      </c>
      <c r="AC15" s="122">
        <f t="shared" si="4"/>
        <v>2.1337610264635125</v>
      </c>
      <c r="AD15" s="122">
        <f t="shared" si="5"/>
        <v>2.4125438254772109</v>
      </c>
      <c r="AE15" s="122">
        <f t="shared" si="6"/>
        <v>2.759465878030201</v>
      </c>
      <c r="AF15" s="122">
        <f t="shared" si="7"/>
        <v>2.1741317387318602</v>
      </c>
      <c r="AH15" s="122">
        <f t="shared" si="8"/>
        <v>0</v>
      </c>
      <c r="AI15" s="122">
        <f t="shared" si="9"/>
        <v>0</v>
      </c>
      <c r="AJ15" s="122">
        <f t="shared" si="10"/>
        <v>0</v>
      </c>
      <c r="AK15" s="122">
        <f t="shared" si="11"/>
        <v>0</v>
      </c>
      <c r="AL15" s="122">
        <f t="shared" si="12"/>
        <v>2.1741317387318602</v>
      </c>
      <c r="AM15" s="122">
        <f t="shared" si="0"/>
        <v>2.1741317387318602</v>
      </c>
      <c r="AO15" s="120">
        <f t="shared" si="13"/>
        <v>0</v>
      </c>
      <c r="AQ15" s="120">
        <f t="shared" si="14"/>
        <v>0</v>
      </c>
      <c r="AR15" s="120">
        <f t="shared" si="15"/>
        <v>0</v>
      </c>
      <c r="AT15" s="122" t="e">
        <f t="shared" si="1"/>
        <v>#DIV/0!</v>
      </c>
      <c r="AU15" s="122" t="e">
        <f t="shared" si="16"/>
        <v>#DIV/0!</v>
      </c>
      <c r="AV15" s="122" t="e">
        <f t="shared" si="16"/>
        <v>#DIV/0!</v>
      </c>
      <c r="AW15" s="122" t="e">
        <f t="shared" si="16"/>
        <v>#DIV/0!</v>
      </c>
      <c r="AX15" s="122" t="e">
        <f t="shared" si="16"/>
        <v>#DIV/0!</v>
      </c>
      <c r="AY15" s="122" t="e">
        <f t="shared" si="16"/>
        <v>#DIV/0!</v>
      </c>
    </row>
    <row r="16" spans="2:51" x14ac:dyDescent="0.35">
      <c r="B16" s="114"/>
      <c r="C16" s="70"/>
      <c r="D16" s="70"/>
      <c r="E16" s="296"/>
      <c r="F16" s="125"/>
      <c r="G16" s="126"/>
      <c r="H16" s="120">
        <f t="shared" si="2"/>
        <v>0</v>
      </c>
      <c r="I16" s="318">
        <v>0</v>
      </c>
      <c r="J16" s="318">
        <v>0</v>
      </c>
      <c r="K16" s="318">
        <v>0</v>
      </c>
      <c r="L16" s="318">
        <v>0</v>
      </c>
      <c r="M16" s="318">
        <v>1</v>
      </c>
      <c r="N16" s="121">
        <f t="shared" si="25"/>
        <v>1</v>
      </c>
      <c r="P16" s="122">
        <f t="shared" si="17"/>
        <v>1</v>
      </c>
      <c r="Q16" s="123">
        <f t="shared" si="18"/>
        <v>12470</v>
      </c>
      <c r="R16" s="123">
        <f t="shared" si="19"/>
        <v>256.7</v>
      </c>
      <c r="S16" s="123">
        <f t="shared" si="20"/>
        <v>245.48699999999999</v>
      </c>
      <c r="T16" s="123">
        <f t="shared" si="26"/>
        <v>27223.052521560079</v>
      </c>
      <c r="V16" s="122">
        <f t="shared" si="21"/>
        <v>2.62</v>
      </c>
      <c r="W16" s="123">
        <f t="shared" si="22"/>
        <v>39078</v>
      </c>
      <c r="X16" s="123">
        <f t="shared" si="23"/>
        <v>876</v>
      </c>
      <c r="Y16" s="123">
        <f t="shared" si="24"/>
        <v>922.9</v>
      </c>
      <c r="Z16" s="123">
        <f t="shared" si="27"/>
        <v>86409.555033848243</v>
      </c>
      <c r="AB16" s="122">
        <f t="shared" si="3"/>
        <v>1.62</v>
      </c>
      <c r="AC16" s="122">
        <f t="shared" si="4"/>
        <v>2.1337610264635125</v>
      </c>
      <c r="AD16" s="122">
        <f t="shared" si="5"/>
        <v>2.4125438254772109</v>
      </c>
      <c r="AE16" s="122">
        <f t="shared" si="6"/>
        <v>2.759465878030201</v>
      </c>
      <c r="AF16" s="122">
        <f t="shared" si="7"/>
        <v>2.1741317387318602</v>
      </c>
      <c r="AH16" s="122">
        <f t="shared" si="8"/>
        <v>0</v>
      </c>
      <c r="AI16" s="122">
        <f t="shared" si="9"/>
        <v>0</v>
      </c>
      <c r="AJ16" s="122">
        <f t="shared" si="10"/>
        <v>0</v>
      </c>
      <c r="AK16" s="122">
        <f t="shared" si="11"/>
        <v>0</v>
      </c>
      <c r="AL16" s="122">
        <f t="shared" si="12"/>
        <v>2.1741317387318602</v>
      </c>
      <c r="AM16" s="122">
        <f t="shared" si="0"/>
        <v>2.1741317387318602</v>
      </c>
      <c r="AO16" s="120">
        <f t="shared" si="13"/>
        <v>0</v>
      </c>
      <c r="AQ16" s="120">
        <f t="shared" si="14"/>
        <v>0</v>
      </c>
      <c r="AR16" s="120">
        <f t="shared" si="15"/>
        <v>0</v>
      </c>
      <c r="AT16" s="122" t="e">
        <f t="shared" si="1"/>
        <v>#DIV/0!</v>
      </c>
      <c r="AU16" s="122" t="e">
        <f t="shared" si="16"/>
        <v>#DIV/0!</v>
      </c>
      <c r="AV16" s="122" t="e">
        <f t="shared" si="16"/>
        <v>#DIV/0!</v>
      </c>
      <c r="AW16" s="122" t="e">
        <f t="shared" si="16"/>
        <v>#DIV/0!</v>
      </c>
      <c r="AX16" s="122" t="e">
        <f t="shared" si="16"/>
        <v>#DIV/0!</v>
      </c>
      <c r="AY16" s="122" t="e">
        <f t="shared" si="16"/>
        <v>#DIV/0!</v>
      </c>
    </row>
    <row r="17" spans="2:51" x14ac:dyDescent="0.35">
      <c r="B17" s="114"/>
      <c r="C17" s="70"/>
      <c r="D17" s="70"/>
      <c r="E17" s="296"/>
      <c r="F17" s="125"/>
      <c r="G17" s="126"/>
      <c r="H17" s="120">
        <f t="shared" si="2"/>
        <v>0</v>
      </c>
      <c r="I17" s="318">
        <v>0</v>
      </c>
      <c r="J17" s="318">
        <v>0</v>
      </c>
      <c r="K17" s="318">
        <v>0</v>
      </c>
      <c r="L17" s="318">
        <v>0</v>
      </c>
      <c r="M17" s="318">
        <v>1</v>
      </c>
      <c r="N17" s="121">
        <f t="shared" si="25"/>
        <v>1</v>
      </c>
      <c r="P17" s="122">
        <f t="shared" si="17"/>
        <v>1</v>
      </c>
      <c r="Q17" s="123">
        <f t="shared" si="18"/>
        <v>12470</v>
      </c>
      <c r="R17" s="123">
        <f t="shared" si="19"/>
        <v>256.7</v>
      </c>
      <c r="S17" s="123">
        <f t="shared" si="20"/>
        <v>245.48699999999999</v>
      </c>
      <c r="T17" s="123">
        <f t="shared" si="26"/>
        <v>27223.052521560079</v>
      </c>
      <c r="V17" s="122">
        <f t="shared" si="21"/>
        <v>2.62</v>
      </c>
      <c r="W17" s="123">
        <f t="shared" si="22"/>
        <v>39078</v>
      </c>
      <c r="X17" s="123">
        <f t="shared" si="23"/>
        <v>876</v>
      </c>
      <c r="Y17" s="123">
        <f t="shared" si="24"/>
        <v>922.9</v>
      </c>
      <c r="Z17" s="123">
        <f t="shared" si="27"/>
        <v>86409.555033848243</v>
      </c>
      <c r="AB17" s="122">
        <f t="shared" si="3"/>
        <v>1.62</v>
      </c>
      <c r="AC17" s="122">
        <f t="shared" si="4"/>
        <v>2.1337610264635125</v>
      </c>
      <c r="AD17" s="122">
        <f t="shared" si="5"/>
        <v>2.4125438254772109</v>
      </c>
      <c r="AE17" s="122">
        <f t="shared" si="6"/>
        <v>2.759465878030201</v>
      </c>
      <c r="AF17" s="122">
        <f t="shared" si="7"/>
        <v>2.1741317387318602</v>
      </c>
      <c r="AH17" s="122">
        <f t="shared" si="8"/>
        <v>0</v>
      </c>
      <c r="AI17" s="122">
        <f t="shared" si="9"/>
        <v>0</v>
      </c>
      <c r="AJ17" s="122">
        <f t="shared" si="10"/>
        <v>0</v>
      </c>
      <c r="AK17" s="122">
        <f t="shared" si="11"/>
        <v>0</v>
      </c>
      <c r="AL17" s="122">
        <f t="shared" si="12"/>
        <v>2.1741317387318602</v>
      </c>
      <c r="AM17" s="122">
        <f t="shared" si="0"/>
        <v>2.1741317387318602</v>
      </c>
      <c r="AO17" s="120">
        <f t="shared" si="13"/>
        <v>0</v>
      </c>
      <c r="AQ17" s="120">
        <f t="shared" si="14"/>
        <v>0</v>
      </c>
      <c r="AR17" s="120">
        <f t="shared" si="15"/>
        <v>0</v>
      </c>
      <c r="AT17" s="122" t="e">
        <f t="shared" si="1"/>
        <v>#DIV/0!</v>
      </c>
      <c r="AU17" s="122" t="e">
        <f t="shared" si="16"/>
        <v>#DIV/0!</v>
      </c>
      <c r="AV17" s="122" t="e">
        <f t="shared" si="16"/>
        <v>#DIV/0!</v>
      </c>
      <c r="AW17" s="122" t="e">
        <f t="shared" si="16"/>
        <v>#DIV/0!</v>
      </c>
      <c r="AX17" s="122" t="e">
        <f t="shared" si="16"/>
        <v>#DIV/0!</v>
      </c>
      <c r="AY17" s="122" t="e">
        <f t="shared" si="16"/>
        <v>#DIV/0!</v>
      </c>
    </row>
    <row r="18" spans="2:51" x14ac:dyDescent="0.35">
      <c r="B18" s="114"/>
      <c r="C18" s="70"/>
      <c r="D18" s="70"/>
      <c r="E18" s="296"/>
      <c r="F18" s="125"/>
      <c r="G18" s="126"/>
      <c r="H18" s="120">
        <f t="shared" si="2"/>
        <v>0</v>
      </c>
      <c r="I18" s="318">
        <v>0</v>
      </c>
      <c r="J18" s="318">
        <v>0</v>
      </c>
      <c r="K18" s="318">
        <v>0</v>
      </c>
      <c r="L18" s="318">
        <v>0</v>
      </c>
      <c r="M18" s="318">
        <v>1</v>
      </c>
      <c r="N18" s="121">
        <f t="shared" si="25"/>
        <v>1</v>
      </c>
      <c r="P18" s="122">
        <f t="shared" si="17"/>
        <v>1</v>
      </c>
      <c r="Q18" s="123">
        <f t="shared" si="18"/>
        <v>12470</v>
      </c>
      <c r="R18" s="123">
        <f t="shared" si="19"/>
        <v>256.7</v>
      </c>
      <c r="S18" s="123">
        <f t="shared" si="20"/>
        <v>245.48699999999999</v>
      </c>
      <c r="T18" s="123">
        <f t="shared" si="26"/>
        <v>27223.052521560079</v>
      </c>
      <c r="V18" s="122">
        <f t="shared" si="21"/>
        <v>2.62</v>
      </c>
      <c r="W18" s="123">
        <f t="shared" si="22"/>
        <v>39078</v>
      </c>
      <c r="X18" s="123">
        <f t="shared" si="23"/>
        <v>876</v>
      </c>
      <c r="Y18" s="123">
        <f t="shared" si="24"/>
        <v>922.9</v>
      </c>
      <c r="Z18" s="123">
        <f t="shared" si="27"/>
        <v>86409.555033848243</v>
      </c>
      <c r="AB18" s="122">
        <f t="shared" si="3"/>
        <v>1.62</v>
      </c>
      <c r="AC18" s="122">
        <f t="shared" si="4"/>
        <v>2.1337610264635125</v>
      </c>
      <c r="AD18" s="122">
        <f t="shared" si="5"/>
        <v>2.4125438254772109</v>
      </c>
      <c r="AE18" s="122">
        <f t="shared" si="6"/>
        <v>2.759465878030201</v>
      </c>
      <c r="AF18" s="122">
        <f t="shared" si="7"/>
        <v>2.1741317387318602</v>
      </c>
      <c r="AH18" s="122">
        <f t="shared" si="8"/>
        <v>0</v>
      </c>
      <c r="AI18" s="122">
        <f t="shared" si="9"/>
        <v>0</v>
      </c>
      <c r="AJ18" s="122">
        <f t="shared" si="10"/>
        <v>0</v>
      </c>
      <c r="AK18" s="122">
        <f t="shared" si="11"/>
        <v>0</v>
      </c>
      <c r="AL18" s="122">
        <f t="shared" si="12"/>
        <v>2.1741317387318602</v>
      </c>
      <c r="AM18" s="122">
        <f t="shared" si="0"/>
        <v>2.1741317387318602</v>
      </c>
      <c r="AO18" s="120">
        <f t="shared" si="13"/>
        <v>0</v>
      </c>
      <c r="AQ18" s="120">
        <f t="shared" si="14"/>
        <v>0</v>
      </c>
      <c r="AR18" s="120">
        <f t="shared" si="15"/>
        <v>0</v>
      </c>
      <c r="AT18" s="122" t="e">
        <f t="shared" si="1"/>
        <v>#DIV/0!</v>
      </c>
      <c r="AU18" s="122" t="e">
        <f t="shared" si="16"/>
        <v>#DIV/0!</v>
      </c>
      <c r="AV18" s="122" t="e">
        <f t="shared" si="16"/>
        <v>#DIV/0!</v>
      </c>
      <c r="AW18" s="122" t="e">
        <f t="shared" si="16"/>
        <v>#DIV/0!</v>
      </c>
      <c r="AX18" s="122" t="e">
        <f t="shared" si="16"/>
        <v>#DIV/0!</v>
      </c>
      <c r="AY18" s="122" t="e">
        <f t="shared" si="16"/>
        <v>#DIV/0!</v>
      </c>
    </row>
    <row r="19" spans="2:51" x14ac:dyDescent="0.35">
      <c r="B19" s="114"/>
      <c r="C19" s="70"/>
      <c r="D19" s="70"/>
      <c r="E19" s="296"/>
      <c r="F19" s="125"/>
      <c r="G19" s="126"/>
      <c r="H19" s="120">
        <f t="shared" si="2"/>
        <v>0</v>
      </c>
      <c r="I19" s="318">
        <v>0</v>
      </c>
      <c r="J19" s="318">
        <v>0</v>
      </c>
      <c r="K19" s="318">
        <v>0</v>
      </c>
      <c r="L19" s="318">
        <v>0</v>
      </c>
      <c r="M19" s="318">
        <v>1</v>
      </c>
      <c r="N19" s="121">
        <f t="shared" si="25"/>
        <v>1</v>
      </c>
      <c r="P19" s="122">
        <f t="shared" si="17"/>
        <v>1</v>
      </c>
      <c r="Q19" s="123">
        <f t="shared" si="18"/>
        <v>12470</v>
      </c>
      <c r="R19" s="123">
        <f t="shared" si="19"/>
        <v>256.7</v>
      </c>
      <c r="S19" s="123">
        <f t="shared" si="20"/>
        <v>245.48699999999999</v>
      </c>
      <c r="T19" s="123">
        <f t="shared" si="26"/>
        <v>27223.052521560079</v>
      </c>
      <c r="V19" s="122">
        <f t="shared" si="21"/>
        <v>2.62</v>
      </c>
      <c r="W19" s="123">
        <f t="shared" si="22"/>
        <v>39078</v>
      </c>
      <c r="X19" s="123">
        <f t="shared" si="23"/>
        <v>876</v>
      </c>
      <c r="Y19" s="123">
        <f t="shared" si="24"/>
        <v>922.9</v>
      </c>
      <c r="Z19" s="123">
        <f t="shared" si="27"/>
        <v>86409.555033848243</v>
      </c>
      <c r="AB19" s="122">
        <f t="shared" si="3"/>
        <v>1.62</v>
      </c>
      <c r="AC19" s="122">
        <f t="shared" si="4"/>
        <v>2.1337610264635125</v>
      </c>
      <c r="AD19" s="122">
        <f t="shared" si="5"/>
        <v>2.4125438254772109</v>
      </c>
      <c r="AE19" s="122">
        <f t="shared" si="6"/>
        <v>2.759465878030201</v>
      </c>
      <c r="AF19" s="122">
        <f t="shared" si="7"/>
        <v>2.1741317387318602</v>
      </c>
      <c r="AH19" s="122">
        <f t="shared" si="8"/>
        <v>0</v>
      </c>
      <c r="AI19" s="122">
        <f t="shared" si="9"/>
        <v>0</v>
      </c>
      <c r="AJ19" s="122">
        <f t="shared" si="10"/>
        <v>0</v>
      </c>
      <c r="AK19" s="122">
        <f t="shared" si="11"/>
        <v>0</v>
      </c>
      <c r="AL19" s="122">
        <f t="shared" si="12"/>
        <v>2.1741317387318602</v>
      </c>
      <c r="AM19" s="122">
        <f t="shared" si="0"/>
        <v>2.1741317387318602</v>
      </c>
      <c r="AO19" s="120">
        <f t="shared" si="13"/>
        <v>0</v>
      </c>
      <c r="AQ19" s="120">
        <f t="shared" si="14"/>
        <v>0</v>
      </c>
      <c r="AR19" s="120">
        <f t="shared" si="15"/>
        <v>0</v>
      </c>
      <c r="AT19" s="122" t="e">
        <f t="shared" si="1"/>
        <v>#DIV/0!</v>
      </c>
      <c r="AU19" s="122" t="e">
        <f t="shared" si="16"/>
        <v>#DIV/0!</v>
      </c>
      <c r="AV19" s="122" t="e">
        <f t="shared" si="16"/>
        <v>#DIV/0!</v>
      </c>
      <c r="AW19" s="122" t="e">
        <f t="shared" si="16"/>
        <v>#DIV/0!</v>
      </c>
      <c r="AX19" s="122" t="e">
        <f t="shared" si="16"/>
        <v>#DIV/0!</v>
      </c>
      <c r="AY19" s="122" t="e">
        <f t="shared" si="16"/>
        <v>#DIV/0!</v>
      </c>
    </row>
    <row r="20" spans="2:51" x14ac:dyDescent="0.35">
      <c r="B20" s="114"/>
      <c r="C20" s="70"/>
      <c r="D20" s="70"/>
      <c r="E20" s="296"/>
      <c r="F20" s="125"/>
      <c r="G20" s="126"/>
      <c r="H20" s="120">
        <f t="shared" si="2"/>
        <v>0</v>
      </c>
      <c r="I20" s="318">
        <v>0</v>
      </c>
      <c r="J20" s="318">
        <v>0</v>
      </c>
      <c r="K20" s="318">
        <v>0</v>
      </c>
      <c r="L20" s="318">
        <v>0</v>
      </c>
      <c r="M20" s="318">
        <v>1</v>
      </c>
      <c r="N20" s="121">
        <f t="shared" si="25"/>
        <v>1</v>
      </c>
      <c r="P20" s="122">
        <f t="shared" si="17"/>
        <v>1</v>
      </c>
      <c r="Q20" s="123">
        <f t="shared" si="18"/>
        <v>12470</v>
      </c>
      <c r="R20" s="123">
        <f t="shared" si="19"/>
        <v>256.7</v>
      </c>
      <c r="S20" s="123">
        <f t="shared" si="20"/>
        <v>245.48699999999999</v>
      </c>
      <c r="T20" s="123">
        <f t="shared" si="26"/>
        <v>27223.052521560079</v>
      </c>
      <c r="V20" s="122">
        <f t="shared" si="21"/>
        <v>2.62</v>
      </c>
      <c r="W20" s="123">
        <f t="shared" si="22"/>
        <v>39078</v>
      </c>
      <c r="X20" s="123">
        <f t="shared" si="23"/>
        <v>876</v>
      </c>
      <c r="Y20" s="123">
        <f t="shared" si="24"/>
        <v>922.9</v>
      </c>
      <c r="Z20" s="123">
        <f t="shared" si="27"/>
        <v>86409.555033848243</v>
      </c>
      <c r="AB20" s="122">
        <f t="shared" si="3"/>
        <v>1.62</v>
      </c>
      <c r="AC20" s="122">
        <f t="shared" si="4"/>
        <v>2.1337610264635125</v>
      </c>
      <c r="AD20" s="122">
        <f t="shared" si="5"/>
        <v>2.4125438254772109</v>
      </c>
      <c r="AE20" s="122">
        <f t="shared" si="6"/>
        <v>2.759465878030201</v>
      </c>
      <c r="AF20" s="122">
        <f t="shared" si="7"/>
        <v>2.1741317387318602</v>
      </c>
      <c r="AH20" s="122">
        <f t="shared" si="8"/>
        <v>0</v>
      </c>
      <c r="AI20" s="122">
        <f t="shared" si="9"/>
        <v>0</v>
      </c>
      <c r="AJ20" s="122">
        <f t="shared" si="10"/>
        <v>0</v>
      </c>
      <c r="AK20" s="122">
        <f t="shared" si="11"/>
        <v>0</v>
      </c>
      <c r="AL20" s="122">
        <f t="shared" si="12"/>
        <v>2.1741317387318602</v>
      </c>
      <c r="AM20" s="122">
        <f t="shared" si="0"/>
        <v>2.1741317387318602</v>
      </c>
      <c r="AO20" s="120">
        <f t="shared" si="13"/>
        <v>0</v>
      </c>
      <c r="AQ20" s="120">
        <f t="shared" si="14"/>
        <v>0</v>
      </c>
      <c r="AR20" s="120">
        <f t="shared" si="15"/>
        <v>0</v>
      </c>
      <c r="AT20" s="122" t="e">
        <f t="shared" si="1"/>
        <v>#DIV/0!</v>
      </c>
      <c r="AU20" s="122" t="e">
        <f t="shared" si="16"/>
        <v>#DIV/0!</v>
      </c>
      <c r="AV20" s="122" t="e">
        <f t="shared" si="16"/>
        <v>#DIV/0!</v>
      </c>
      <c r="AW20" s="122" t="e">
        <f t="shared" si="16"/>
        <v>#DIV/0!</v>
      </c>
      <c r="AX20" s="122" t="e">
        <f t="shared" si="16"/>
        <v>#DIV/0!</v>
      </c>
      <c r="AY20" s="122" t="e">
        <f t="shared" si="16"/>
        <v>#DIV/0!</v>
      </c>
    </row>
    <row r="21" spans="2:51" x14ac:dyDescent="0.35">
      <c r="B21" s="114"/>
      <c r="C21" s="70"/>
      <c r="D21" s="70"/>
      <c r="E21" s="296"/>
      <c r="F21" s="125"/>
      <c r="G21" s="126"/>
      <c r="H21" s="120">
        <f t="shared" si="2"/>
        <v>0</v>
      </c>
      <c r="I21" s="318">
        <v>0</v>
      </c>
      <c r="J21" s="318">
        <v>0</v>
      </c>
      <c r="K21" s="318">
        <v>0</v>
      </c>
      <c r="L21" s="318">
        <v>0</v>
      </c>
      <c r="M21" s="318">
        <v>1</v>
      </c>
      <c r="N21" s="121">
        <f t="shared" si="25"/>
        <v>1</v>
      </c>
      <c r="P21" s="122">
        <f t="shared" si="17"/>
        <v>1</v>
      </c>
      <c r="Q21" s="123">
        <f t="shared" si="18"/>
        <v>12470</v>
      </c>
      <c r="R21" s="123">
        <f t="shared" si="19"/>
        <v>256.7</v>
      </c>
      <c r="S21" s="123">
        <f t="shared" si="20"/>
        <v>245.48699999999999</v>
      </c>
      <c r="T21" s="123">
        <f t="shared" si="26"/>
        <v>27223.052521560079</v>
      </c>
      <c r="V21" s="122">
        <f t="shared" si="21"/>
        <v>2.62</v>
      </c>
      <c r="W21" s="123">
        <f t="shared" si="22"/>
        <v>39078</v>
      </c>
      <c r="X21" s="123">
        <f t="shared" si="23"/>
        <v>876</v>
      </c>
      <c r="Y21" s="123">
        <f t="shared" si="24"/>
        <v>922.9</v>
      </c>
      <c r="Z21" s="123">
        <f t="shared" si="27"/>
        <v>86409.555033848243</v>
      </c>
      <c r="AB21" s="122">
        <f t="shared" si="3"/>
        <v>1.62</v>
      </c>
      <c r="AC21" s="122">
        <f t="shared" si="4"/>
        <v>2.1337610264635125</v>
      </c>
      <c r="AD21" s="122">
        <f t="shared" si="5"/>
        <v>2.4125438254772109</v>
      </c>
      <c r="AE21" s="122">
        <f t="shared" si="6"/>
        <v>2.759465878030201</v>
      </c>
      <c r="AF21" s="122">
        <f t="shared" si="7"/>
        <v>2.1741317387318602</v>
      </c>
      <c r="AH21" s="122">
        <f t="shared" si="8"/>
        <v>0</v>
      </c>
      <c r="AI21" s="122">
        <f t="shared" si="9"/>
        <v>0</v>
      </c>
      <c r="AJ21" s="122">
        <f t="shared" si="10"/>
        <v>0</v>
      </c>
      <c r="AK21" s="122">
        <f t="shared" si="11"/>
        <v>0</v>
      </c>
      <c r="AL21" s="122">
        <f t="shared" si="12"/>
        <v>2.1741317387318602</v>
      </c>
      <c r="AM21" s="122">
        <f t="shared" si="0"/>
        <v>2.1741317387318602</v>
      </c>
      <c r="AO21" s="120">
        <f t="shared" si="13"/>
        <v>0</v>
      </c>
      <c r="AQ21" s="120">
        <f t="shared" si="14"/>
        <v>0</v>
      </c>
      <c r="AR21" s="120">
        <f t="shared" si="15"/>
        <v>0</v>
      </c>
      <c r="AT21" s="122" t="e">
        <f t="shared" si="1"/>
        <v>#DIV/0!</v>
      </c>
      <c r="AU21" s="122" t="e">
        <f t="shared" si="16"/>
        <v>#DIV/0!</v>
      </c>
      <c r="AV21" s="122" t="e">
        <f t="shared" si="16"/>
        <v>#DIV/0!</v>
      </c>
      <c r="AW21" s="122" t="e">
        <f t="shared" si="16"/>
        <v>#DIV/0!</v>
      </c>
      <c r="AX21" s="122" t="e">
        <f t="shared" si="16"/>
        <v>#DIV/0!</v>
      </c>
      <c r="AY21" s="122" t="e">
        <f t="shared" si="16"/>
        <v>#DIV/0!</v>
      </c>
    </row>
    <row r="22" spans="2:51" x14ac:dyDescent="0.35">
      <c r="B22" s="114"/>
      <c r="C22" s="70"/>
      <c r="D22" s="70"/>
      <c r="E22" s="296"/>
      <c r="F22" s="125"/>
      <c r="G22" s="126"/>
      <c r="H22" s="120">
        <f t="shared" si="2"/>
        <v>0</v>
      </c>
      <c r="I22" s="318">
        <v>0</v>
      </c>
      <c r="J22" s="318">
        <v>0</v>
      </c>
      <c r="K22" s="318">
        <v>0</v>
      </c>
      <c r="L22" s="318">
        <v>0</v>
      </c>
      <c r="M22" s="318">
        <v>1</v>
      </c>
      <c r="N22" s="121">
        <f t="shared" si="25"/>
        <v>1</v>
      </c>
      <c r="P22" s="122">
        <f t="shared" si="17"/>
        <v>1</v>
      </c>
      <c r="Q22" s="123">
        <f t="shared" si="18"/>
        <v>12470</v>
      </c>
      <c r="R22" s="123">
        <f t="shared" si="19"/>
        <v>256.7</v>
      </c>
      <c r="S22" s="123">
        <f t="shared" si="20"/>
        <v>245.48699999999999</v>
      </c>
      <c r="T22" s="123">
        <f t="shared" si="26"/>
        <v>27223.052521560079</v>
      </c>
      <c r="V22" s="122">
        <f t="shared" si="21"/>
        <v>2.62</v>
      </c>
      <c r="W22" s="123">
        <f t="shared" si="22"/>
        <v>39078</v>
      </c>
      <c r="X22" s="123">
        <f t="shared" si="23"/>
        <v>876</v>
      </c>
      <c r="Y22" s="123">
        <f t="shared" si="24"/>
        <v>922.9</v>
      </c>
      <c r="Z22" s="123">
        <f t="shared" si="27"/>
        <v>86409.555033848243</v>
      </c>
      <c r="AB22" s="122">
        <f t="shared" si="3"/>
        <v>1.62</v>
      </c>
      <c r="AC22" s="122">
        <f t="shared" si="4"/>
        <v>2.1337610264635125</v>
      </c>
      <c r="AD22" s="122">
        <f t="shared" si="5"/>
        <v>2.4125438254772109</v>
      </c>
      <c r="AE22" s="122">
        <f t="shared" si="6"/>
        <v>2.759465878030201</v>
      </c>
      <c r="AF22" s="122">
        <f t="shared" si="7"/>
        <v>2.1741317387318602</v>
      </c>
      <c r="AH22" s="122">
        <f t="shared" si="8"/>
        <v>0</v>
      </c>
      <c r="AI22" s="122">
        <f t="shared" si="9"/>
        <v>0</v>
      </c>
      <c r="AJ22" s="122">
        <f t="shared" si="10"/>
        <v>0</v>
      </c>
      <c r="AK22" s="122">
        <f t="shared" si="11"/>
        <v>0</v>
      </c>
      <c r="AL22" s="122">
        <f t="shared" si="12"/>
        <v>2.1741317387318602</v>
      </c>
      <c r="AM22" s="122">
        <f t="shared" si="0"/>
        <v>2.1741317387318602</v>
      </c>
      <c r="AO22" s="120">
        <f t="shared" si="13"/>
        <v>0</v>
      </c>
      <c r="AQ22" s="120">
        <f t="shared" si="14"/>
        <v>0</v>
      </c>
      <c r="AR22" s="120">
        <f t="shared" si="15"/>
        <v>0</v>
      </c>
      <c r="AT22" s="122" t="e">
        <f t="shared" si="1"/>
        <v>#DIV/0!</v>
      </c>
      <c r="AU22" s="122" t="e">
        <f t="shared" si="16"/>
        <v>#DIV/0!</v>
      </c>
      <c r="AV22" s="122" t="e">
        <f t="shared" si="16"/>
        <v>#DIV/0!</v>
      </c>
      <c r="AW22" s="122" t="e">
        <f t="shared" si="16"/>
        <v>#DIV/0!</v>
      </c>
      <c r="AX22" s="122" t="e">
        <f t="shared" si="16"/>
        <v>#DIV/0!</v>
      </c>
      <c r="AY22" s="122" t="e">
        <f t="shared" si="16"/>
        <v>#DIV/0!</v>
      </c>
    </row>
    <row r="23" spans="2:51" x14ac:dyDescent="0.35">
      <c r="B23" s="114"/>
      <c r="C23" s="70"/>
      <c r="D23" s="70"/>
      <c r="E23" s="296"/>
      <c r="F23" s="125"/>
      <c r="G23" s="126"/>
      <c r="H23" s="120">
        <f t="shared" si="2"/>
        <v>0</v>
      </c>
      <c r="I23" s="318">
        <v>0</v>
      </c>
      <c r="J23" s="318">
        <v>0</v>
      </c>
      <c r="K23" s="318">
        <v>0</v>
      </c>
      <c r="L23" s="318">
        <v>0</v>
      </c>
      <c r="M23" s="318">
        <v>1</v>
      </c>
      <c r="N23" s="121">
        <f t="shared" si="25"/>
        <v>1</v>
      </c>
      <c r="P23" s="122">
        <f t="shared" si="17"/>
        <v>1</v>
      </c>
      <c r="Q23" s="123">
        <f t="shared" si="18"/>
        <v>12470</v>
      </c>
      <c r="R23" s="123">
        <f t="shared" si="19"/>
        <v>256.7</v>
      </c>
      <c r="S23" s="123">
        <f t="shared" si="20"/>
        <v>245.48699999999999</v>
      </c>
      <c r="T23" s="123">
        <f t="shared" si="26"/>
        <v>27223.052521560079</v>
      </c>
      <c r="V23" s="122">
        <f t="shared" si="21"/>
        <v>2.62</v>
      </c>
      <c r="W23" s="123">
        <f t="shared" si="22"/>
        <v>39078</v>
      </c>
      <c r="X23" s="123">
        <f t="shared" si="23"/>
        <v>876</v>
      </c>
      <c r="Y23" s="123">
        <f t="shared" si="24"/>
        <v>922.9</v>
      </c>
      <c r="Z23" s="123">
        <f t="shared" si="27"/>
        <v>86409.555033848243</v>
      </c>
      <c r="AB23" s="122">
        <f t="shared" si="3"/>
        <v>1.62</v>
      </c>
      <c r="AC23" s="122">
        <f t="shared" si="4"/>
        <v>2.1337610264635125</v>
      </c>
      <c r="AD23" s="122">
        <f t="shared" si="5"/>
        <v>2.4125438254772109</v>
      </c>
      <c r="AE23" s="122">
        <f t="shared" si="6"/>
        <v>2.759465878030201</v>
      </c>
      <c r="AF23" s="122">
        <f t="shared" si="7"/>
        <v>2.1741317387318602</v>
      </c>
      <c r="AH23" s="122">
        <f t="shared" si="8"/>
        <v>0</v>
      </c>
      <c r="AI23" s="122">
        <f t="shared" si="9"/>
        <v>0</v>
      </c>
      <c r="AJ23" s="122">
        <f t="shared" si="10"/>
        <v>0</v>
      </c>
      <c r="AK23" s="122">
        <f t="shared" si="11"/>
        <v>0</v>
      </c>
      <c r="AL23" s="122">
        <f t="shared" si="12"/>
        <v>2.1741317387318602</v>
      </c>
      <c r="AM23" s="122">
        <f t="shared" si="0"/>
        <v>2.1741317387318602</v>
      </c>
      <c r="AO23" s="120">
        <f t="shared" si="13"/>
        <v>0</v>
      </c>
      <c r="AQ23" s="120">
        <f t="shared" si="14"/>
        <v>0</v>
      </c>
      <c r="AR23" s="120">
        <f t="shared" si="15"/>
        <v>0</v>
      </c>
      <c r="AT23" s="122" t="e">
        <f t="shared" si="1"/>
        <v>#DIV/0!</v>
      </c>
      <c r="AU23" s="122" t="e">
        <f t="shared" si="16"/>
        <v>#DIV/0!</v>
      </c>
      <c r="AV23" s="122" t="e">
        <f t="shared" si="16"/>
        <v>#DIV/0!</v>
      </c>
      <c r="AW23" s="122" t="e">
        <f t="shared" si="16"/>
        <v>#DIV/0!</v>
      </c>
      <c r="AX23" s="122" t="e">
        <f t="shared" si="16"/>
        <v>#DIV/0!</v>
      </c>
      <c r="AY23" s="122" t="e">
        <f t="shared" si="16"/>
        <v>#DIV/0!</v>
      </c>
    </row>
    <row r="24" spans="2:51" x14ac:dyDescent="0.35">
      <c r="B24" s="114"/>
      <c r="C24" s="70"/>
      <c r="D24" s="70"/>
      <c r="E24" s="296"/>
      <c r="F24" s="125"/>
      <c r="G24" s="126"/>
      <c r="H24" s="120">
        <f t="shared" si="2"/>
        <v>0</v>
      </c>
      <c r="I24" s="318">
        <v>0</v>
      </c>
      <c r="J24" s="318">
        <v>0</v>
      </c>
      <c r="K24" s="318">
        <v>0</v>
      </c>
      <c r="L24" s="318">
        <v>0</v>
      </c>
      <c r="M24" s="318">
        <v>1</v>
      </c>
      <c r="N24" s="121">
        <f t="shared" si="25"/>
        <v>1</v>
      </c>
      <c r="P24" s="122">
        <f t="shared" si="17"/>
        <v>1</v>
      </c>
      <c r="Q24" s="123">
        <f t="shared" si="18"/>
        <v>12470</v>
      </c>
      <c r="R24" s="123">
        <f t="shared" si="19"/>
        <v>256.7</v>
      </c>
      <c r="S24" s="123">
        <f t="shared" si="20"/>
        <v>245.48699999999999</v>
      </c>
      <c r="T24" s="123">
        <f t="shared" si="26"/>
        <v>27223.052521560079</v>
      </c>
      <c r="V24" s="122">
        <f t="shared" si="21"/>
        <v>2.62</v>
      </c>
      <c r="W24" s="123">
        <f t="shared" si="22"/>
        <v>39078</v>
      </c>
      <c r="X24" s="123">
        <f t="shared" si="23"/>
        <v>876</v>
      </c>
      <c r="Y24" s="123">
        <f t="shared" si="24"/>
        <v>922.9</v>
      </c>
      <c r="Z24" s="123">
        <f t="shared" si="27"/>
        <v>86409.555033848243</v>
      </c>
      <c r="AB24" s="122">
        <f t="shared" si="3"/>
        <v>1.62</v>
      </c>
      <c r="AC24" s="122">
        <f t="shared" si="4"/>
        <v>2.1337610264635125</v>
      </c>
      <c r="AD24" s="122">
        <f t="shared" si="5"/>
        <v>2.4125438254772109</v>
      </c>
      <c r="AE24" s="122">
        <f t="shared" si="6"/>
        <v>2.759465878030201</v>
      </c>
      <c r="AF24" s="122">
        <f t="shared" si="7"/>
        <v>2.1741317387318602</v>
      </c>
      <c r="AH24" s="122">
        <f t="shared" si="8"/>
        <v>0</v>
      </c>
      <c r="AI24" s="122">
        <f t="shared" si="9"/>
        <v>0</v>
      </c>
      <c r="AJ24" s="122">
        <f t="shared" si="10"/>
        <v>0</v>
      </c>
      <c r="AK24" s="122">
        <f t="shared" si="11"/>
        <v>0</v>
      </c>
      <c r="AL24" s="122">
        <f t="shared" si="12"/>
        <v>2.1741317387318602</v>
      </c>
      <c r="AM24" s="122">
        <f t="shared" si="0"/>
        <v>2.1741317387318602</v>
      </c>
      <c r="AO24" s="120">
        <f t="shared" si="13"/>
        <v>0</v>
      </c>
      <c r="AQ24" s="120">
        <f t="shared" si="14"/>
        <v>0</v>
      </c>
      <c r="AR24" s="120">
        <f t="shared" si="15"/>
        <v>0</v>
      </c>
      <c r="AT24" s="122" t="e">
        <f t="shared" si="1"/>
        <v>#DIV/0!</v>
      </c>
      <c r="AU24" s="122" t="e">
        <f t="shared" si="16"/>
        <v>#DIV/0!</v>
      </c>
      <c r="AV24" s="122" t="e">
        <f t="shared" si="16"/>
        <v>#DIV/0!</v>
      </c>
      <c r="AW24" s="122" t="e">
        <f t="shared" si="16"/>
        <v>#DIV/0!</v>
      </c>
      <c r="AX24" s="122" t="e">
        <f t="shared" si="16"/>
        <v>#DIV/0!</v>
      </c>
      <c r="AY24" s="122" t="e">
        <f t="shared" si="16"/>
        <v>#DIV/0!</v>
      </c>
    </row>
    <row r="25" spans="2:51" x14ac:dyDescent="0.35">
      <c r="B25" s="114"/>
      <c r="C25" s="70"/>
      <c r="D25" s="70"/>
      <c r="E25" s="296"/>
      <c r="F25" s="125"/>
      <c r="G25" s="126"/>
      <c r="H25" s="120">
        <f t="shared" si="2"/>
        <v>0</v>
      </c>
      <c r="I25" s="318">
        <v>0</v>
      </c>
      <c r="J25" s="318">
        <v>0</v>
      </c>
      <c r="K25" s="318">
        <v>0</v>
      </c>
      <c r="L25" s="318">
        <v>0</v>
      </c>
      <c r="M25" s="318">
        <v>1</v>
      </c>
      <c r="N25" s="121">
        <f t="shared" si="25"/>
        <v>1</v>
      </c>
      <c r="P25" s="122">
        <f t="shared" si="17"/>
        <v>1</v>
      </c>
      <c r="Q25" s="123">
        <f t="shared" si="18"/>
        <v>12470</v>
      </c>
      <c r="R25" s="123">
        <f t="shared" si="19"/>
        <v>256.7</v>
      </c>
      <c r="S25" s="123">
        <f t="shared" si="20"/>
        <v>245.48699999999999</v>
      </c>
      <c r="T25" s="123">
        <f t="shared" si="26"/>
        <v>27223.052521560079</v>
      </c>
      <c r="V25" s="122">
        <f t="shared" si="21"/>
        <v>2.62</v>
      </c>
      <c r="W25" s="123">
        <f t="shared" si="22"/>
        <v>39078</v>
      </c>
      <c r="X25" s="123">
        <f t="shared" si="23"/>
        <v>876</v>
      </c>
      <c r="Y25" s="123">
        <f t="shared" si="24"/>
        <v>922.9</v>
      </c>
      <c r="Z25" s="123">
        <f t="shared" si="27"/>
        <v>86409.555033848243</v>
      </c>
      <c r="AB25" s="122">
        <f t="shared" si="3"/>
        <v>1.62</v>
      </c>
      <c r="AC25" s="122">
        <f t="shared" si="4"/>
        <v>2.1337610264635125</v>
      </c>
      <c r="AD25" s="122">
        <f t="shared" si="5"/>
        <v>2.4125438254772109</v>
      </c>
      <c r="AE25" s="122">
        <f t="shared" si="6"/>
        <v>2.759465878030201</v>
      </c>
      <c r="AF25" s="122">
        <f t="shared" si="7"/>
        <v>2.1741317387318602</v>
      </c>
      <c r="AH25" s="122">
        <f t="shared" si="8"/>
        <v>0</v>
      </c>
      <c r="AI25" s="122">
        <f t="shared" si="9"/>
        <v>0</v>
      </c>
      <c r="AJ25" s="122">
        <f t="shared" si="10"/>
        <v>0</v>
      </c>
      <c r="AK25" s="122">
        <f t="shared" si="11"/>
        <v>0</v>
      </c>
      <c r="AL25" s="122">
        <f t="shared" si="12"/>
        <v>2.1741317387318602</v>
      </c>
      <c r="AM25" s="122">
        <f t="shared" si="0"/>
        <v>2.1741317387318602</v>
      </c>
      <c r="AO25" s="120">
        <f t="shared" si="13"/>
        <v>0</v>
      </c>
      <c r="AQ25" s="120">
        <f t="shared" si="14"/>
        <v>0</v>
      </c>
      <c r="AR25" s="120">
        <f t="shared" si="15"/>
        <v>0</v>
      </c>
      <c r="AT25" s="122" t="e">
        <f t="shared" si="1"/>
        <v>#DIV/0!</v>
      </c>
      <c r="AU25" s="122" t="e">
        <f t="shared" si="16"/>
        <v>#DIV/0!</v>
      </c>
      <c r="AV25" s="122" t="e">
        <f t="shared" si="16"/>
        <v>#DIV/0!</v>
      </c>
      <c r="AW25" s="122" t="e">
        <f t="shared" si="16"/>
        <v>#DIV/0!</v>
      </c>
      <c r="AX25" s="122" t="e">
        <f t="shared" si="16"/>
        <v>#DIV/0!</v>
      </c>
      <c r="AY25" s="122" t="e">
        <f t="shared" si="16"/>
        <v>#DIV/0!</v>
      </c>
    </row>
    <row r="26" spans="2:51" x14ac:dyDescent="0.35">
      <c r="B26" s="114"/>
      <c r="C26" s="70"/>
      <c r="D26" s="70"/>
      <c r="E26" s="296"/>
      <c r="F26" s="125"/>
      <c r="G26" s="126"/>
      <c r="H26" s="120">
        <f t="shared" si="2"/>
        <v>0</v>
      </c>
      <c r="I26" s="318">
        <v>0</v>
      </c>
      <c r="J26" s="318">
        <v>0</v>
      </c>
      <c r="K26" s="318">
        <v>0</v>
      </c>
      <c r="L26" s="318">
        <v>0</v>
      </c>
      <c r="M26" s="318">
        <v>1</v>
      </c>
      <c r="N26" s="121">
        <f t="shared" si="25"/>
        <v>1</v>
      </c>
      <c r="P26" s="122">
        <f t="shared" si="17"/>
        <v>1</v>
      </c>
      <c r="Q26" s="123">
        <f t="shared" si="18"/>
        <v>12470</v>
      </c>
      <c r="R26" s="123">
        <f t="shared" si="19"/>
        <v>256.7</v>
      </c>
      <c r="S26" s="123">
        <f t="shared" si="20"/>
        <v>245.48699999999999</v>
      </c>
      <c r="T26" s="123">
        <f t="shared" si="26"/>
        <v>27223.052521560079</v>
      </c>
      <c r="V26" s="122">
        <f t="shared" si="21"/>
        <v>2.62</v>
      </c>
      <c r="W26" s="123">
        <f t="shared" si="22"/>
        <v>39078</v>
      </c>
      <c r="X26" s="123">
        <f t="shared" si="23"/>
        <v>876</v>
      </c>
      <c r="Y26" s="123">
        <f t="shared" si="24"/>
        <v>922.9</v>
      </c>
      <c r="Z26" s="123">
        <f t="shared" si="27"/>
        <v>86409.555033848243</v>
      </c>
      <c r="AB26" s="122">
        <f t="shared" si="3"/>
        <v>1.62</v>
      </c>
      <c r="AC26" s="122">
        <f t="shared" si="4"/>
        <v>2.1337610264635125</v>
      </c>
      <c r="AD26" s="122">
        <f t="shared" si="5"/>
        <v>2.4125438254772109</v>
      </c>
      <c r="AE26" s="122">
        <f t="shared" si="6"/>
        <v>2.759465878030201</v>
      </c>
      <c r="AF26" s="122">
        <f t="shared" si="7"/>
        <v>2.1741317387318602</v>
      </c>
      <c r="AH26" s="122">
        <f t="shared" si="8"/>
        <v>0</v>
      </c>
      <c r="AI26" s="122">
        <f t="shared" si="9"/>
        <v>0</v>
      </c>
      <c r="AJ26" s="122">
        <f t="shared" si="10"/>
        <v>0</v>
      </c>
      <c r="AK26" s="122">
        <f t="shared" si="11"/>
        <v>0</v>
      </c>
      <c r="AL26" s="122">
        <f t="shared" si="12"/>
        <v>2.1741317387318602</v>
      </c>
      <c r="AM26" s="122">
        <f t="shared" si="0"/>
        <v>2.1741317387318602</v>
      </c>
      <c r="AO26" s="120">
        <f t="shared" si="13"/>
        <v>0</v>
      </c>
      <c r="AQ26" s="120">
        <f t="shared" si="14"/>
        <v>0</v>
      </c>
      <c r="AR26" s="120">
        <f t="shared" si="15"/>
        <v>0</v>
      </c>
      <c r="AT26" s="122" t="e">
        <f t="shared" si="1"/>
        <v>#DIV/0!</v>
      </c>
      <c r="AU26" s="122" t="e">
        <f t="shared" si="16"/>
        <v>#DIV/0!</v>
      </c>
      <c r="AV26" s="122" t="e">
        <f t="shared" si="16"/>
        <v>#DIV/0!</v>
      </c>
      <c r="AW26" s="122" t="e">
        <f t="shared" si="16"/>
        <v>#DIV/0!</v>
      </c>
      <c r="AX26" s="122" t="e">
        <f t="shared" si="16"/>
        <v>#DIV/0!</v>
      </c>
      <c r="AY26" s="122" t="e">
        <f t="shared" si="16"/>
        <v>#DIV/0!</v>
      </c>
    </row>
    <row r="27" spans="2:51" x14ac:dyDescent="0.35">
      <c r="B27" s="114"/>
      <c r="C27" s="70"/>
      <c r="D27" s="70"/>
      <c r="E27" s="296"/>
      <c r="F27" s="125"/>
      <c r="G27" s="126"/>
      <c r="H27" s="120">
        <f t="shared" si="2"/>
        <v>0</v>
      </c>
      <c r="I27" s="318">
        <v>0</v>
      </c>
      <c r="J27" s="318">
        <v>0</v>
      </c>
      <c r="K27" s="318">
        <v>0</v>
      </c>
      <c r="L27" s="318">
        <v>0</v>
      </c>
      <c r="M27" s="318">
        <v>1</v>
      </c>
      <c r="N27" s="121">
        <f t="shared" si="25"/>
        <v>1</v>
      </c>
      <c r="P27" s="122">
        <f t="shared" si="17"/>
        <v>1</v>
      </c>
      <c r="Q27" s="123">
        <f t="shared" si="18"/>
        <v>12470</v>
      </c>
      <c r="R27" s="123">
        <f t="shared" si="19"/>
        <v>256.7</v>
      </c>
      <c r="S27" s="123">
        <f t="shared" si="20"/>
        <v>245.48699999999999</v>
      </c>
      <c r="T27" s="123">
        <f t="shared" si="26"/>
        <v>27223.052521560079</v>
      </c>
      <c r="V27" s="122">
        <f t="shared" si="21"/>
        <v>2.62</v>
      </c>
      <c r="W27" s="123">
        <f t="shared" si="22"/>
        <v>39078</v>
      </c>
      <c r="X27" s="123">
        <f t="shared" si="23"/>
        <v>876</v>
      </c>
      <c r="Y27" s="123">
        <f t="shared" si="24"/>
        <v>922.9</v>
      </c>
      <c r="Z27" s="123">
        <f t="shared" si="27"/>
        <v>86409.555033848243</v>
      </c>
      <c r="AB27" s="122">
        <f t="shared" si="3"/>
        <v>1.62</v>
      </c>
      <c r="AC27" s="122">
        <f t="shared" si="4"/>
        <v>2.1337610264635125</v>
      </c>
      <c r="AD27" s="122">
        <f t="shared" si="5"/>
        <v>2.4125438254772109</v>
      </c>
      <c r="AE27" s="122">
        <f t="shared" si="6"/>
        <v>2.759465878030201</v>
      </c>
      <c r="AF27" s="122">
        <f t="shared" si="7"/>
        <v>2.1741317387318602</v>
      </c>
      <c r="AH27" s="122">
        <f t="shared" si="8"/>
        <v>0</v>
      </c>
      <c r="AI27" s="122">
        <f t="shared" si="9"/>
        <v>0</v>
      </c>
      <c r="AJ27" s="122">
        <f t="shared" si="10"/>
        <v>0</v>
      </c>
      <c r="AK27" s="122">
        <f t="shared" si="11"/>
        <v>0</v>
      </c>
      <c r="AL27" s="122">
        <f t="shared" si="12"/>
        <v>2.1741317387318602</v>
      </c>
      <c r="AM27" s="122">
        <f t="shared" si="0"/>
        <v>2.1741317387318602</v>
      </c>
      <c r="AO27" s="120">
        <f t="shared" si="13"/>
        <v>0</v>
      </c>
      <c r="AQ27" s="120">
        <f t="shared" si="14"/>
        <v>0</v>
      </c>
      <c r="AR27" s="120">
        <f t="shared" si="15"/>
        <v>0</v>
      </c>
      <c r="AT27" s="122" t="e">
        <f t="shared" si="1"/>
        <v>#DIV/0!</v>
      </c>
      <c r="AU27" s="122" t="e">
        <f t="shared" si="16"/>
        <v>#DIV/0!</v>
      </c>
      <c r="AV27" s="122" t="e">
        <f t="shared" si="16"/>
        <v>#DIV/0!</v>
      </c>
      <c r="AW27" s="122" t="e">
        <f t="shared" si="16"/>
        <v>#DIV/0!</v>
      </c>
      <c r="AX27" s="122" t="e">
        <f t="shared" si="16"/>
        <v>#DIV/0!</v>
      </c>
      <c r="AY27" s="122" t="e">
        <f t="shared" si="16"/>
        <v>#DIV/0!</v>
      </c>
    </row>
    <row r="28" spans="2:51" x14ac:dyDescent="0.35">
      <c r="B28" s="114"/>
      <c r="C28" s="70"/>
      <c r="D28" s="70"/>
      <c r="E28" s="296"/>
      <c r="F28" s="125"/>
      <c r="G28" s="126"/>
      <c r="H28" s="120">
        <f t="shared" si="2"/>
        <v>0</v>
      </c>
      <c r="I28" s="318">
        <v>0</v>
      </c>
      <c r="J28" s="318">
        <v>0</v>
      </c>
      <c r="K28" s="318">
        <v>0</v>
      </c>
      <c r="L28" s="318">
        <v>0</v>
      </c>
      <c r="M28" s="318">
        <v>1</v>
      </c>
      <c r="N28" s="121">
        <f t="shared" si="25"/>
        <v>1</v>
      </c>
      <c r="P28" s="122">
        <f t="shared" si="17"/>
        <v>1</v>
      </c>
      <c r="Q28" s="123">
        <f t="shared" si="18"/>
        <v>12470</v>
      </c>
      <c r="R28" s="123">
        <f t="shared" si="19"/>
        <v>256.7</v>
      </c>
      <c r="S28" s="123">
        <f t="shared" si="20"/>
        <v>245.48699999999999</v>
      </c>
      <c r="T28" s="123">
        <f t="shared" si="26"/>
        <v>27223.052521560079</v>
      </c>
      <c r="V28" s="122">
        <f t="shared" si="21"/>
        <v>2.62</v>
      </c>
      <c r="W28" s="123">
        <f t="shared" si="22"/>
        <v>39078</v>
      </c>
      <c r="X28" s="123">
        <f t="shared" si="23"/>
        <v>876</v>
      </c>
      <c r="Y28" s="123">
        <f t="shared" si="24"/>
        <v>922.9</v>
      </c>
      <c r="Z28" s="123">
        <f t="shared" si="27"/>
        <v>86409.555033848243</v>
      </c>
      <c r="AB28" s="122">
        <f t="shared" si="3"/>
        <v>1.62</v>
      </c>
      <c r="AC28" s="122">
        <f t="shared" si="4"/>
        <v>2.1337610264635125</v>
      </c>
      <c r="AD28" s="122">
        <f t="shared" si="5"/>
        <v>2.4125438254772109</v>
      </c>
      <c r="AE28" s="122">
        <f t="shared" si="6"/>
        <v>2.759465878030201</v>
      </c>
      <c r="AF28" s="122">
        <f t="shared" si="7"/>
        <v>2.1741317387318602</v>
      </c>
      <c r="AH28" s="122">
        <f t="shared" si="8"/>
        <v>0</v>
      </c>
      <c r="AI28" s="122">
        <f t="shared" si="9"/>
        <v>0</v>
      </c>
      <c r="AJ28" s="122">
        <f t="shared" si="10"/>
        <v>0</v>
      </c>
      <c r="AK28" s="122">
        <f t="shared" si="11"/>
        <v>0</v>
      </c>
      <c r="AL28" s="122">
        <f t="shared" si="12"/>
        <v>2.1741317387318602</v>
      </c>
      <c r="AM28" s="122">
        <f t="shared" si="0"/>
        <v>2.1741317387318602</v>
      </c>
      <c r="AO28" s="120">
        <f t="shared" si="13"/>
        <v>0</v>
      </c>
      <c r="AQ28" s="120">
        <f t="shared" si="14"/>
        <v>0</v>
      </c>
      <c r="AR28" s="120">
        <f t="shared" si="15"/>
        <v>0</v>
      </c>
      <c r="AT28" s="122" t="e">
        <f t="shared" si="1"/>
        <v>#DIV/0!</v>
      </c>
      <c r="AU28" s="122" t="e">
        <f t="shared" si="16"/>
        <v>#DIV/0!</v>
      </c>
      <c r="AV28" s="122" t="e">
        <f t="shared" si="16"/>
        <v>#DIV/0!</v>
      </c>
      <c r="AW28" s="122" t="e">
        <f t="shared" si="16"/>
        <v>#DIV/0!</v>
      </c>
      <c r="AX28" s="122" t="e">
        <f t="shared" si="16"/>
        <v>#DIV/0!</v>
      </c>
      <c r="AY28" s="122" t="e">
        <f t="shared" si="16"/>
        <v>#DIV/0!</v>
      </c>
    </row>
    <row r="29" spans="2:51" x14ac:dyDescent="0.35">
      <c r="B29" s="114"/>
      <c r="C29" s="70"/>
      <c r="D29" s="70"/>
      <c r="E29" s="296"/>
      <c r="F29" s="125"/>
      <c r="G29" s="126"/>
      <c r="H29" s="120">
        <f t="shared" si="2"/>
        <v>0</v>
      </c>
      <c r="I29" s="318">
        <v>0</v>
      </c>
      <c r="J29" s="318">
        <v>0</v>
      </c>
      <c r="K29" s="318">
        <v>0</v>
      </c>
      <c r="L29" s="318">
        <v>0</v>
      </c>
      <c r="M29" s="318">
        <v>1</v>
      </c>
      <c r="N29" s="121">
        <f t="shared" si="25"/>
        <v>1</v>
      </c>
      <c r="P29" s="122">
        <f t="shared" si="17"/>
        <v>1</v>
      </c>
      <c r="Q29" s="123">
        <f t="shared" si="18"/>
        <v>12470</v>
      </c>
      <c r="R29" s="123">
        <f t="shared" si="19"/>
        <v>256.7</v>
      </c>
      <c r="S29" s="123">
        <f t="shared" si="20"/>
        <v>245.48699999999999</v>
      </c>
      <c r="T29" s="123">
        <f t="shared" si="26"/>
        <v>27223.052521560079</v>
      </c>
      <c r="V29" s="122">
        <f t="shared" si="21"/>
        <v>2.62</v>
      </c>
      <c r="W29" s="123">
        <f t="shared" si="22"/>
        <v>39078</v>
      </c>
      <c r="X29" s="123">
        <f t="shared" si="23"/>
        <v>876</v>
      </c>
      <c r="Y29" s="123">
        <f t="shared" si="24"/>
        <v>922.9</v>
      </c>
      <c r="Z29" s="123">
        <f t="shared" si="27"/>
        <v>86409.555033848243</v>
      </c>
      <c r="AB29" s="122">
        <f t="shared" si="3"/>
        <v>1.62</v>
      </c>
      <c r="AC29" s="122">
        <f t="shared" si="4"/>
        <v>2.1337610264635125</v>
      </c>
      <c r="AD29" s="122">
        <f t="shared" si="5"/>
        <v>2.4125438254772109</v>
      </c>
      <c r="AE29" s="122">
        <f t="shared" si="6"/>
        <v>2.759465878030201</v>
      </c>
      <c r="AF29" s="122">
        <f t="shared" si="7"/>
        <v>2.1741317387318602</v>
      </c>
      <c r="AH29" s="122">
        <f t="shared" si="8"/>
        <v>0</v>
      </c>
      <c r="AI29" s="122">
        <f t="shared" si="9"/>
        <v>0</v>
      </c>
      <c r="AJ29" s="122">
        <f t="shared" si="10"/>
        <v>0</v>
      </c>
      <c r="AK29" s="122">
        <f t="shared" si="11"/>
        <v>0</v>
      </c>
      <c r="AL29" s="122">
        <f t="shared" si="12"/>
        <v>2.1741317387318602</v>
      </c>
      <c r="AM29" s="122">
        <f t="shared" si="0"/>
        <v>2.1741317387318602</v>
      </c>
      <c r="AO29" s="120">
        <f t="shared" si="13"/>
        <v>0</v>
      </c>
      <c r="AQ29" s="120">
        <f t="shared" si="14"/>
        <v>0</v>
      </c>
      <c r="AR29" s="120">
        <f t="shared" si="15"/>
        <v>0</v>
      </c>
      <c r="AT29" s="122" t="e">
        <f t="shared" si="1"/>
        <v>#DIV/0!</v>
      </c>
      <c r="AU29" s="122" t="e">
        <f t="shared" si="16"/>
        <v>#DIV/0!</v>
      </c>
      <c r="AV29" s="122" t="e">
        <f t="shared" si="16"/>
        <v>#DIV/0!</v>
      </c>
      <c r="AW29" s="122" t="e">
        <f t="shared" si="16"/>
        <v>#DIV/0!</v>
      </c>
      <c r="AX29" s="122" t="e">
        <f t="shared" si="16"/>
        <v>#DIV/0!</v>
      </c>
      <c r="AY29" s="122" t="e">
        <f t="shared" si="16"/>
        <v>#DIV/0!</v>
      </c>
    </row>
    <row r="30" spans="2:51" x14ac:dyDescent="0.35">
      <c r="B30" s="114"/>
      <c r="C30" s="70"/>
      <c r="D30" s="70"/>
      <c r="E30" s="296"/>
      <c r="F30" s="125"/>
      <c r="G30" s="126"/>
      <c r="H30" s="120">
        <f t="shared" si="2"/>
        <v>0</v>
      </c>
      <c r="I30" s="318">
        <v>0</v>
      </c>
      <c r="J30" s="318">
        <v>0</v>
      </c>
      <c r="K30" s="318">
        <v>0</v>
      </c>
      <c r="L30" s="318">
        <v>0</v>
      </c>
      <c r="M30" s="318">
        <v>1</v>
      </c>
      <c r="N30" s="121">
        <f t="shared" si="25"/>
        <v>1</v>
      </c>
      <c r="P30" s="122">
        <f t="shared" si="17"/>
        <v>1</v>
      </c>
      <c r="Q30" s="123">
        <f t="shared" si="18"/>
        <v>12470</v>
      </c>
      <c r="R30" s="123">
        <f t="shared" si="19"/>
        <v>256.7</v>
      </c>
      <c r="S30" s="123">
        <f t="shared" si="20"/>
        <v>245.48699999999999</v>
      </c>
      <c r="T30" s="123">
        <f t="shared" si="26"/>
        <v>27223.052521560079</v>
      </c>
      <c r="V30" s="122">
        <f t="shared" si="21"/>
        <v>2.62</v>
      </c>
      <c r="W30" s="123">
        <f t="shared" si="22"/>
        <v>39078</v>
      </c>
      <c r="X30" s="123">
        <f t="shared" si="23"/>
        <v>876</v>
      </c>
      <c r="Y30" s="123">
        <f t="shared" si="24"/>
        <v>922.9</v>
      </c>
      <c r="Z30" s="123">
        <f t="shared" si="27"/>
        <v>86409.555033848243</v>
      </c>
      <c r="AB30" s="122">
        <f t="shared" si="3"/>
        <v>1.62</v>
      </c>
      <c r="AC30" s="122">
        <f t="shared" si="4"/>
        <v>2.1337610264635125</v>
      </c>
      <c r="AD30" s="122">
        <f t="shared" si="5"/>
        <v>2.4125438254772109</v>
      </c>
      <c r="AE30" s="122">
        <f t="shared" si="6"/>
        <v>2.759465878030201</v>
      </c>
      <c r="AF30" s="122">
        <f t="shared" si="7"/>
        <v>2.1741317387318602</v>
      </c>
      <c r="AH30" s="122">
        <f t="shared" si="8"/>
        <v>0</v>
      </c>
      <c r="AI30" s="122">
        <f t="shared" si="9"/>
        <v>0</v>
      </c>
      <c r="AJ30" s="122">
        <f t="shared" si="10"/>
        <v>0</v>
      </c>
      <c r="AK30" s="122">
        <f t="shared" si="11"/>
        <v>0</v>
      </c>
      <c r="AL30" s="122">
        <f t="shared" si="12"/>
        <v>2.1741317387318602</v>
      </c>
      <c r="AM30" s="122">
        <f t="shared" si="0"/>
        <v>2.1741317387318602</v>
      </c>
      <c r="AO30" s="120">
        <f t="shared" si="13"/>
        <v>0</v>
      </c>
      <c r="AQ30" s="120">
        <f t="shared" si="14"/>
        <v>0</v>
      </c>
      <c r="AR30" s="120">
        <f t="shared" si="15"/>
        <v>0</v>
      </c>
      <c r="AT30" s="122" t="e">
        <f t="shared" si="1"/>
        <v>#DIV/0!</v>
      </c>
      <c r="AU30" s="122" t="e">
        <f t="shared" si="16"/>
        <v>#DIV/0!</v>
      </c>
      <c r="AV30" s="122" t="e">
        <f t="shared" si="16"/>
        <v>#DIV/0!</v>
      </c>
      <c r="AW30" s="122" t="e">
        <f t="shared" si="16"/>
        <v>#DIV/0!</v>
      </c>
      <c r="AX30" s="122" t="e">
        <f t="shared" si="16"/>
        <v>#DIV/0!</v>
      </c>
      <c r="AY30" s="122" t="e">
        <f t="shared" si="16"/>
        <v>#DIV/0!</v>
      </c>
    </row>
    <row r="31" spans="2:51" x14ac:dyDescent="0.35">
      <c r="B31" s="114"/>
      <c r="C31" s="70"/>
      <c r="D31" s="70"/>
      <c r="E31" s="296"/>
      <c r="F31" s="125"/>
      <c r="G31" s="126"/>
      <c r="H31" s="120">
        <f t="shared" si="2"/>
        <v>0</v>
      </c>
      <c r="I31" s="318">
        <v>0</v>
      </c>
      <c r="J31" s="318">
        <v>0</v>
      </c>
      <c r="K31" s="318">
        <v>0</v>
      </c>
      <c r="L31" s="318">
        <v>0</v>
      </c>
      <c r="M31" s="318">
        <v>1</v>
      </c>
      <c r="N31" s="121">
        <f t="shared" si="25"/>
        <v>1</v>
      </c>
      <c r="P31" s="122">
        <f t="shared" si="17"/>
        <v>1</v>
      </c>
      <c r="Q31" s="123">
        <f t="shared" si="18"/>
        <v>12470</v>
      </c>
      <c r="R31" s="123">
        <f t="shared" si="19"/>
        <v>256.7</v>
      </c>
      <c r="S31" s="123">
        <f t="shared" si="20"/>
        <v>245.48699999999999</v>
      </c>
      <c r="T31" s="123">
        <f t="shared" si="26"/>
        <v>27223.052521560079</v>
      </c>
      <c r="V31" s="122">
        <f t="shared" si="21"/>
        <v>2.62</v>
      </c>
      <c r="W31" s="123">
        <f t="shared" si="22"/>
        <v>39078</v>
      </c>
      <c r="X31" s="123">
        <f t="shared" si="23"/>
        <v>876</v>
      </c>
      <c r="Y31" s="123">
        <f t="shared" si="24"/>
        <v>922.9</v>
      </c>
      <c r="Z31" s="123">
        <f t="shared" si="27"/>
        <v>86409.555033848243</v>
      </c>
      <c r="AB31" s="122">
        <f t="shared" si="3"/>
        <v>1.62</v>
      </c>
      <c r="AC31" s="122">
        <f t="shared" si="4"/>
        <v>2.1337610264635125</v>
      </c>
      <c r="AD31" s="122">
        <f t="shared" si="5"/>
        <v>2.4125438254772109</v>
      </c>
      <c r="AE31" s="122">
        <f t="shared" si="6"/>
        <v>2.759465878030201</v>
      </c>
      <c r="AF31" s="122">
        <f t="shared" si="7"/>
        <v>2.1741317387318602</v>
      </c>
      <c r="AH31" s="122">
        <f t="shared" si="8"/>
        <v>0</v>
      </c>
      <c r="AI31" s="122">
        <f t="shared" si="9"/>
        <v>0</v>
      </c>
      <c r="AJ31" s="122">
        <f t="shared" si="10"/>
        <v>0</v>
      </c>
      <c r="AK31" s="122">
        <f t="shared" si="11"/>
        <v>0</v>
      </c>
      <c r="AL31" s="122">
        <f t="shared" si="12"/>
        <v>2.1741317387318602</v>
      </c>
      <c r="AM31" s="122">
        <f t="shared" si="0"/>
        <v>2.1741317387318602</v>
      </c>
      <c r="AO31" s="120">
        <f t="shared" si="13"/>
        <v>0</v>
      </c>
      <c r="AQ31" s="120">
        <f t="shared" si="14"/>
        <v>0</v>
      </c>
      <c r="AR31" s="120">
        <f t="shared" si="15"/>
        <v>0</v>
      </c>
      <c r="AT31" s="122" t="e">
        <f t="shared" si="1"/>
        <v>#DIV/0!</v>
      </c>
      <c r="AU31" s="122" t="e">
        <f t="shared" si="16"/>
        <v>#DIV/0!</v>
      </c>
      <c r="AV31" s="122" t="e">
        <f t="shared" si="16"/>
        <v>#DIV/0!</v>
      </c>
      <c r="AW31" s="122" t="e">
        <f t="shared" si="16"/>
        <v>#DIV/0!</v>
      </c>
      <c r="AX31" s="122" t="e">
        <f t="shared" si="16"/>
        <v>#DIV/0!</v>
      </c>
      <c r="AY31" s="122" t="e">
        <f t="shared" si="16"/>
        <v>#DIV/0!</v>
      </c>
    </row>
    <row r="32" spans="2:51" x14ac:dyDescent="0.35">
      <c r="B32" s="114"/>
      <c r="C32" s="70"/>
      <c r="D32" s="70"/>
      <c r="E32" s="296"/>
      <c r="F32" s="125"/>
      <c r="G32" s="126"/>
      <c r="H32" s="120">
        <f t="shared" si="2"/>
        <v>0</v>
      </c>
      <c r="I32" s="318">
        <v>0</v>
      </c>
      <c r="J32" s="318">
        <v>0</v>
      </c>
      <c r="K32" s="318">
        <v>0</v>
      </c>
      <c r="L32" s="318">
        <v>0</v>
      </c>
      <c r="M32" s="318">
        <v>1</v>
      </c>
      <c r="N32" s="121">
        <f t="shared" si="25"/>
        <v>1</v>
      </c>
      <c r="P32" s="122">
        <f t="shared" si="17"/>
        <v>1</v>
      </c>
      <c r="Q32" s="123">
        <f t="shared" si="18"/>
        <v>12470</v>
      </c>
      <c r="R32" s="123">
        <f t="shared" si="19"/>
        <v>256.7</v>
      </c>
      <c r="S32" s="123">
        <f t="shared" si="20"/>
        <v>245.48699999999999</v>
      </c>
      <c r="T32" s="123">
        <f t="shared" si="26"/>
        <v>27223.052521560079</v>
      </c>
      <c r="V32" s="122">
        <f t="shared" si="21"/>
        <v>2.62</v>
      </c>
      <c r="W32" s="123">
        <f t="shared" si="22"/>
        <v>39078</v>
      </c>
      <c r="X32" s="123">
        <f t="shared" si="23"/>
        <v>876</v>
      </c>
      <c r="Y32" s="123">
        <f t="shared" si="24"/>
        <v>922.9</v>
      </c>
      <c r="Z32" s="123">
        <f t="shared" si="27"/>
        <v>86409.555033848243</v>
      </c>
      <c r="AB32" s="122">
        <f t="shared" si="3"/>
        <v>1.62</v>
      </c>
      <c r="AC32" s="122">
        <f t="shared" si="4"/>
        <v>2.1337610264635125</v>
      </c>
      <c r="AD32" s="122">
        <f t="shared" si="5"/>
        <v>2.4125438254772109</v>
      </c>
      <c r="AE32" s="122">
        <f t="shared" si="6"/>
        <v>2.759465878030201</v>
      </c>
      <c r="AF32" s="122">
        <f t="shared" si="7"/>
        <v>2.1741317387318602</v>
      </c>
      <c r="AH32" s="122">
        <f t="shared" si="8"/>
        <v>0</v>
      </c>
      <c r="AI32" s="122">
        <f t="shared" si="9"/>
        <v>0</v>
      </c>
      <c r="AJ32" s="122">
        <f t="shared" si="10"/>
        <v>0</v>
      </c>
      <c r="AK32" s="122">
        <f t="shared" si="11"/>
        <v>0</v>
      </c>
      <c r="AL32" s="122">
        <f t="shared" si="12"/>
        <v>2.1741317387318602</v>
      </c>
      <c r="AM32" s="122">
        <f t="shared" si="0"/>
        <v>2.1741317387318602</v>
      </c>
      <c r="AO32" s="120">
        <f t="shared" si="13"/>
        <v>0</v>
      </c>
      <c r="AQ32" s="120">
        <f t="shared" si="14"/>
        <v>0</v>
      </c>
      <c r="AR32" s="120">
        <f t="shared" si="15"/>
        <v>0</v>
      </c>
      <c r="AT32" s="122" t="e">
        <f t="shared" si="1"/>
        <v>#DIV/0!</v>
      </c>
      <c r="AU32" s="122" t="e">
        <f t="shared" si="16"/>
        <v>#DIV/0!</v>
      </c>
      <c r="AV32" s="122" t="e">
        <f t="shared" si="16"/>
        <v>#DIV/0!</v>
      </c>
      <c r="AW32" s="122" t="e">
        <f t="shared" si="16"/>
        <v>#DIV/0!</v>
      </c>
      <c r="AX32" s="122" t="e">
        <f t="shared" si="16"/>
        <v>#DIV/0!</v>
      </c>
      <c r="AY32" s="122" t="e">
        <f t="shared" si="16"/>
        <v>#DIV/0!</v>
      </c>
    </row>
    <row r="33" spans="3:51" x14ac:dyDescent="0.35">
      <c r="C33" s="70"/>
      <c r="D33" s="70"/>
      <c r="E33" s="296"/>
      <c r="F33" s="125"/>
      <c r="G33" s="126"/>
      <c r="H33" s="120">
        <f t="shared" si="2"/>
        <v>0</v>
      </c>
      <c r="I33" s="318">
        <v>0</v>
      </c>
      <c r="J33" s="318">
        <v>0</v>
      </c>
      <c r="K33" s="318">
        <v>0</v>
      </c>
      <c r="L33" s="318">
        <v>0</v>
      </c>
      <c r="M33" s="318">
        <v>1</v>
      </c>
      <c r="N33" s="121">
        <f t="shared" ref="N33:N60" si="28">SUM(I33:M33)</f>
        <v>1</v>
      </c>
      <c r="P33" s="122">
        <f t="shared" si="17"/>
        <v>1</v>
      </c>
      <c r="Q33" s="123">
        <f t="shared" si="18"/>
        <v>12470</v>
      </c>
      <c r="R33" s="123">
        <f t="shared" si="19"/>
        <v>256.7</v>
      </c>
      <c r="S33" s="123">
        <f t="shared" si="20"/>
        <v>245.48699999999999</v>
      </c>
      <c r="T33" s="123">
        <f t="shared" si="26"/>
        <v>27223.052521560079</v>
      </c>
      <c r="V33" s="122">
        <f t="shared" si="21"/>
        <v>2.62</v>
      </c>
      <c r="W33" s="123">
        <f t="shared" si="22"/>
        <v>39078</v>
      </c>
      <c r="X33" s="123">
        <f t="shared" si="23"/>
        <v>876</v>
      </c>
      <c r="Y33" s="123">
        <f t="shared" si="24"/>
        <v>922.9</v>
      </c>
      <c r="Z33" s="123">
        <f t="shared" si="27"/>
        <v>86409.555033848243</v>
      </c>
      <c r="AB33" s="122">
        <f t="shared" si="3"/>
        <v>1.62</v>
      </c>
      <c r="AC33" s="122">
        <f t="shared" si="4"/>
        <v>2.1337610264635125</v>
      </c>
      <c r="AD33" s="122">
        <f t="shared" si="5"/>
        <v>2.4125438254772109</v>
      </c>
      <c r="AE33" s="122">
        <f t="shared" si="6"/>
        <v>2.759465878030201</v>
      </c>
      <c r="AF33" s="122">
        <f t="shared" si="7"/>
        <v>2.1741317387318602</v>
      </c>
      <c r="AH33" s="122">
        <f t="shared" si="8"/>
        <v>0</v>
      </c>
      <c r="AI33" s="122">
        <f t="shared" si="9"/>
        <v>0</v>
      </c>
      <c r="AJ33" s="122">
        <f t="shared" si="10"/>
        <v>0</v>
      </c>
      <c r="AK33" s="122">
        <f t="shared" si="11"/>
        <v>0</v>
      </c>
      <c r="AL33" s="122">
        <f t="shared" si="12"/>
        <v>2.1741317387318602</v>
      </c>
      <c r="AM33" s="122">
        <f t="shared" si="0"/>
        <v>2.1741317387318602</v>
      </c>
      <c r="AO33" s="120">
        <f t="shared" si="13"/>
        <v>0</v>
      </c>
      <c r="AQ33" s="120">
        <f t="shared" si="14"/>
        <v>0</v>
      </c>
      <c r="AR33" s="120">
        <f t="shared" si="15"/>
        <v>0</v>
      </c>
      <c r="AT33" s="122" t="e">
        <f t="shared" si="1"/>
        <v>#DIV/0!</v>
      </c>
      <c r="AU33" s="122" t="e">
        <f t="shared" si="16"/>
        <v>#DIV/0!</v>
      </c>
      <c r="AV33" s="122" t="e">
        <f t="shared" si="16"/>
        <v>#DIV/0!</v>
      </c>
      <c r="AW33" s="122" t="e">
        <f t="shared" si="16"/>
        <v>#DIV/0!</v>
      </c>
      <c r="AX33" s="122" t="e">
        <f t="shared" si="16"/>
        <v>#DIV/0!</v>
      </c>
      <c r="AY33" s="122" t="e">
        <f t="shared" si="16"/>
        <v>#DIV/0!</v>
      </c>
    </row>
    <row r="34" spans="3:51" x14ac:dyDescent="0.35">
      <c r="C34" s="70"/>
      <c r="D34" s="70"/>
      <c r="E34" s="296"/>
      <c r="F34" s="125"/>
      <c r="G34" s="126"/>
      <c r="H34" s="120">
        <f t="shared" si="2"/>
        <v>0</v>
      </c>
      <c r="I34" s="318">
        <v>0</v>
      </c>
      <c r="J34" s="318">
        <v>0</v>
      </c>
      <c r="K34" s="318">
        <v>0</v>
      </c>
      <c r="L34" s="318">
        <v>0</v>
      </c>
      <c r="M34" s="318">
        <v>1</v>
      </c>
      <c r="N34" s="121">
        <f t="shared" si="28"/>
        <v>1</v>
      </c>
      <c r="P34" s="122">
        <f t="shared" si="17"/>
        <v>1</v>
      </c>
      <c r="Q34" s="123">
        <f t="shared" si="18"/>
        <v>12470</v>
      </c>
      <c r="R34" s="123">
        <f t="shared" si="19"/>
        <v>256.7</v>
      </c>
      <c r="S34" s="123">
        <f t="shared" si="20"/>
        <v>245.48699999999999</v>
      </c>
      <c r="T34" s="123">
        <f t="shared" si="26"/>
        <v>27223.052521560079</v>
      </c>
      <c r="V34" s="122">
        <f t="shared" si="21"/>
        <v>2.62</v>
      </c>
      <c r="W34" s="123">
        <f t="shared" si="22"/>
        <v>39078</v>
      </c>
      <c r="X34" s="123">
        <f t="shared" si="23"/>
        <v>876</v>
      </c>
      <c r="Y34" s="123">
        <f t="shared" si="24"/>
        <v>922.9</v>
      </c>
      <c r="Z34" s="123">
        <f t="shared" si="27"/>
        <v>86409.555033848243</v>
      </c>
      <c r="AB34" s="122">
        <f t="shared" si="3"/>
        <v>1.62</v>
      </c>
      <c r="AC34" s="122">
        <f t="shared" si="4"/>
        <v>2.1337610264635125</v>
      </c>
      <c r="AD34" s="122">
        <f t="shared" si="5"/>
        <v>2.4125438254772109</v>
      </c>
      <c r="AE34" s="122">
        <f t="shared" si="6"/>
        <v>2.759465878030201</v>
      </c>
      <c r="AF34" s="122">
        <f t="shared" si="7"/>
        <v>2.1741317387318602</v>
      </c>
      <c r="AH34" s="122">
        <f t="shared" si="8"/>
        <v>0</v>
      </c>
      <c r="AI34" s="122">
        <f t="shared" si="9"/>
        <v>0</v>
      </c>
      <c r="AJ34" s="122">
        <f t="shared" si="10"/>
        <v>0</v>
      </c>
      <c r="AK34" s="122">
        <f t="shared" si="11"/>
        <v>0</v>
      </c>
      <c r="AL34" s="122">
        <f t="shared" si="12"/>
        <v>2.1741317387318602</v>
      </c>
      <c r="AM34" s="122">
        <f t="shared" si="0"/>
        <v>2.1741317387318602</v>
      </c>
      <c r="AO34" s="120">
        <f t="shared" si="13"/>
        <v>0</v>
      </c>
      <c r="AQ34" s="120">
        <f t="shared" si="14"/>
        <v>0</v>
      </c>
      <c r="AR34" s="120">
        <f t="shared" si="15"/>
        <v>0</v>
      </c>
      <c r="AT34" s="122" t="e">
        <f t="shared" si="1"/>
        <v>#DIV/0!</v>
      </c>
      <c r="AU34" s="122" t="e">
        <f t="shared" si="16"/>
        <v>#DIV/0!</v>
      </c>
      <c r="AV34" s="122" t="e">
        <f t="shared" si="16"/>
        <v>#DIV/0!</v>
      </c>
      <c r="AW34" s="122" t="e">
        <f t="shared" si="16"/>
        <v>#DIV/0!</v>
      </c>
      <c r="AX34" s="122" t="e">
        <f t="shared" si="16"/>
        <v>#DIV/0!</v>
      </c>
      <c r="AY34" s="122" t="e">
        <f t="shared" si="16"/>
        <v>#DIV/0!</v>
      </c>
    </row>
    <row r="35" spans="3:51" x14ac:dyDescent="0.35">
      <c r="C35" s="70"/>
      <c r="D35" s="70"/>
      <c r="E35" s="296"/>
      <c r="F35" s="125"/>
      <c r="G35" s="126"/>
      <c r="H35" s="120">
        <f t="shared" si="2"/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1</v>
      </c>
      <c r="N35" s="121">
        <f t="shared" si="28"/>
        <v>1</v>
      </c>
      <c r="P35" s="122">
        <f t="shared" si="17"/>
        <v>1</v>
      </c>
      <c r="Q35" s="123">
        <f t="shared" si="18"/>
        <v>12470</v>
      </c>
      <c r="R35" s="123">
        <f t="shared" si="19"/>
        <v>256.7</v>
      </c>
      <c r="S35" s="123">
        <f t="shared" si="20"/>
        <v>245.48699999999999</v>
      </c>
      <c r="T35" s="123">
        <f t="shared" si="26"/>
        <v>27223.052521560079</v>
      </c>
      <c r="V35" s="122">
        <f t="shared" si="21"/>
        <v>2.62</v>
      </c>
      <c r="W35" s="123">
        <f t="shared" si="22"/>
        <v>39078</v>
      </c>
      <c r="X35" s="123">
        <f t="shared" si="23"/>
        <v>876</v>
      </c>
      <c r="Y35" s="123">
        <f t="shared" si="24"/>
        <v>922.9</v>
      </c>
      <c r="Z35" s="123">
        <f t="shared" si="27"/>
        <v>86409.555033848243</v>
      </c>
      <c r="AB35" s="122">
        <f t="shared" si="3"/>
        <v>1.62</v>
      </c>
      <c r="AC35" s="122">
        <f t="shared" si="4"/>
        <v>2.1337610264635125</v>
      </c>
      <c r="AD35" s="122">
        <f t="shared" si="5"/>
        <v>2.4125438254772109</v>
      </c>
      <c r="AE35" s="122">
        <f t="shared" si="6"/>
        <v>2.759465878030201</v>
      </c>
      <c r="AF35" s="122">
        <f t="shared" si="7"/>
        <v>2.1741317387318602</v>
      </c>
      <c r="AH35" s="122">
        <f t="shared" si="8"/>
        <v>0</v>
      </c>
      <c r="AI35" s="122">
        <f t="shared" si="9"/>
        <v>0</v>
      </c>
      <c r="AJ35" s="122">
        <f t="shared" si="10"/>
        <v>0</v>
      </c>
      <c r="AK35" s="122">
        <f t="shared" si="11"/>
        <v>0</v>
      </c>
      <c r="AL35" s="122">
        <f t="shared" si="12"/>
        <v>2.1741317387318602</v>
      </c>
      <c r="AM35" s="122">
        <f t="shared" si="0"/>
        <v>2.1741317387318602</v>
      </c>
      <c r="AO35" s="120">
        <f t="shared" si="13"/>
        <v>0</v>
      </c>
      <c r="AQ35" s="120">
        <f t="shared" si="14"/>
        <v>0</v>
      </c>
      <c r="AR35" s="120">
        <f t="shared" si="15"/>
        <v>0</v>
      </c>
      <c r="AT35" s="122" t="e">
        <f t="shared" ref="AT35:AT61" si="29">+AQ35/$AQ$61</f>
        <v>#DIV/0!</v>
      </c>
      <c r="AU35" s="122" t="e">
        <f t="shared" si="16"/>
        <v>#DIV/0!</v>
      </c>
      <c r="AV35" s="122" t="e">
        <f t="shared" si="16"/>
        <v>#DIV/0!</v>
      </c>
      <c r="AW35" s="122" t="e">
        <f t="shared" si="16"/>
        <v>#DIV/0!</v>
      </c>
      <c r="AX35" s="122" t="e">
        <f t="shared" si="16"/>
        <v>#DIV/0!</v>
      </c>
      <c r="AY35" s="122" t="e">
        <f t="shared" si="16"/>
        <v>#DIV/0!</v>
      </c>
    </row>
    <row r="36" spans="3:51" x14ac:dyDescent="0.35">
      <c r="C36" s="70"/>
      <c r="D36" s="70"/>
      <c r="E36" s="296"/>
      <c r="F36" s="125"/>
      <c r="G36" s="126"/>
      <c r="H36" s="120">
        <f t="shared" si="2"/>
        <v>0</v>
      </c>
      <c r="I36" s="318">
        <v>0</v>
      </c>
      <c r="J36" s="318">
        <v>0</v>
      </c>
      <c r="K36" s="318">
        <v>0</v>
      </c>
      <c r="L36" s="318">
        <v>0</v>
      </c>
      <c r="M36" s="318">
        <v>1</v>
      </c>
      <c r="N36" s="121">
        <f t="shared" si="28"/>
        <v>1</v>
      </c>
      <c r="P36" s="122">
        <f t="shared" si="17"/>
        <v>1</v>
      </c>
      <c r="Q36" s="123">
        <f t="shared" si="18"/>
        <v>12470</v>
      </c>
      <c r="R36" s="123">
        <f t="shared" si="19"/>
        <v>256.7</v>
      </c>
      <c r="S36" s="123">
        <f t="shared" si="20"/>
        <v>245.48699999999999</v>
      </c>
      <c r="T36" s="123">
        <f t="shared" si="26"/>
        <v>27223.052521560079</v>
      </c>
      <c r="V36" s="122">
        <f t="shared" si="21"/>
        <v>2.62</v>
      </c>
      <c r="W36" s="123">
        <f t="shared" si="22"/>
        <v>39078</v>
      </c>
      <c r="X36" s="123">
        <f t="shared" si="23"/>
        <v>876</v>
      </c>
      <c r="Y36" s="123">
        <f t="shared" si="24"/>
        <v>922.9</v>
      </c>
      <c r="Z36" s="123">
        <f t="shared" si="27"/>
        <v>86409.555033848243</v>
      </c>
      <c r="AB36" s="122">
        <f t="shared" si="3"/>
        <v>1.62</v>
      </c>
      <c r="AC36" s="122">
        <f t="shared" si="4"/>
        <v>2.1337610264635125</v>
      </c>
      <c r="AD36" s="122">
        <f t="shared" si="5"/>
        <v>2.4125438254772109</v>
      </c>
      <c r="AE36" s="122">
        <f t="shared" si="6"/>
        <v>2.759465878030201</v>
      </c>
      <c r="AF36" s="122">
        <f t="shared" si="7"/>
        <v>2.1741317387318602</v>
      </c>
      <c r="AH36" s="122">
        <f t="shared" si="8"/>
        <v>0</v>
      </c>
      <c r="AI36" s="122">
        <f t="shared" si="9"/>
        <v>0</v>
      </c>
      <c r="AJ36" s="122">
        <f t="shared" si="10"/>
        <v>0</v>
      </c>
      <c r="AK36" s="122">
        <f t="shared" si="11"/>
        <v>0</v>
      </c>
      <c r="AL36" s="122">
        <f t="shared" si="12"/>
        <v>2.1741317387318602</v>
      </c>
      <c r="AM36" s="122">
        <f t="shared" si="0"/>
        <v>2.1741317387318602</v>
      </c>
      <c r="AO36" s="120">
        <f t="shared" si="13"/>
        <v>0</v>
      </c>
      <c r="AQ36" s="120">
        <f t="shared" si="14"/>
        <v>0</v>
      </c>
      <c r="AR36" s="120">
        <f t="shared" si="15"/>
        <v>0</v>
      </c>
      <c r="AT36" s="122" t="e">
        <f t="shared" si="29"/>
        <v>#DIV/0!</v>
      </c>
      <c r="AU36" s="122" t="e">
        <f t="shared" ref="AU36:AY60" si="30">+I36*$AT36</f>
        <v>#DIV/0!</v>
      </c>
      <c r="AV36" s="122" t="e">
        <f t="shared" si="30"/>
        <v>#DIV/0!</v>
      </c>
      <c r="AW36" s="122" t="e">
        <f t="shared" si="30"/>
        <v>#DIV/0!</v>
      </c>
      <c r="AX36" s="122" t="e">
        <f t="shared" si="30"/>
        <v>#DIV/0!</v>
      </c>
      <c r="AY36" s="122" t="e">
        <f t="shared" si="30"/>
        <v>#DIV/0!</v>
      </c>
    </row>
    <row r="37" spans="3:51" x14ac:dyDescent="0.35">
      <c r="C37" s="70"/>
      <c r="D37" s="70"/>
      <c r="E37" s="296"/>
      <c r="F37" s="125"/>
      <c r="G37" s="126"/>
      <c r="H37" s="120">
        <f t="shared" si="2"/>
        <v>0</v>
      </c>
      <c r="I37" s="318">
        <v>0</v>
      </c>
      <c r="J37" s="318">
        <v>0</v>
      </c>
      <c r="K37" s="318">
        <v>0</v>
      </c>
      <c r="L37" s="318">
        <v>0</v>
      </c>
      <c r="M37" s="318">
        <v>1</v>
      </c>
      <c r="N37" s="121">
        <f t="shared" si="28"/>
        <v>1</v>
      </c>
      <c r="P37" s="122">
        <f t="shared" si="17"/>
        <v>1</v>
      </c>
      <c r="Q37" s="123">
        <f t="shared" si="18"/>
        <v>12470</v>
      </c>
      <c r="R37" s="123">
        <f t="shared" si="19"/>
        <v>256.7</v>
      </c>
      <c r="S37" s="123">
        <f t="shared" si="20"/>
        <v>245.48699999999999</v>
      </c>
      <c r="T37" s="123">
        <f t="shared" si="26"/>
        <v>27223.052521560079</v>
      </c>
      <c r="V37" s="122">
        <f t="shared" si="21"/>
        <v>2.62</v>
      </c>
      <c r="W37" s="123">
        <f t="shared" si="22"/>
        <v>39078</v>
      </c>
      <c r="X37" s="123">
        <f t="shared" si="23"/>
        <v>876</v>
      </c>
      <c r="Y37" s="123">
        <f t="shared" si="24"/>
        <v>922.9</v>
      </c>
      <c r="Z37" s="123">
        <f t="shared" si="27"/>
        <v>86409.555033848243</v>
      </c>
      <c r="AB37" s="122">
        <f t="shared" si="3"/>
        <v>1.62</v>
      </c>
      <c r="AC37" s="122">
        <f t="shared" si="4"/>
        <v>2.1337610264635125</v>
      </c>
      <c r="AD37" s="122">
        <f t="shared" si="5"/>
        <v>2.4125438254772109</v>
      </c>
      <c r="AE37" s="122">
        <f t="shared" si="6"/>
        <v>2.759465878030201</v>
      </c>
      <c r="AF37" s="122">
        <f t="shared" si="7"/>
        <v>2.1741317387318602</v>
      </c>
      <c r="AH37" s="122">
        <f t="shared" si="8"/>
        <v>0</v>
      </c>
      <c r="AI37" s="122">
        <f t="shared" si="9"/>
        <v>0</v>
      </c>
      <c r="AJ37" s="122">
        <f t="shared" si="10"/>
        <v>0</v>
      </c>
      <c r="AK37" s="122">
        <f t="shared" si="11"/>
        <v>0</v>
      </c>
      <c r="AL37" s="122">
        <f t="shared" si="12"/>
        <v>2.1741317387318602</v>
      </c>
      <c r="AM37" s="122">
        <f t="shared" si="0"/>
        <v>2.1741317387318602</v>
      </c>
      <c r="AO37" s="120">
        <f t="shared" si="13"/>
        <v>0</v>
      </c>
      <c r="AQ37" s="120">
        <f t="shared" si="14"/>
        <v>0</v>
      </c>
      <c r="AR37" s="120">
        <f t="shared" si="15"/>
        <v>0</v>
      </c>
      <c r="AT37" s="122" t="e">
        <f t="shared" si="29"/>
        <v>#DIV/0!</v>
      </c>
      <c r="AU37" s="122" t="e">
        <f t="shared" si="30"/>
        <v>#DIV/0!</v>
      </c>
      <c r="AV37" s="122" t="e">
        <f t="shared" si="30"/>
        <v>#DIV/0!</v>
      </c>
      <c r="AW37" s="122" t="e">
        <f t="shared" si="30"/>
        <v>#DIV/0!</v>
      </c>
      <c r="AX37" s="122" t="e">
        <f t="shared" si="30"/>
        <v>#DIV/0!</v>
      </c>
      <c r="AY37" s="122" t="e">
        <f t="shared" si="30"/>
        <v>#DIV/0!</v>
      </c>
    </row>
    <row r="38" spans="3:51" x14ac:dyDescent="0.35">
      <c r="C38" s="70"/>
      <c r="D38" s="70"/>
      <c r="E38" s="296"/>
      <c r="F38" s="125"/>
      <c r="G38" s="126"/>
      <c r="H38" s="120">
        <f t="shared" si="2"/>
        <v>0</v>
      </c>
      <c r="I38" s="318">
        <v>0</v>
      </c>
      <c r="J38" s="318">
        <v>0</v>
      </c>
      <c r="K38" s="318">
        <v>0</v>
      </c>
      <c r="L38" s="318">
        <v>0</v>
      </c>
      <c r="M38" s="318">
        <v>1</v>
      </c>
      <c r="N38" s="121">
        <f t="shared" si="28"/>
        <v>1</v>
      </c>
      <c r="P38" s="122">
        <f t="shared" si="17"/>
        <v>1</v>
      </c>
      <c r="Q38" s="123">
        <f t="shared" si="18"/>
        <v>12470</v>
      </c>
      <c r="R38" s="123">
        <f t="shared" si="19"/>
        <v>256.7</v>
      </c>
      <c r="S38" s="123">
        <f t="shared" si="20"/>
        <v>245.48699999999999</v>
      </c>
      <c r="T38" s="123">
        <f t="shared" si="26"/>
        <v>27223.052521560079</v>
      </c>
      <c r="V38" s="122">
        <f t="shared" si="21"/>
        <v>2.62</v>
      </c>
      <c r="W38" s="123">
        <f t="shared" si="22"/>
        <v>39078</v>
      </c>
      <c r="X38" s="123">
        <f t="shared" si="23"/>
        <v>876</v>
      </c>
      <c r="Y38" s="123">
        <f t="shared" si="24"/>
        <v>922.9</v>
      </c>
      <c r="Z38" s="123">
        <f t="shared" si="27"/>
        <v>86409.555033848243</v>
      </c>
      <c r="AB38" s="122">
        <f t="shared" si="3"/>
        <v>1.62</v>
      </c>
      <c r="AC38" s="122">
        <f t="shared" si="4"/>
        <v>2.1337610264635125</v>
      </c>
      <c r="AD38" s="122">
        <f t="shared" si="5"/>
        <v>2.4125438254772109</v>
      </c>
      <c r="AE38" s="122">
        <f t="shared" si="6"/>
        <v>2.759465878030201</v>
      </c>
      <c r="AF38" s="122">
        <f t="shared" si="7"/>
        <v>2.1741317387318602</v>
      </c>
      <c r="AH38" s="122">
        <f t="shared" si="8"/>
        <v>0</v>
      </c>
      <c r="AI38" s="122">
        <f t="shared" si="9"/>
        <v>0</v>
      </c>
      <c r="AJ38" s="122">
        <f t="shared" si="10"/>
        <v>0</v>
      </c>
      <c r="AK38" s="122">
        <f t="shared" si="11"/>
        <v>0</v>
      </c>
      <c r="AL38" s="122">
        <f t="shared" si="12"/>
        <v>2.1741317387318602</v>
      </c>
      <c r="AM38" s="122">
        <f t="shared" si="0"/>
        <v>2.1741317387318602</v>
      </c>
      <c r="AO38" s="120">
        <f t="shared" si="13"/>
        <v>0</v>
      </c>
      <c r="AQ38" s="120">
        <f t="shared" si="14"/>
        <v>0</v>
      </c>
      <c r="AR38" s="120">
        <f t="shared" si="15"/>
        <v>0</v>
      </c>
      <c r="AT38" s="122" t="e">
        <f t="shared" si="29"/>
        <v>#DIV/0!</v>
      </c>
      <c r="AU38" s="122" t="e">
        <f t="shared" si="30"/>
        <v>#DIV/0!</v>
      </c>
      <c r="AV38" s="122" t="e">
        <f t="shared" si="30"/>
        <v>#DIV/0!</v>
      </c>
      <c r="AW38" s="122" t="e">
        <f t="shared" si="30"/>
        <v>#DIV/0!</v>
      </c>
      <c r="AX38" s="122" t="e">
        <f t="shared" si="30"/>
        <v>#DIV/0!</v>
      </c>
      <c r="AY38" s="122" t="e">
        <f t="shared" si="30"/>
        <v>#DIV/0!</v>
      </c>
    </row>
    <row r="39" spans="3:51" x14ac:dyDescent="0.35">
      <c r="C39" s="70"/>
      <c r="D39" s="70"/>
      <c r="E39" s="296"/>
      <c r="F39" s="125"/>
      <c r="G39" s="126"/>
      <c r="H39" s="120">
        <f t="shared" si="2"/>
        <v>0</v>
      </c>
      <c r="I39" s="318">
        <v>0</v>
      </c>
      <c r="J39" s="318">
        <v>0</v>
      </c>
      <c r="K39" s="318">
        <v>0</v>
      </c>
      <c r="L39" s="318">
        <v>0</v>
      </c>
      <c r="M39" s="318">
        <v>1</v>
      </c>
      <c r="N39" s="121">
        <f t="shared" si="28"/>
        <v>1</v>
      </c>
      <c r="P39" s="122">
        <f t="shared" si="17"/>
        <v>1</v>
      </c>
      <c r="Q39" s="123">
        <f t="shared" si="18"/>
        <v>12470</v>
      </c>
      <c r="R39" s="123">
        <f t="shared" si="19"/>
        <v>256.7</v>
      </c>
      <c r="S39" s="123">
        <f t="shared" si="20"/>
        <v>245.48699999999999</v>
      </c>
      <c r="T39" s="123">
        <f t="shared" si="26"/>
        <v>27223.052521560079</v>
      </c>
      <c r="V39" s="122">
        <f t="shared" si="21"/>
        <v>2.62</v>
      </c>
      <c r="W39" s="123">
        <f t="shared" si="22"/>
        <v>39078</v>
      </c>
      <c r="X39" s="123">
        <f t="shared" si="23"/>
        <v>876</v>
      </c>
      <c r="Y39" s="123">
        <f t="shared" si="24"/>
        <v>922.9</v>
      </c>
      <c r="Z39" s="123">
        <f t="shared" si="27"/>
        <v>86409.555033848243</v>
      </c>
      <c r="AB39" s="122">
        <f t="shared" si="3"/>
        <v>1.62</v>
      </c>
      <c r="AC39" s="122">
        <f t="shared" si="4"/>
        <v>2.1337610264635125</v>
      </c>
      <c r="AD39" s="122">
        <f t="shared" si="5"/>
        <v>2.4125438254772109</v>
      </c>
      <c r="AE39" s="122">
        <f t="shared" si="6"/>
        <v>2.759465878030201</v>
      </c>
      <c r="AF39" s="122">
        <f t="shared" si="7"/>
        <v>2.1741317387318602</v>
      </c>
      <c r="AH39" s="122">
        <f t="shared" si="8"/>
        <v>0</v>
      </c>
      <c r="AI39" s="122">
        <f t="shared" si="9"/>
        <v>0</v>
      </c>
      <c r="AJ39" s="122">
        <f t="shared" si="10"/>
        <v>0</v>
      </c>
      <c r="AK39" s="122">
        <f t="shared" si="11"/>
        <v>0</v>
      </c>
      <c r="AL39" s="122">
        <f t="shared" si="12"/>
        <v>2.1741317387318602</v>
      </c>
      <c r="AM39" s="122">
        <f t="shared" si="0"/>
        <v>2.1741317387318602</v>
      </c>
      <c r="AO39" s="120">
        <f t="shared" si="13"/>
        <v>0</v>
      </c>
      <c r="AQ39" s="120">
        <f t="shared" si="14"/>
        <v>0</v>
      </c>
      <c r="AR39" s="120">
        <f t="shared" si="15"/>
        <v>0</v>
      </c>
      <c r="AT39" s="122" t="e">
        <f t="shared" si="29"/>
        <v>#DIV/0!</v>
      </c>
      <c r="AU39" s="122" t="e">
        <f t="shared" si="30"/>
        <v>#DIV/0!</v>
      </c>
      <c r="AV39" s="122" t="e">
        <f t="shared" si="30"/>
        <v>#DIV/0!</v>
      </c>
      <c r="AW39" s="122" t="e">
        <f t="shared" si="30"/>
        <v>#DIV/0!</v>
      </c>
      <c r="AX39" s="122" t="e">
        <f t="shared" si="30"/>
        <v>#DIV/0!</v>
      </c>
      <c r="AY39" s="122" t="e">
        <f t="shared" si="30"/>
        <v>#DIV/0!</v>
      </c>
    </row>
    <row r="40" spans="3:51" x14ac:dyDescent="0.35">
      <c r="C40" s="70"/>
      <c r="D40" s="70"/>
      <c r="E40" s="296"/>
      <c r="F40" s="125"/>
      <c r="G40" s="126"/>
      <c r="H40" s="120">
        <f t="shared" si="2"/>
        <v>0</v>
      </c>
      <c r="I40" s="318">
        <v>0</v>
      </c>
      <c r="J40" s="318">
        <v>0</v>
      </c>
      <c r="K40" s="318">
        <v>0</v>
      </c>
      <c r="L40" s="318">
        <v>0</v>
      </c>
      <c r="M40" s="318">
        <v>1</v>
      </c>
      <c r="N40" s="121">
        <f t="shared" si="28"/>
        <v>1</v>
      </c>
      <c r="P40" s="122">
        <f t="shared" si="17"/>
        <v>1</v>
      </c>
      <c r="Q40" s="123">
        <f t="shared" si="18"/>
        <v>12470</v>
      </c>
      <c r="R40" s="123">
        <f t="shared" si="19"/>
        <v>256.7</v>
      </c>
      <c r="S40" s="123">
        <f t="shared" si="20"/>
        <v>245.48699999999999</v>
      </c>
      <c r="T40" s="123">
        <f t="shared" si="26"/>
        <v>27223.052521560079</v>
      </c>
      <c r="V40" s="122">
        <f t="shared" si="21"/>
        <v>2.62</v>
      </c>
      <c r="W40" s="123">
        <f t="shared" si="22"/>
        <v>39078</v>
      </c>
      <c r="X40" s="123">
        <f t="shared" si="23"/>
        <v>876</v>
      </c>
      <c r="Y40" s="123">
        <f t="shared" si="24"/>
        <v>922.9</v>
      </c>
      <c r="Z40" s="123">
        <f t="shared" si="27"/>
        <v>86409.555033848243</v>
      </c>
      <c r="AB40" s="122">
        <f t="shared" si="3"/>
        <v>1.62</v>
      </c>
      <c r="AC40" s="122">
        <f t="shared" si="4"/>
        <v>2.1337610264635125</v>
      </c>
      <c r="AD40" s="122">
        <f t="shared" si="5"/>
        <v>2.4125438254772109</v>
      </c>
      <c r="AE40" s="122">
        <f t="shared" si="6"/>
        <v>2.759465878030201</v>
      </c>
      <c r="AF40" s="122">
        <f t="shared" si="7"/>
        <v>2.1741317387318602</v>
      </c>
      <c r="AH40" s="122">
        <f t="shared" si="8"/>
        <v>0</v>
      </c>
      <c r="AI40" s="122">
        <f t="shared" si="9"/>
        <v>0</v>
      </c>
      <c r="AJ40" s="122">
        <f t="shared" si="10"/>
        <v>0</v>
      </c>
      <c r="AK40" s="122">
        <f t="shared" si="11"/>
        <v>0</v>
      </c>
      <c r="AL40" s="122">
        <f t="shared" si="12"/>
        <v>2.1741317387318602</v>
      </c>
      <c r="AM40" s="122">
        <f t="shared" si="0"/>
        <v>2.1741317387318602</v>
      </c>
      <c r="AO40" s="120">
        <f t="shared" si="13"/>
        <v>0</v>
      </c>
      <c r="AQ40" s="120">
        <f t="shared" si="14"/>
        <v>0</v>
      </c>
      <c r="AR40" s="120">
        <f t="shared" si="15"/>
        <v>0</v>
      </c>
      <c r="AT40" s="122" t="e">
        <f t="shared" si="29"/>
        <v>#DIV/0!</v>
      </c>
      <c r="AU40" s="122" t="e">
        <f t="shared" si="30"/>
        <v>#DIV/0!</v>
      </c>
      <c r="AV40" s="122" t="e">
        <f t="shared" si="30"/>
        <v>#DIV/0!</v>
      </c>
      <c r="AW40" s="122" t="e">
        <f t="shared" si="30"/>
        <v>#DIV/0!</v>
      </c>
      <c r="AX40" s="122" t="e">
        <f t="shared" si="30"/>
        <v>#DIV/0!</v>
      </c>
      <c r="AY40" s="122" t="e">
        <f t="shared" si="30"/>
        <v>#DIV/0!</v>
      </c>
    </row>
    <row r="41" spans="3:51" x14ac:dyDescent="0.35">
      <c r="C41" s="70"/>
      <c r="D41" s="70"/>
      <c r="E41" s="296"/>
      <c r="F41" s="125"/>
      <c r="G41" s="126"/>
      <c r="H41" s="120">
        <f t="shared" si="2"/>
        <v>0</v>
      </c>
      <c r="I41" s="318">
        <v>0</v>
      </c>
      <c r="J41" s="318">
        <v>0</v>
      </c>
      <c r="K41" s="318">
        <v>0</v>
      </c>
      <c r="L41" s="318">
        <v>0</v>
      </c>
      <c r="M41" s="318">
        <v>1</v>
      </c>
      <c r="N41" s="121">
        <f t="shared" si="28"/>
        <v>1</v>
      </c>
      <c r="P41" s="122">
        <f t="shared" si="17"/>
        <v>1</v>
      </c>
      <c r="Q41" s="123">
        <f t="shared" si="18"/>
        <v>12470</v>
      </c>
      <c r="R41" s="123">
        <f t="shared" si="19"/>
        <v>256.7</v>
      </c>
      <c r="S41" s="123">
        <f t="shared" si="20"/>
        <v>245.48699999999999</v>
      </c>
      <c r="T41" s="123">
        <f t="shared" si="26"/>
        <v>27223.052521560079</v>
      </c>
      <c r="V41" s="122">
        <f t="shared" si="21"/>
        <v>2.62</v>
      </c>
      <c r="W41" s="123">
        <f t="shared" si="22"/>
        <v>39078</v>
      </c>
      <c r="X41" s="123">
        <f t="shared" si="23"/>
        <v>876</v>
      </c>
      <c r="Y41" s="123">
        <f t="shared" si="24"/>
        <v>922.9</v>
      </c>
      <c r="Z41" s="123">
        <f t="shared" si="27"/>
        <v>86409.555033848243</v>
      </c>
      <c r="AB41" s="122">
        <f t="shared" si="3"/>
        <v>1.62</v>
      </c>
      <c r="AC41" s="122">
        <f t="shared" si="4"/>
        <v>2.1337610264635125</v>
      </c>
      <c r="AD41" s="122">
        <f t="shared" si="5"/>
        <v>2.4125438254772109</v>
      </c>
      <c r="AE41" s="122">
        <f t="shared" si="6"/>
        <v>2.759465878030201</v>
      </c>
      <c r="AF41" s="122">
        <f t="shared" si="7"/>
        <v>2.1741317387318602</v>
      </c>
      <c r="AH41" s="122">
        <f t="shared" si="8"/>
        <v>0</v>
      </c>
      <c r="AI41" s="122">
        <f t="shared" si="9"/>
        <v>0</v>
      </c>
      <c r="AJ41" s="122">
        <f t="shared" si="10"/>
        <v>0</v>
      </c>
      <c r="AK41" s="122">
        <f t="shared" si="11"/>
        <v>0</v>
      </c>
      <c r="AL41" s="122">
        <f t="shared" si="12"/>
        <v>2.1741317387318602</v>
      </c>
      <c r="AM41" s="122">
        <f t="shared" si="0"/>
        <v>2.1741317387318602</v>
      </c>
      <c r="AO41" s="120">
        <f t="shared" si="13"/>
        <v>0</v>
      </c>
      <c r="AQ41" s="120">
        <f t="shared" si="14"/>
        <v>0</v>
      </c>
      <c r="AR41" s="120">
        <f t="shared" si="15"/>
        <v>0</v>
      </c>
      <c r="AT41" s="122" t="e">
        <f t="shared" si="29"/>
        <v>#DIV/0!</v>
      </c>
      <c r="AU41" s="122" t="e">
        <f t="shared" si="30"/>
        <v>#DIV/0!</v>
      </c>
      <c r="AV41" s="122" t="e">
        <f t="shared" si="30"/>
        <v>#DIV/0!</v>
      </c>
      <c r="AW41" s="122" t="e">
        <f t="shared" si="30"/>
        <v>#DIV/0!</v>
      </c>
      <c r="AX41" s="122" t="e">
        <f t="shared" si="30"/>
        <v>#DIV/0!</v>
      </c>
      <c r="AY41" s="122" t="e">
        <f t="shared" si="30"/>
        <v>#DIV/0!</v>
      </c>
    </row>
    <row r="42" spans="3:51" x14ac:dyDescent="0.35">
      <c r="C42" s="70"/>
      <c r="D42" s="70"/>
      <c r="E42" s="296"/>
      <c r="F42" s="125"/>
      <c r="G42" s="126"/>
      <c r="H42" s="120">
        <f t="shared" si="2"/>
        <v>0</v>
      </c>
      <c r="I42" s="318">
        <v>0</v>
      </c>
      <c r="J42" s="318">
        <v>0</v>
      </c>
      <c r="K42" s="318">
        <v>0</v>
      </c>
      <c r="L42" s="318">
        <v>0</v>
      </c>
      <c r="M42" s="318">
        <v>1</v>
      </c>
      <c r="N42" s="121">
        <f t="shared" si="28"/>
        <v>1</v>
      </c>
      <c r="P42" s="122">
        <f t="shared" si="17"/>
        <v>1</v>
      </c>
      <c r="Q42" s="123">
        <f t="shared" si="18"/>
        <v>12470</v>
      </c>
      <c r="R42" s="123">
        <f t="shared" si="19"/>
        <v>256.7</v>
      </c>
      <c r="S42" s="123">
        <f t="shared" si="20"/>
        <v>245.48699999999999</v>
      </c>
      <c r="T42" s="123">
        <f t="shared" si="26"/>
        <v>27223.052521560079</v>
      </c>
      <c r="V42" s="122">
        <f t="shared" si="21"/>
        <v>2.62</v>
      </c>
      <c r="W42" s="123">
        <f t="shared" si="22"/>
        <v>39078</v>
      </c>
      <c r="X42" s="123">
        <f t="shared" si="23"/>
        <v>876</v>
      </c>
      <c r="Y42" s="123">
        <f t="shared" si="24"/>
        <v>922.9</v>
      </c>
      <c r="Z42" s="123">
        <f t="shared" si="27"/>
        <v>86409.555033848243</v>
      </c>
      <c r="AB42" s="122">
        <f t="shared" si="3"/>
        <v>1.62</v>
      </c>
      <c r="AC42" s="122">
        <f t="shared" si="4"/>
        <v>2.1337610264635125</v>
      </c>
      <c r="AD42" s="122">
        <f t="shared" si="5"/>
        <v>2.4125438254772109</v>
      </c>
      <c r="AE42" s="122">
        <f t="shared" si="6"/>
        <v>2.759465878030201</v>
      </c>
      <c r="AF42" s="122">
        <f t="shared" si="7"/>
        <v>2.1741317387318602</v>
      </c>
      <c r="AH42" s="122">
        <f t="shared" si="8"/>
        <v>0</v>
      </c>
      <c r="AI42" s="122">
        <f t="shared" si="9"/>
        <v>0</v>
      </c>
      <c r="AJ42" s="122">
        <f t="shared" si="10"/>
        <v>0</v>
      </c>
      <c r="AK42" s="122">
        <f t="shared" si="11"/>
        <v>0</v>
      </c>
      <c r="AL42" s="122">
        <f t="shared" si="12"/>
        <v>2.1741317387318602</v>
      </c>
      <c r="AM42" s="122">
        <f t="shared" si="0"/>
        <v>2.1741317387318602</v>
      </c>
      <c r="AO42" s="120">
        <f t="shared" si="13"/>
        <v>0</v>
      </c>
      <c r="AQ42" s="120">
        <f t="shared" si="14"/>
        <v>0</v>
      </c>
      <c r="AR42" s="120">
        <f t="shared" si="15"/>
        <v>0</v>
      </c>
      <c r="AT42" s="122" t="e">
        <f t="shared" si="29"/>
        <v>#DIV/0!</v>
      </c>
      <c r="AU42" s="122" t="e">
        <f t="shared" si="30"/>
        <v>#DIV/0!</v>
      </c>
      <c r="AV42" s="122" t="e">
        <f t="shared" si="30"/>
        <v>#DIV/0!</v>
      </c>
      <c r="AW42" s="122" t="e">
        <f t="shared" si="30"/>
        <v>#DIV/0!</v>
      </c>
      <c r="AX42" s="122" t="e">
        <f t="shared" si="30"/>
        <v>#DIV/0!</v>
      </c>
      <c r="AY42" s="122" t="e">
        <f t="shared" si="30"/>
        <v>#DIV/0!</v>
      </c>
    </row>
    <row r="43" spans="3:51" s="142" customFormat="1" x14ac:dyDescent="0.35">
      <c r="C43" s="128"/>
      <c r="D43" s="128"/>
      <c r="E43" s="296"/>
      <c r="F43" s="129"/>
      <c r="G43" s="130"/>
      <c r="H43" s="148">
        <f t="shared" si="2"/>
        <v>0</v>
      </c>
      <c r="I43" s="318">
        <v>0</v>
      </c>
      <c r="J43" s="318">
        <v>0</v>
      </c>
      <c r="K43" s="318">
        <v>0</v>
      </c>
      <c r="L43" s="318">
        <v>0</v>
      </c>
      <c r="M43" s="318">
        <v>1</v>
      </c>
      <c r="N43" s="149">
        <f t="shared" si="28"/>
        <v>1</v>
      </c>
      <c r="P43" s="122">
        <f t="shared" si="17"/>
        <v>1</v>
      </c>
      <c r="Q43" s="123">
        <f t="shared" si="18"/>
        <v>12470</v>
      </c>
      <c r="R43" s="123">
        <f t="shared" si="19"/>
        <v>256.7</v>
      </c>
      <c r="S43" s="123">
        <f t="shared" si="20"/>
        <v>245.48699999999999</v>
      </c>
      <c r="T43" s="123">
        <f t="shared" si="26"/>
        <v>27223.052521560079</v>
      </c>
      <c r="V43" s="122">
        <f t="shared" si="21"/>
        <v>2.62</v>
      </c>
      <c r="W43" s="123">
        <f t="shared" si="22"/>
        <v>39078</v>
      </c>
      <c r="X43" s="123">
        <f t="shared" si="23"/>
        <v>876</v>
      </c>
      <c r="Y43" s="123">
        <f t="shared" si="24"/>
        <v>922.9</v>
      </c>
      <c r="Z43" s="123">
        <f t="shared" si="27"/>
        <v>86409.555033848243</v>
      </c>
      <c r="AB43" s="122">
        <f t="shared" si="3"/>
        <v>1.62</v>
      </c>
      <c r="AC43" s="122">
        <f t="shared" si="4"/>
        <v>2.1337610264635125</v>
      </c>
      <c r="AD43" s="122">
        <f t="shared" si="5"/>
        <v>2.4125438254772109</v>
      </c>
      <c r="AE43" s="122">
        <f t="shared" si="6"/>
        <v>2.759465878030201</v>
      </c>
      <c r="AF43" s="122">
        <f t="shared" si="7"/>
        <v>2.1741317387318602</v>
      </c>
      <c r="AG43" s="151"/>
      <c r="AH43" s="122">
        <f t="shared" si="8"/>
        <v>0</v>
      </c>
      <c r="AI43" s="122">
        <f t="shared" si="9"/>
        <v>0</v>
      </c>
      <c r="AJ43" s="122">
        <f t="shared" si="10"/>
        <v>0</v>
      </c>
      <c r="AK43" s="122">
        <f t="shared" si="11"/>
        <v>0</v>
      </c>
      <c r="AL43" s="122">
        <f t="shared" si="12"/>
        <v>2.1741317387318602</v>
      </c>
      <c r="AM43" s="122">
        <f t="shared" si="0"/>
        <v>2.1741317387318602</v>
      </c>
      <c r="AO43" s="148">
        <f t="shared" si="13"/>
        <v>0</v>
      </c>
      <c r="AQ43" s="148">
        <f t="shared" si="14"/>
        <v>0</v>
      </c>
      <c r="AR43" s="148">
        <f t="shared" si="15"/>
        <v>0</v>
      </c>
      <c r="AT43" s="150" t="e">
        <f t="shared" si="29"/>
        <v>#DIV/0!</v>
      </c>
      <c r="AU43" s="150" t="e">
        <f t="shared" si="30"/>
        <v>#DIV/0!</v>
      </c>
      <c r="AV43" s="150" t="e">
        <f t="shared" si="30"/>
        <v>#DIV/0!</v>
      </c>
      <c r="AW43" s="150" t="e">
        <f t="shared" si="30"/>
        <v>#DIV/0!</v>
      </c>
      <c r="AX43" s="150" t="e">
        <f t="shared" si="30"/>
        <v>#DIV/0!</v>
      </c>
      <c r="AY43" s="150" t="e">
        <f t="shared" si="30"/>
        <v>#DIV/0!</v>
      </c>
    </row>
    <row r="44" spans="3:51" s="142" customFormat="1" x14ac:dyDescent="0.35">
      <c r="C44" s="128"/>
      <c r="D44" s="128"/>
      <c r="E44" s="296"/>
      <c r="F44" s="129"/>
      <c r="G44" s="130"/>
      <c r="H44" s="148">
        <f t="shared" si="2"/>
        <v>0</v>
      </c>
      <c r="I44" s="318">
        <v>0</v>
      </c>
      <c r="J44" s="318">
        <v>0</v>
      </c>
      <c r="K44" s="318">
        <v>0</v>
      </c>
      <c r="L44" s="318">
        <v>0</v>
      </c>
      <c r="M44" s="318">
        <v>1</v>
      </c>
      <c r="N44" s="149">
        <f t="shared" si="28"/>
        <v>1</v>
      </c>
      <c r="P44" s="122">
        <f t="shared" si="17"/>
        <v>1</v>
      </c>
      <c r="Q44" s="123">
        <f t="shared" si="18"/>
        <v>12470</v>
      </c>
      <c r="R44" s="123">
        <f t="shared" si="19"/>
        <v>256.7</v>
      </c>
      <c r="S44" s="123">
        <f t="shared" si="20"/>
        <v>245.48699999999999</v>
      </c>
      <c r="T44" s="123">
        <f t="shared" si="26"/>
        <v>27223.052521560079</v>
      </c>
      <c r="V44" s="122">
        <f t="shared" si="21"/>
        <v>2.62</v>
      </c>
      <c r="W44" s="123">
        <f t="shared" si="22"/>
        <v>39078</v>
      </c>
      <c r="X44" s="123">
        <f t="shared" si="23"/>
        <v>876</v>
      </c>
      <c r="Y44" s="123">
        <f t="shared" si="24"/>
        <v>922.9</v>
      </c>
      <c r="Z44" s="123">
        <f t="shared" si="27"/>
        <v>86409.555033848243</v>
      </c>
      <c r="AB44" s="122">
        <f t="shared" si="3"/>
        <v>1.62</v>
      </c>
      <c r="AC44" s="122">
        <f t="shared" si="4"/>
        <v>2.1337610264635125</v>
      </c>
      <c r="AD44" s="122">
        <f t="shared" si="5"/>
        <v>2.4125438254772109</v>
      </c>
      <c r="AE44" s="122">
        <f t="shared" si="6"/>
        <v>2.759465878030201</v>
      </c>
      <c r="AF44" s="122">
        <f t="shared" si="7"/>
        <v>2.1741317387318602</v>
      </c>
      <c r="AG44" s="151"/>
      <c r="AH44" s="122">
        <f t="shared" si="8"/>
        <v>0</v>
      </c>
      <c r="AI44" s="122">
        <f t="shared" si="9"/>
        <v>0</v>
      </c>
      <c r="AJ44" s="122">
        <f t="shared" si="10"/>
        <v>0</v>
      </c>
      <c r="AK44" s="122">
        <f t="shared" si="11"/>
        <v>0</v>
      </c>
      <c r="AL44" s="122">
        <f t="shared" si="12"/>
        <v>2.1741317387318602</v>
      </c>
      <c r="AM44" s="122">
        <f t="shared" si="0"/>
        <v>2.1741317387318602</v>
      </c>
      <c r="AO44" s="148">
        <f t="shared" si="13"/>
        <v>0</v>
      </c>
      <c r="AQ44" s="148">
        <f t="shared" si="14"/>
        <v>0</v>
      </c>
      <c r="AR44" s="148">
        <f t="shared" si="15"/>
        <v>0</v>
      </c>
      <c r="AT44" s="150" t="e">
        <f t="shared" si="29"/>
        <v>#DIV/0!</v>
      </c>
      <c r="AU44" s="150" t="e">
        <f t="shared" si="30"/>
        <v>#DIV/0!</v>
      </c>
      <c r="AV44" s="150" t="e">
        <f t="shared" si="30"/>
        <v>#DIV/0!</v>
      </c>
      <c r="AW44" s="150" t="e">
        <f t="shared" si="30"/>
        <v>#DIV/0!</v>
      </c>
      <c r="AX44" s="150" t="e">
        <f t="shared" si="30"/>
        <v>#DIV/0!</v>
      </c>
      <c r="AY44" s="150" t="e">
        <f t="shared" si="30"/>
        <v>#DIV/0!</v>
      </c>
    </row>
    <row r="45" spans="3:51" s="142" customFormat="1" x14ac:dyDescent="0.35">
      <c r="C45" s="128"/>
      <c r="D45" s="128"/>
      <c r="E45" s="296"/>
      <c r="F45" s="129"/>
      <c r="G45" s="130"/>
      <c r="H45" s="148">
        <f t="shared" si="2"/>
        <v>0</v>
      </c>
      <c r="I45" s="318">
        <v>0</v>
      </c>
      <c r="J45" s="318">
        <v>0</v>
      </c>
      <c r="K45" s="318">
        <v>0</v>
      </c>
      <c r="L45" s="318">
        <v>0</v>
      </c>
      <c r="M45" s="318">
        <v>1</v>
      </c>
      <c r="N45" s="149">
        <f t="shared" si="28"/>
        <v>1</v>
      </c>
      <c r="P45" s="122">
        <f t="shared" si="17"/>
        <v>1</v>
      </c>
      <c r="Q45" s="123">
        <f t="shared" si="18"/>
        <v>12470</v>
      </c>
      <c r="R45" s="123">
        <f t="shared" si="19"/>
        <v>256.7</v>
      </c>
      <c r="S45" s="123">
        <f t="shared" si="20"/>
        <v>245.48699999999999</v>
      </c>
      <c r="T45" s="123">
        <f t="shared" si="26"/>
        <v>27223.052521560079</v>
      </c>
      <c r="V45" s="122">
        <f t="shared" si="21"/>
        <v>2.62</v>
      </c>
      <c r="W45" s="123">
        <f t="shared" si="22"/>
        <v>39078</v>
      </c>
      <c r="X45" s="123">
        <f t="shared" si="23"/>
        <v>876</v>
      </c>
      <c r="Y45" s="123">
        <f t="shared" si="24"/>
        <v>922.9</v>
      </c>
      <c r="Z45" s="123">
        <f t="shared" si="27"/>
        <v>86409.555033848243</v>
      </c>
      <c r="AB45" s="122">
        <f t="shared" si="3"/>
        <v>1.62</v>
      </c>
      <c r="AC45" s="122">
        <f t="shared" si="4"/>
        <v>2.1337610264635125</v>
      </c>
      <c r="AD45" s="122">
        <f t="shared" si="5"/>
        <v>2.4125438254772109</v>
      </c>
      <c r="AE45" s="122">
        <f t="shared" si="6"/>
        <v>2.759465878030201</v>
      </c>
      <c r="AF45" s="122">
        <f t="shared" si="7"/>
        <v>2.1741317387318602</v>
      </c>
      <c r="AG45" s="151"/>
      <c r="AH45" s="122">
        <f t="shared" si="8"/>
        <v>0</v>
      </c>
      <c r="AI45" s="122">
        <f t="shared" si="9"/>
        <v>0</v>
      </c>
      <c r="AJ45" s="122">
        <f t="shared" si="10"/>
        <v>0</v>
      </c>
      <c r="AK45" s="122">
        <f t="shared" si="11"/>
        <v>0</v>
      </c>
      <c r="AL45" s="122">
        <f t="shared" si="12"/>
        <v>2.1741317387318602</v>
      </c>
      <c r="AM45" s="122">
        <f t="shared" si="0"/>
        <v>2.1741317387318602</v>
      </c>
      <c r="AO45" s="148">
        <f t="shared" si="13"/>
        <v>0</v>
      </c>
      <c r="AQ45" s="148">
        <f t="shared" si="14"/>
        <v>0</v>
      </c>
      <c r="AR45" s="148">
        <f t="shared" si="15"/>
        <v>0</v>
      </c>
      <c r="AT45" s="150" t="e">
        <f t="shared" si="29"/>
        <v>#DIV/0!</v>
      </c>
      <c r="AU45" s="150" t="e">
        <f t="shared" si="30"/>
        <v>#DIV/0!</v>
      </c>
      <c r="AV45" s="150" t="e">
        <f t="shared" si="30"/>
        <v>#DIV/0!</v>
      </c>
      <c r="AW45" s="150" t="e">
        <f t="shared" si="30"/>
        <v>#DIV/0!</v>
      </c>
      <c r="AX45" s="150" t="e">
        <f t="shared" si="30"/>
        <v>#DIV/0!</v>
      </c>
      <c r="AY45" s="150" t="e">
        <f t="shared" si="30"/>
        <v>#DIV/0!</v>
      </c>
    </row>
    <row r="46" spans="3:51" s="142" customFormat="1" x14ac:dyDescent="0.35">
      <c r="C46" s="128"/>
      <c r="D46" s="128"/>
      <c r="E46" s="296"/>
      <c r="F46" s="129"/>
      <c r="G46" s="130"/>
      <c r="H46" s="148">
        <f t="shared" si="2"/>
        <v>0</v>
      </c>
      <c r="I46" s="318">
        <v>0</v>
      </c>
      <c r="J46" s="318">
        <v>0</v>
      </c>
      <c r="K46" s="318">
        <v>0</v>
      </c>
      <c r="L46" s="318">
        <v>0</v>
      </c>
      <c r="M46" s="318">
        <v>1</v>
      </c>
      <c r="N46" s="149">
        <f t="shared" si="28"/>
        <v>1</v>
      </c>
      <c r="P46" s="122">
        <f t="shared" si="17"/>
        <v>1</v>
      </c>
      <c r="Q46" s="123">
        <f t="shared" si="18"/>
        <v>12470</v>
      </c>
      <c r="R46" s="123">
        <f t="shared" si="19"/>
        <v>256.7</v>
      </c>
      <c r="S46" s="123">
        <f t="shared" si="20"/>
        <v>245.48699999999999</v>
      </c>
      <c r="T46" s="123">
        <f t="shared" si="26"/>
        <v>27223.052521560079</v>
      </c>
      <c r="V46" s="122">
        <f t="shared" si="21"/>
        <v>2.62</v>
      </c>
      <c r="W46" s="123">
        <f t="shared" si="22"/>
        <v>39078</v>
      </c>
      <c r="X46" s="123">
        <f t="shared" si="23"/>
        <v>876</v>
      </c>
      <c r="Y46" s="123">
        <f t="shared" si="24"/>
        <v>922.9</v>
      </c>
      <c r="Z46" s="123">
        <f t="shared" si="27"/>
        <v>86409.555033848243</v>
      </c>
      <c r="AB46" s="122">
        <f t="shared" si="3"/>
        <v>1.62</v>
      </c>
      <c r="AC46" s="122">
        <f t="shared" si="4"/>
        <v>2.1337610264635125</v>
      </c>
      <c r="AD46" s="122">
        <f t="shared" si="5"/>
        <v>2.4125438254772109</v>
      </c>
      <c r="AE46" s="122">
        <f t="shared" si="6"/>
        <v>2.759465878030201</v>
      </c>
      <c r="AF46" s="122">
        <f t="shared" si="7"/>
        <v>2.1741317387318602</v>
      </c>
      <c r="AG46" s="151"/>
      <c r="AH46" s="122">
        <f t="shared" si="8"/>
        <v>0</v>
      </c>
      <c r="AI46" s="122">
        <f t="shared" si="9"/>
        <v>0</v>
      </c>
      <c r="AJ46" s="122">
        <f t="shared" si="10"/>
        <v>0</v>
      </c>
      <c r="AK46" s="122">
        <f t="shared" si="11"/>
        <v>0</v>
      </c>
      <c r="AL46" s="122">
        <f t="shared" si="12"/>
        <v>2.1741317387318602</v>
      </c>
      <c r="AM46" s="122">
        <f t="shared" si="0"/>
        <v>2.1741317387318602</v>
      </c>
      <c r="AO46" s="148">
        <f t="shared" si="13"/>
        <v>0</v>
      </c>
      <c r="AQ46" s="148">
        <f t="shared" si="14"/>
        <v>0</v>
      </c>
      <c r="AR46" s="148">
        <f t="shared" si="15"/>
        <v>0</v>
      </c>
      <c r="AT46" s="150" t="e">
        <f t="shared" si="29"/>
        <v>#DIV/0!</v>
      </c>
      <c r="AU46" s="150" t="e">
        <f t="shared" si="30"/>
        <v>#DIV/0!</v>
      </c>
      <c r="AV46" s="150" t="e">
        <f t="shared" si="30"/>
        <v>#DIV/0!</v>
      </c>
      <c r="AW46" s="150" t="e">
        <f t="shared" si="30"/>
        <v>#DIV/0!</v>
      </c>
      <c r="AX46" s="150" t="e">
        <f t="shared" si="30"/>
        <v>#DIV/0!</v>
      </c>
      <c r="AY46" s="150" t="e">
        <f t="shared" si="30"/>
        <v>#DIV/0!</v>
      </c>
    </row>
    <row r="47" spans="3:51" x14ac:dyDescent="0.35">
      <c r="C47" s="70"/>
      <c r="D47" s="70"/>
      <c r="E47" s="296"/>
      <c r="F47" s="125"/>
      <c r="G47" s="126"/>
      <c r="H47" s="120">
        <f t="shared" si="2"/>
        <v>0</v>
      </c>
      <c r="I47" s="318">
        <v>0</v>
      </c>
      <c r="J47" s="318">
        <v>0</v>
      </c>
      <c r="K47" s="318">
        <v>0</v>
      </c>
      <c r="L47" s="318">
        <v>0</v>
      </c>
      <c r="M47" s="318">
        <v>1</v>
      </c>
      <c r="N47" s="121">
        <f t="shared" si="28"/>
        <v>1</v>
      </c>
      <c r="P47" s="122">
        <f t="shared" si="17"/>
        <v>1</v>
      </c>
      <c r="Q47" s="123">
        <f t="shared" si="18"/>
        <v>12470</v>
      </c>
      <c r="R47" s="123">
        <f t="shared" si="19"/>
        <v>256.7</v>
      </c>
      <c r="S47" s="123">
        <f t="shared" si="20"/>
        <v>245.48699999999999</v>
      </c>
      <c r="T47" s="123">
        <f t="shared" si="26"/>
        <v>27223.052521560079</v>
      </c>
      <c r="V47" s="122">
        <f t="shared" si="21"/>
        <v>2.62</v>
      </c>
      <c r="W47" s="123">
        <f t="shared" si="22"/>
        <v>39078</v>
      </c>
      <c r="X47" s="123">
        <f t="shared" si="23"/>
        <v>876</v>
      </c>
      <c r="Y47" s="123">
        <f t="shared" si="24"/>
        <v>922.9</v>
      </c>
      <c r="Z47" s="123">
        <f t="shared" si="27"/>
        <v>86409.555033848243</v>
      </c>
      <c r="AB47" s="122">
        <f t="shared" si="3"/>
        <v>1.62</v>
      </c>
      <c r="AC47" s="122">
        <f t="shared" si="4"/>
        <v>2.1337610264635125</v>
      </c>
      <c r="AD47" s="122">
        <f t="shared" si="5"/>
        <v>2.4125438254772109</v>
      </c>
      <c r="AE47" s="122">
        <f t="shared" si="6"/>
        <v>2.759465878030201</v>
      </c>
      <c r="AF47" s="122">
        <f t="shared" si="7"/>
        <v>2.1741317387318602</v>
      </c>
      <c r="AH47" s="122">
        <f t="shared" si="8"/>
        <v>0</v>
      </c>
      <c r="AI47" s="122">
        <f t="shared" si="9"/>
        <v>0</v>
      </c>
      <c r="AJ47" s="122">
        <f t="shared" si="10"/>
        <v>0</v>
      </c>
      <c r="AK47" s="122">
        <f t="shared" si="11"/>
        <v>0</v>
      </c>
      <c r="AL47" s="122">
        <f t="shared" si="12"/>
        <v>2.1741317387318602</v>
      </c>
      <c r="AM47" s="122">
        <f t="shared" si="0"/>
        <v>2.1741317387318602</v>
      </c>
      <c r="AO47" s="120">
        <f t="shared" si="13"/>
        <v>0</v>
      </c>
      <c r="AQ47" s="120">
        <f t="shared" si="14"/>
        <v>0</v>
      </c>
      <c r="AR47" s="120">
        <f t="shared" si="15"/>
        <v>0</v>
      </c>
      <c r="AT47" s="122" t="e">
        <f t="shared" si="29"/>
        <v>#DIV/0!</v>
      </c>
      <c r="AU47" s="122" t="e">
        <f t="shared" si="30"/>
        <v>#DIV/0!</v>
      </c>
      <c r="AV47" s="122" t="e">
        <f t="shared" si="30"/>
        <v>#DIV/0!</v>
      </c>
      <c r="AW47" s="122" t="e">
        <f t="shared" si="30"/>
        <v>#DIV/0!</v>
      </c>
      <c r="AX47" s="122" t="e">
        <f t="shared" si="30"/>
        <v>#DIV/0!</v>
      </c>
      <c r="AY47" s="122" t="e">
        <f t="shared" si="30"/>
        <v>#DIV/0!</v>
      </c>
    </row>
    <row r="48" spans="3:51" x14ac:dyDescent="0.35">
      <c r="C48" s="70"/>
      <c r="D48" s="70"/>
      <c r="E48" s="296"/>
      <c r="F48" s="125"/>
      <c r="G48" s="126"/>
      <c r="H48" s="120">
        <f t="shared" si="2"/>
        <v>0</v>
      </c>
      <c r="I48" s="318">
        <v>0</v>
      </c>
      <c r="J48" s="318">
        <v>0</v>
      </c>
      <c r="K48" s="318">
        <v>0</v>
      </c>
      <c r="L48" s="318">
        <v>0</v>
      </c>
      <c r="M48" s="318">
        <v>1</v>
      </c>
      <c r="N48" s="121">
        <f t="shared" si="28"/>
        <v>1</v>
      </c>
      <c r="P48" s="122">
        <f t="shared" si="17"/>
        <v>1</v>
      </c>
      <c r="Q48" s="123">
        <f t="shared" si="18"/>
        <v>12470</v>
      </c>
      <c r="R48" s="123">
        <f t="shared" si="19"/>
        <v>256.7</v>
      </c>
      <c r="S48" s="123">
        <f t="shared" si="20"/>
        <v>245.48699999999999</v>
      </c>
      <c r="T48" s="123">
        <f t="shared" si="26"/>
        <v>27223.052521560079</v>
      </c>
      <c r="V48" s="122">
        <f t="shared" si="21"/>
        <v>2.62</v>
      </c>
      <c r="W48" s="123">
        <f t="shared" si="22"/>
        <v>39078</v>
      </c>
      <c r="X48" s="123">
        <f t="shared" si="23"/>
        <v>876</v>
      </c>
      <c r="Y48" s="123">
        <f t="shared" si="24"/>
        <v>922.9</v>
      </c>
      <c r="Z48" s="123">
        <f t="shared" si="27"/>
        <v>86409.555033848243</v>
      </c>
      <c r="AB48" s="122">
        <f t="shared" si="3"/>
        <v>1.62</v>
      </c>
      <c r="AC48" s="122">
        <f t="shared" si="4"/>
        <v>2.1337610264635125</v>
      </c>
      <c r="AD48" s="122">
        <f t="shared" si="5"/>
        <v>2.4125438254772109</v>
      </c>
      <c r="AE48" s="122">
        <f t="shared" si="6"/>
        <v>2.759465878030201</v>
      </c>
      <c r="AF48" s="122">
        <f t="shared" si="7"/>
        <v>2.1741317387318602</v>
      </c>
      <c r="AH48" s="122">
        <f t="shared" si="8"/>
        <v>0</v>
      </c>
      <c r="AI48" s="122">
        <f t="shared" si="9"/>
        <v>0</v>
      </c>
      <c r="AJ48" s="122">
        <f t="shared" si="10"/>
        <v>0</v>
      </c>
      <c r="AK48" s="122">
        <f t="shared" si="11"/>
        <v>0</v>
      </c>
      <c r="AL48" s="122">
        <f t="shared" si="12"/>
        <v>2.1741317387318602</v>
      </c>
      <c r="AM48" s="122">
        <f t="shared" si="0"/>
        <v>2.1741317387318602</v>
      </c>
      <c r="AO48" s="120">
        <f t="shared" si="13"/>
        <v>0</v>
      </c>
      <c r="AQ48" s="120">
        <f t="shared" si="14"/>
        <v>0</v>
      </c>
      <c r="AR48" s="120">
        <f t="shared" si="15"/>
        <v>0</v>
      </c>
      <c r="AT48" s="122" t="e">
        <f t="shared" si="29"/>
        <v>#DIV/0!</v>
      </c>
      <c r="AU48" s="122" t="e">
        <f t="shared" si="30"/>
        <v>#DIV/0!</v>
      </c>
      <c r="AV48" s="122" t="e">
        <f t="shared" si="30"/>
        <v>#DIV/0!</v>
      </c>
      <c r="AW48" s="122" t="e">
        <f t="shared" si="30"/>
        <v>#DIV/0!</v>
      </c>
      <c r="AX48" s="122" t="e">
        <f t="shared" si="30"/>
        <v>#DIV/0!</v>
      </c>
      <c r="AY48" s="122" t="e">
        <f t="shared" si="30"/>
        <v>#DIV/0!</v>
      </c>
    </row>
    <row r="49" spans="3:51" x14ac:dyDescent="0.35">
      <c r="C49" s="70"/>
      <c r="D49" s="70"/>
      <c r="E49" s="296"/>
      <c r="F49" s="125"/>
      <c r="G49" s="126"/>
      <c r="H49" s="120">
        <f t="shared" si="2"/>
        <v>0</v>
      </c>
      <c r="I49" s="318">
        <v>0</v>
      </c>
      <c r="J49" s="318">
        <v>0</v>
      </c>
      <c r="K49" s="318">
        <v>0</v>
      </c>
      <c r="L49" s="318">
        <v>0</v>
      </c>
      <c r="M49" s="318">
        <v>1</v>
      </c>
      <c r="N49" s="121">
        <f t="shared" si="28"/>
        <v>1</v>
      </c>
      <c r="P49" s="122">
        <f t="shared" si="17"/>
        <v>1</v>
      </c>
      <c r="Q49" s="123">
        <f t="shared" si="18"/>
        <v>12470</v>
      </c>
      <c r="R49" s="123">
        <f t="shared" si="19"/>
        <v>256.7</v>
      </c>
      <c r="S49" s="123">
        <f t="shared" si="20"/>
        <v>245.48699999999999</v>
      </c>
      <c r="T49" s="123">
        <f t="shared" si="26"/>
        <v>27223.052521560079</v>
      </c>
      <c r="V49" s="122">
        <f t="shared" si="21"/>
        <v>2.62</v>
      </c>
      <c r="W49" s="123">
        <f t="shared" si="22"/>
        <v>39078</v>
      </c>
      <c r="X49" s="123">
        <f t="shared" si="23"/>
        <v>876</v>
      </c>
      <c r="Y49" s="123">
        <f t="shared" si="24"/>
        <v>922.9</v>
      </c>
      <c r="Z49" s="123">
        <f t="shared" si="27"/>
        <v>86409.555033848243</v>
      </c>
      <c r="AB49" s="122">
        <f t="shared" si="3"/>
        <v>1.62</v>
      </c>
      <c r="AC49" s="122">
        <f t="shared" si="4"/>
        <v>2.1337610264635125</v>
      </c>
      <c r="AD49" s="122">
        <f t="shared" si="5"/>
        <v>2.4125438254772109</v>
      </c>
      <c r="AE49" s="122">
        <f t="shared" si="6"/>
        <v>2.759465878030201</v>
      </c>
      <c r="AF49" s="122">
        <f t="shared" si="7"/>
        <v>2.1741317387318602</v>
      </c>
      <c r="AH49" s="122">
        <f t="shared" si="8"/>
        <v>0</v>
      </c>
      <c r="AI49" s="122">
        <f t="shared" si="9"/>
        <v>0</v>
      </c>
      <c r="AJ49" s="122">
        <f t="shared" si="10"/>
        <v>0</v>
      </c>
      <c r="AK49" s="122">
        <f t="shared" si="11"/>
        <v>0</v>
      </c>
      <c r="AL49" s="122">
        <f t="shared" si="12"/>
        <v>2.1741317387318602</v>
      </c>
      <c r="AM49" s="122">
        <f t="shared" si="0"/>
        <v>2.1741317387318602</v>
      </c>
      <c r="AO49" s="120">
        <f t="shared" si="13"/>
        <v>0</v>
      </c>
      <c r="AQ49" s="120">
        <f t="shared" si="14"/>
        <v>0</v>
      </c>
      <c r="AR49" s="120">
        <f t="shared" si="15"/>
        <v>0</v>
      </c>
      <c r="AT49" s="122" t="e">
        <f t="shared" si="29"/>
        <v>#DIV/0!</v>
      </c>
      <c r="AU49" s="122" t="e">
        <f t="shared" si="30"/>
        <v>#DIV/0!</v>
      </c>
      <c r="AV49" s="122" t="e">
        <f t="shared" si="30"/>
        <v>#DIV/0!</v>
      </c>
      <c r="AW49" s="122" t="e">
        <f t="shared" si="30"/>
        <v>#DIV/0!</v>
      </c>
      <c r="AX49" s="122" t="e">
        <f t="shared" si="30"/>
        <v>#DIV/0!</v>
      </c>
      <c r="AY49" s="122" t="e">
        <f t="shared" si="30"/>
        <v>#DIV/0!</v>
      </c>
    </row>
    <row r="50" spans="3:51" x14ac:dyDescent="0.35">
      <c r="C50" s="70"/>
      <c r="D50" s="70"/>
      <c r="E50" s="296"/>
      <c r="F50" s="125"/>
      <c r="G50" s="126"/>
      <c r="H50" s="120">
        <f t="shared" si="2"/>
        <v>0</v>
      </c>
      <c r="I50" s="318">
        <v>0</v>
      </c>
      <c r="J50" s="318">
        <v>0</v>
      </c>
      <c r="K50" s="318">
        <v>0</v>
      </c>
      <c r="L50" s="318">
        <v>0</v>
      </c>
      <c r="M50" s="318">
        <v>1</v>
      </c>
      <c r="N50" s="121">
        <f t="shared" si="28"/>
        <v>1</v>
      </c>
      <c r="P50" s="122">
        <f t="shared" si="17"/>
        <v>1</v>
      </c>
      <c r="Q50" s="123">
        <f t="shared" si="18"/>
        <v>12470</v>
      </c>
      <c r="R50" s="123">
        <f t="shared" si="19"/>
        <v>256.7</v>
      </c>
      <c r="S50" s="123">
        <f t="shared" si="20"/>
        <v>245.48699999999999</v>
      </c>
      <c r="T50" s="123">
        <f t="shared" si="26"/>
        <v>27223.052521560079</v>
      </c>
      <c r="V50" s="122">
        <f t="shared" si="21"/>
        <v>2.62</v>
      </c>
      <c r="W50" s="123">
        <f t="shared" si="22"/>
        <v>39078</v>
      </c>
      <c r="X50" s="123">
        <f t="shared" si="23"/>
        <v>876</v>
      </c>
      <c r="Y50" s="123">
        <f t="shared" si="24"/>
        <v>922.9</v>
      </c>
      <c r="Z50" s="123">
        <f t="shared" si="27"/>
        <v>86409.555033848243</v>
      </c>
      <c r="AB50" s="122">
        <f t="shared" si="3"/>
        <v>1.62</v>
      </c>
      <c r="AC50" s="122">
        <f t="shared" si="4"/>
        <v>2.1337610264635125</v>
      </c>
      <c r="AD50" s="122">
        <f t="shared" si="5"/>
        <v>2.4125438254772109</v>
      </c>
      <c r="AE50" s="122">
        <f t="shared" si="6"/>
        <v>2.759465878030201</v>
      </c>
      <c r="AF50" s="122">
        <f t="shared" si="7"/>
        <v>2.1741317387318602</v>
      </c>
      <c r="AH50" s="122">
        <f t="shared" si="8"/>
        <v>0</v>
      </c>
      <c r="AI50" s="122">
        <f t="shared" si="9"/>
        <v>0</v>
      </c>
      <c r="AJ50" s="122">
        <f t="shared" si="10"/>
        <v>0</v>
      </c>
      <c r="AK50" s="122">
        <f t="shared" si="11"/>
        <v>0</v>
      </c>
      <c r="AL50" s="122">
        <f t="shared" si="12"/>
        <v>2.1741317387318602</v>
      </c>
      <c r="AM50" s="122">
        <f t="shared" si="0"/>
        <v>2.1741317387318602</v>
      </c>
      <c r="AO50" s="120">
        <f t="shared" si="13"/>
        <v>0</v>
      </c>
      <c r="AQ50" s="120">
        <f t="shared" si="14"/>
        <v>0</v>
      </c>
      <c r="AR50" s="120">
        <f t="shared" si="15"/>
        <v>0</v>
      </c>
      <c r="AT50" s="122" t="e">
        <f t="shared" si="29"/>
        <v>#DIV/0!</v>
      </c>
      <c r="AU50" s="122" t="e">
        <f t="shared" si="30"/>
        <v>#DIV/0!</v>
      </c>
      <c r="AV50" s="122" t="e">
        <f t="shared" si="30"/>
        <v>#DIV/0!</v>
      </c>
      <c r="AW50" s="122" t="e">
        <f t="shared" si="30"/>
        <v>#DIV/0!</v>
      </c>
      <c r="AX50" s="122" t="e">
        <f t="shared" si="30"/>
        <v>#DIV/0!</v>
      </c>
      <c r="AY50" s="122" t="e">
        <f t="shared" si="30"/>
        <v>#DIV/0!</v>
      </c>
    </row>
    <row r="51" spans="3:51" x14ac:dyDescent="0.35">
      <c r="C51" s="70"/>
      <c r="D51" s="70"/>
      <c r="E51" s="296"/>
      <c r="F51" s="125"/>
      <c r="G51" s="126"/>
      <c r="H51" s="120">
        <f t="shared" si="2"/>
        <v>0</v>
      </c>
      <c r="I51" s="318">
        <v>0</v>
      </c>
      <c r="J51" s="318">
        <v>0</v>
      </c>
      <c r="K51" s="318">
        <v>0</v>
      </c>
      <c r="L51" s="318">
        <v>0</v>
      </c>
      <c r="M51" s="318">
        <v>1</v>
      </c>
      <c r="N51" s="121">
        <f t="shared" si="28"/>
        <v>1</v>
      </c>
      <c r="P51" s="122">
        <f t="shared" si="17"/>
        <v>1</v>
      </c>
      <c r="Q51" s="123">
        <f t="shared" si="18"/>
        <v>12470</v>
      </c>
      <c r="R51" s="123">
        <f t="shared" si="19"/>
        <v>256.7</v>
      </c>
      <c r="S51" s="123">
        <f t="shared" si="20"/>
        <v>245.48699999999999</v>
      </c>
      <c r="T51" s="123">
        <f t="shared" si="26"/>
        <v>27223.052521560079</v>
      </c>
      <c r="V51" s="122">
        <f t="shared" si="21"/>
        <v>2.62</v>
      </c>
      <c r="W51" s="123">
        <f t="shared" si="22"/>
        <v>39078</v>
      </c>
      <c r="X51" s="123">
        <f t="shared" si="23"/>
        <v>876</v>
      </c>
      <c r="Y51" s="123">
        <f t="shared" si="24"/>
        <v>922.9</v>
      </c>
      <c r="Z51" s="123">
        <f t="shared" si="27"/>
        <v>86409.555033848243</v>
      </c>
      <c r="AB51" s="122">
        <f t="shared" si="3"/>
        <v>1.62</v>
      </c>
      <c r="AC51" s="122">
        <f t="shared" si="4"/>
        <v>2.1337610264635125</v>
      </c>
      <c r="AD51" s="122">
        <f t="shared" si="5"/>
        <v>2.4125438254772109</v>
      </c>
      <c r="AE51" s="122">
        <f t="shared" si="6"/>
        <v>2.759465878030201</v>
      </c>
      <c r="AF51" s="122">
        <f t="shared" si="7"/>
        <v>2.1741317387318602</v>
      </c>
      <c r="AH51" s="122">
        <f t="shared" si="8"/>
        <v>0</v>
      </c>
      <c r="AI51" s="122">
        <f t="shared" si="9"/>
        <v>0</v>
      </c>
      <c r="AJ51" s="122">
        <f t="shared" si="10"/>
        <v>0</v>
      </c>
      <c r="AK51" s="122">
        <f t="shared" si="11"/>
        <v>0</v>
      </c>
      <c r="AL51" s="122">
        <f t="shared" si="12"/>
        <v>2.1741317387318602</v>
      </c>
      <c r="AM51" s="122">
        <f t="shared" si="0"/>
        <v>2.1741317387318602</v>
      </c>
      <c r="AO51" s="120">
        <f t="shared" si="13"/>
        <v>0</v>
      </c>
      <c r="AQ51" s="120">
        <f t="shared" si="14"/>
        <v>0</v>
      </c>
      <c r="AR51" s="120">
        <f t="shared" si="15"/>
        <v>0</v>
      </c>
      <c r="AT51" s="122" t="e">
        <f t="shared" si="29"/>
        <v>#DIV/0!</v>
      </c>
      <c r="AU51" s="122" t="e">
        <f t="shared" si="30"/>
        <v>#DIV/0!</v>
      </c>
      <c r="AV51" s="122" t="e">
        <f t="shared" si="30"/>
        <v>#DIV/0!</v>
      </c>
      <c r="AW51" s="122" t="e">
        <f t="shared" si="30"/>
        <v>#DIV/0!</v>
      </c>
      <c r="AX51" s="122" t="e">
        <f t="shared" si="30"/>
        <v>#DIV/0!</v>
      </c>
      <c r="AY51" s="122" t="e">
        <f t="shared" si="30"/>
        <v>#DIV/0!</v>
      </c>
    </row>
    <row r="52" spans="3:51" x14ac:dyDescent="0.35">
      <c r="C52" s="70"/>
      <c r="D52" s="70"/>
      <c r="E52" s="296"/>
      <c r="F52" s="125"/>
      <c r="G52" s="126"/>
      <c r="H52" s="120">
        <f t="shared" si="2"/>
        <v>0</v>
      </c>
      <c r="I52" s="318">
        <v>0</v>
      </c>
      <c r="J52" s="318">
        <v>0</v>
      </c>
      <c r="K52" s="318">
        <v>0</v>
      </c>
      <c r="L52" s="318">
        <v>0</v>
      </c>
      <c r="M52" s="318">
        <v>1</v>
      </c>
      <c r="N52" s="121">
        <f t="shared" si="28"/>
        <v>1</v>
      </c>
      <c r="P52" s="122">
        <f t="shared" si="17"/>
        <v>1</v>
      </c>
      <c r="Q52" s="123">
        <f t="shared" si="18"/>
        <v>12470</v>
      </c>
      <c r="R52" s="123">
        <f t="shared" si="19"/>
        <v>256.7</v>
      </c>
      <c r="S52" s="123">
        <f t="shared" si="20"/>
        <v>245.48699999999999</v>
      </c>
      <c r="T52" s="123">
        <f t="shared" si="26"/>
        <v>27223.052521560079</v>
      </c>
      <c r="V52" s="122">
        <f t="shared" si="21"/>
        <v>2.62</v>
      </c>
      <c r="W52" s="123">
        <f t="shared" si="22"/>
        <v>39078</v>
      </c>
      <c r="X52" s="123">
        <f t="shared" si="23"/>
        <v>876</v>
      </c>
      <c r="Y52" s="123">
        <f t="shared" si="24"/>
        <v>922.9</v>
      </c>
      <c r="Z52" s="123">
        <f t="shared" si="27"/>
        <v>86409.555033848243</v>
      </c>
      <c r="AB52" s="122">
        <f t="shared" si="3"/>
        <v>1.62</v>
      </c>
      <c r="AC52" s="122">
        <f t="shared" si="4"/>
        <v>2.1337610264635125</v>
      </c>
      <c r="AD52" s="122">
        <f t="shared" si="5"/>
        <v>2.4125438254772109</v>
      </c>
      <c r="AE52" s="122">
        <f t="shared" si="6"/>
        <v>2.759465878030201</v>
      </c>
      <c r="AF52" s="122">
        <f t="shared" si="7"/>
        <v>2.1741317387318602</v>
      </c>
      <c r="AH52" s="122">
        <f t="shared" si="8"/>
        <v>0</v>
      </c>
      <c r="AI52" s="122">
        <f t="shared" si="9"/>
        <v>0</v>
      </c>
      <c r="AJ52" s="122">
        <f t="shared" si="10"/>
        <v>0</v>
      </c>
      <c r="AK52" s="122">
        <f t="shared" si="11"/>
        <v>0</v>
      </c>
      <c r="AL52" s="122">
        <f t="shared" si="12"/>
        <v>2.1741317387318602</v>
      </c>
      <c r="AM52" s="122">
        <f t="shared" si="0"/>
        <v>2.1741317387318602</v>
      </c>
      <c r="AO52" s="120">
        <f t="shared" si="13"/>
        <v>0</v>
      </c>
      <c r="AQ52" s="120">
        <f t="shared" si="14"/>
        <v>0</v>
      </c>
      <c r="AR52" s="120">
        <f t="shared" si="15"/>
        <v>0</v>
      </c>
      <c r="AT52" s="122" t="e">
        <f t="shared" si="29"/>
        <v>#DIV/0!</v>
      </c>
      <c r="AU52" s="122" t="e">
        <f t="shared" si="30"/>
        <v>#DIV/0!</v>
      </c>
      <c r="AV52" s="122" t="e">
        <f t="shared" si="30"/>
        <v>#DIV/0!</v>
      </c>
      <c r="AW52" s="122" t="e">
        <f t="shared" si="30"/>
        <v>#DIV/0!</v>
      </c>
      <c r="AX52" s="122" t="e">
        <f t="shared" si="30"/>
        <v>#DIV/0!</v>
      </c>
      <c r="AY52" s="122" t="e">
        <f t="shared" si="30"/>
        <v>#DIV/0!</v>
      </c>
    </row>
    <row r="53" spans="3:51" x14ac:dyDescent="0.35">
      <c r="C53" s="70"/>
      <c r="D53" s="70"/>
      <c r="E53" s="296"/>
      <c r="F53" s="125"/>
      <c r="G53" s="126"/>
      <c r="H53" s="120">
        <f t="shared" si="2"/>
        <v>0</v>
      </c>
      <c r="I53" s="318">
        <v>0</v>
      </c>
      <c r="J53" s="318">
        <v>0</v>
      </c>
      <c r="K53" s="318">
        <v>0</v>
      </c>
      <c r="L53" s="318">
        <v>0</v>
      </c>
      <c r="M53" s="318">
        <v>1</v>
      </c>
      <c r="N53" s="121">
        <f t="shared" si="28"/>
        <v>1</v>
      </c>
      <c r="P53" s="122">
        <f t="shared" si="17"/>
        <v>1</v>
      </c>
      <c r="Q53" s="123">
        <f t="shared" si="18"/>
        <v>12470</v>
      </c>
      <c r="R53" s="123">
        <f t="shared" si="19"/>
        <v>256.7</v>
      </c>
      <c r="S53" s="123">
        <f t="shared" si="20"/>
        <v>245.48699999999999</v>
      </c>
      <c r="T53" s="123">
        <f t="shared" si="26"/>
        <v>27223.052521560079</v>
      </c>
      <c r="V53" s="122">
        <f t="shared" si="21"/>
        <v>2.62</v>
      </c>
      <c r="W53" s="123">
        <f t="shared" si="22"/>
        <v>39078</v>
      </c>
      <c r="X53" s="123">
        <f t="shared" si="23"/>
        <v>876</v>
      </c>
      <c r="Y53" s="123">
        <f t="shared" si="24"/>
        <v>922.9</v>
      </c>
      <c r="Z53" s="123">
        <f t="shared" si="27"/>
        <v>86409.555033848243</v>
      </c>
      <c r="AB53" s="122">
        <f t="shared" si="3"/>
        <v>1.62</v>
      </c>
      <c r="AC53" s="122">
        <f t="shared" si="4"/>
        <v>2.1337610264635125</v>
      </c>
      <c r="AD53" s="122">
        <f t="shared" si="5"/>
        <v>2.4125438254772109</v>
      </c>
      <c r="AE53" s="122">
        <f t="shared" si="6"/>
        <v>2.759465878030201</v>
      </c>
      <c r="AF53" s="122">
        <f t="shared" si="7"/>
        <v>2.1741317387318602</v>
      </c>
      <c r="AH53" s="122">
        <f t="shared" si="8"/>
        <v>0</v>
      </c>
      <c r="AI53" s="122">
        <f t="shared" si="9"/>
        <v>0</v>
      </c>
      <c r="AJ53" s="122">
        <f t="shared" si="10"/>
        <v>0</v>
      </c>
      <c r="AK53" s="122">
        <f t="shared" si="11"/>
        <v>0</v>
      </c>
      <c r="AL53" s="122">
        <f t="shared" si="12"/>
        <v>2.1741317387318602</v>
      </c>
      <c r="AM53" s="122">
        <f t="shared" si="0"/>
        <v>2.1741317387318602</v>
      </c>
      <c r="AO53" s="120">
        <f t="shared" si="13"/>
        <v>0</v>
      </c>
      <c r="AQ53" s="120">
        <f t="shared" si="14"/>
        <v>0</v>
      </c>
      <c r="AR53" s="120">
        <f t="shared" si="15"/>
        <v>0</v>
      </c>
      <c r="AT53" s="122" t="e">
        <f t="shared" si="29"/>
        <v>#DIV/0!</v>
      </c>
      <c r="AU53" s="122" t="e">
        <f t="shared" si="30"/>
        <v>#DIV/0!</v>
      </c>
      <c r="AV53" s="122" t="e">
        <f t="shared" si="30"/>
        <v>#DIV/0!</v>
      </c>
      <c r="AW53" s="122" t="e">
        <f t="shared" si="30"/>
        <v>#DIV/0!</v>
      </c>
      <c r="AX53" s="122" t="e">
        <f t="shared" si="30"/>
        <v>#DIV/0!</v>
      </c>
      <c r="AY53" s="122" t="e">
        <f t="shared" si="30"/>
        <v>#DIV/0!</v>
      </c>
    </row>
    <row r="54" spans="3:51" x14ac:dyDescent="0.35">
      <c r="C54" s="70"/>
      <c r="D54" s="70"/>
      <c r="E54" s="296"/>
      <c r="F54" s="125"/>
      <c r="G54" s="126"/>
      <c r="H54" s="120">
        <f t="shared" si="2"/>
        <v>0</v>
      </c>
      <c r="I54" s="318">
        <v>0</v>
      </c>
      <c r="J54" s="318">
        <v>0</v>
      </c>
      <c r="K54" s="318">
        <v>0</v>
      </c>
      <c r="L54" s="318">
        <v>0</v>
      </c>
      <c r="M54" s="318">
        <v>1</v>
      </c>
      <c r="N54" s="121">
        <f t="shared" si="28"/>
        <v>1</v>
      </c>
      <c r="P54" s="122">
        <f t="shared" si="17"/>
        <v>1</v>
      </c>
      <c r="Q54" s="123">
        <f t="shared" si="18"/>
        <v>12470</v>
      </c>
      <c r="R54" s="123">
        <f t="shared" si="19"/>
        <v>256.7</v>
      </c>
      <c r="S54" s="123">
        <f t="shared" si="20"/>
        <v>245.48699999999999</v>
      </c>
      <c r="T54" s="123">
        <f t="shared" si="26"/>
        <v>27223.052521560079</v>
      </c>
      <c r="V54" s="122">
        <f t="shared" si="21"/>
        <v>2.62</v>
      </c>
      <c r="W54" s="123">
        <f t="shared" si="22"/>
        <v>39078</v>
      </c>
      <c r="X54" s="123">
        <f t="shared" si="23"/>
        <v>876</v>
      </c>
      <c r="Y54" s="123">
        <f t="shared" si="24"/>
        <v>922.9</v>
      </c>
      <c r="Z54" s="123">
        <f t="shared" si="27"/>
        <v>86409.555033848243</v>
      </c>
      <c r="AB54" s="122">
        <f t="shared" si="3"/>
        <v>1.62</v>
      </c>
      <c r="AC54" s="122">
        <f t="shared" si="4"/>
        <v>2.1337610264635125</v>
      </c>
      <c r="AD54" s="122">
        <f t="shared" si="5"/>
        <v>2.4125438254772109</v>
      </c>
      <c r="AE54" s="122">
        <f t="shared" si="6"/>
        <v>2.759465878030201</v>
      </c>
      <c r="AF54" s="122">
        <f t="shared" si="7"/>
        <v>2.1741317387318602</v>
      </c>
      <c r="AH54" s="122">
        <f t="shared" si="8"/>
        <v>0</v>
      </c>
      <c r="AI54" s="122">
        <f t="shared" si="9"/>
        <v>0</v>
      </c>
      <c r="AJ54" s="122">
        <f t="shared" si="10"/>
        <v>0</v>
      </c>
      <c r="AK54" s="122">
        <f t="shared" si="11"/>
        <v>0</v>
      </c>
      <c r="AL54" s="122">
        <f t="shared" si="12"/>
        <v>2.1741317387318602</v>
      </c>
      <c r="AM54" s="122">
        <f t="shared" si="0"/>
        <v>2.1741317387318602</v>
      </c>
      <c r="AO54" s="120">
        <f t="shared" si="13"/>
        <v>0</v>
      </c>
      <c r="AQ54" s="120">
        <f t="shared" si="14"/>
        <v>0</v>
      </c>
      <c r="AR54" s="120">
        <f t="shared" si="15"/>
        <v>0</v>
      </c>
      <c r="AT54" s="122" t="e">
        <f t="shared" si="29"/>
        <v>#DIV/0!</v>
      </c>
      <c r="AU54" s="122" t="e">
        <f t="shared" si="30"/>
        <v>#DIV/0!</v>
      </c>
      <c r="AV54" s="122" t="e">
        <f t="shared" si="30"/>
        <v>#DIV/0!</v>
      </c>
      <c r="AW54" s="122" t="e">
        <f t="shared" si="30"/>
        <v>#DIV/0!</v>
      </c>
      <c r="AX54" s="122" t="e">
        <f t="shared" si="30"/>
        <v>#DIV/0!</v>
      </c>
      <c r="AY54" s="122" t="e">
        <f t="shared" si="30"/>
        <v>#DIV/0!</v>
      </c>
    </row>
    <row r="55" spans="3:51" x14ac:dyDescent="0.35">
      <c r="C55" s="70"/>
      <c r="D55" s="70"/>
      <c r="E55" s="296"/>
      <c r="F55" s="125"/>
      <c r="G55" s="126"/>
      <c r="H55" s="120">
        <f t="shared" si="2"/>
        <v>0</v>
      </c>
      <c r="I55" s="318">
        <v>0</v>
      </c>
      <c r="J55" s="318">
        <v>0</v>
      </c>
      <c r="K55" s="318">
        <v>0</v>
      </c>
      <c r="L55" s="318">
        <v>0</v>
      </c>
      <c r="M55" s="318">
        <v>1</v>
      </c>
      <c r="N55" s="121">
        <f t="shared" si="28"/>
        <v>1</v>
      </c>
      <c r="P55" s="122">
        <f t="shared" si="17"/>
        <v>1</v>
      </c>
      <c r="Q55" s="123">
        <f t="shared" si="18"/>
        <v>12470</v>
      </c>
      <c r="R55" s="123">
        <f t="shared" si="19"/>
        <v>256.7</v>
      </c>
      <c r="S55" s="123">
        <f t="shared" si="20"/>
        <v>245.48699999999999</v>
      </c>
      <c r="T55" s="123">
        <f t="shared" si="26"/>
        <v>27223.052521560079</v>
      </c>
      <c r="V55" s="122">
        <f t="shared" si="21"/>
        <v>2.62</v>
      </c>
      <c r="W55" s="123">
        <f t="shared" si="22"/>
        <v>39078</v>
      </c>
      <c r="X55" s="123">
        <f t="shared" si="23"/>
        <v>876</v>
      </c>
      <c r="Y55" s="123">
        <f t="shared" si="24"/>
        <v>922.9</v>
      </c>
      <c r="Z55" s="123">
        <f t="shared" si="27"/>
        <v>86409.555033848243</v>
      </c>
      <c r="AB55" s="122">
        <f t="shared" si="3"/>
        <v>1.62</v>
      </c>
      <c r="AC55" s="122">
        <f t="shared" si="4"/>
        <v>2.1337610264635125</v>
      </c>
      <c r="AD55" s="122">
        <f t="shared" si="5"/>
        <v>2.4125438254772109</v>
      </c>
      <c r="AE55" s="122">
        <f t="shared" si="6"/>
        <v>2.759465878030201</v>
      </c>
      <c r="AF55" s="122">
        <f t="shared" si="7"/>
        <v>2.1741317387318602</v>
      </c>
      <c r="AH55" s="122">
        <f t="shared" si="8"/>
        <v>0</v>
      </c>
      <c r="AI55" s="122">
        <f t="shared" si="9"/>
        <v>0</v>
      </c>
      <c r="AJ55" s="122">
        <f t="shared" si="10"/>
        <v>0</v>
      </c>
      <c r="AK55" s="122">
        <f t="shared" si="11"/>
        <v>0</v>
      </c>
      <c r="AL55" s="122">
        <f t="shared" si="12"/>
        <v>2.1741317387318602</v>
      </c>
      <c r="AM55" s="122">
        <f t="shared" si="0"/>
        <v>2.1741317387318602</v>
      </c>
      <c r="AO55" s="120">
        <f t="shared" si="13"/>
        <v>0</v>
      </c>
      <c r="AQ55" s="120">
        <f t="shared" si="14"/>
        <v>0</v>
      </c>
      <c r="AR55" s="120">
        <f t="shared" si="15"/>
        <v>0</v>
      </c>
      <c r="AT55" s="122" t="e">
        <f t="shared" si="29"/>
        <v>#DIV/0!</v>
      </c>
      <c r="AU55" s="122" t="e">
        <f t="shared" si="30"/>
        <v>#DIV/0!</v>
      </c>
      <c r="AV55" s="122" t="e">
        <f t="shared" si="30"/>
        <v>#DIV/0!</v>
      </c>
      <c r="AW55" s="122" t="e">
        <f t="shared" si="30"/>
        <v>#DIV/0!</v>
      </c>
      <c r="AX55" s="122" t="e">
        <f t="shared" si="30"/>
        <v>#DIV/0!</v>
      </c>
      <c r="AY55" s="122" t="e">
        <f t="shared" si="30"/>
        <v>#DIV/0!</v>
      </c>
    </row>
    <row r="56" spans="3:51" x14ac:dyDescent="0.35">
      <c r="C56" s="70"/>
      <c r="D56" s="70"/>
      <c r="E56" s="296"/>
      <c r="F56" s="125"/>
      <c r="G56" s="126"/>
      <c r="H56" s="120">
        <f t="shared" si="2"/>
        <v>0</v>
      </c>
      <c r="I56" s="318">
        <v>0</v>
      </c>
      <c r="J56" s="318">
        <v>0</v>
      </c>
      <c r="K56" s="318">
        <v>0</v>
      </c>
      <c r="L56" s="318">
        <v>0</v>
      </c>
      <c r="M56" s="318">
        <v>1</v>
      </c>
      <c r="N56" s="121">
        <f t="shared" si="28"/>
        <v>1</v>
      </c>
      <c r="P56" s="122">
        <f t="shared" si="17"/>
        <v>1</v>
      </c>
      <c r="Q56" s="123">
        <f t="shared" si="18"/>
        <v>12470</v>
      </c>
      <c r="R56" s="123">
        <f t="shared" si="19"/>
        <v>256.7</v>
      </c>
      <c r="S56" s="123">
        <f t="shared" si="20"/>
        <v>245.48699999999999</v>
      </c>
      <c r="T56" s="123">
        <f t="shared" si="26"/>
        <v>27223.052521560079</v>
      </c>
      <c r="V56" s="122">
        <f t="shared" si="21"/>
        <v>2.62</v>
      </c>
      <c r="W56" s="123">
        <f t="shared" si="22"/>
        <v>39078</v>
      </c>
      <c r="X56" s="123">
        <f t="shared" si="23"/>
        <v>876</v>
      </c>
      <c r="Y56" s="123">
        <f t="shared" si="24"/>
        <v>922.9</v>
      </c>
      <c r="Z56" s="123">
        <f t="shared" si="27"/>
        <v>86409.555033848243</v>
      </c>
      <c r="AB56" s="122">
        <f t="shared" si="3"/>
        <v>1.62</v>
      </c>
      <c r="AC56" s="122">
        <f t="shared" si="4"/>
        <v>2.1337610264635125</v>
      </c>
      <c r="AD56" s="122">
        <f t="shared" si="5"/>
        <v>2.4125438254772109</v>
      </c>
      <c r="AE56" s="122">
        <f t="shared" si="6"/>
        <v>2.759465878030201</v>
      </c>
      <c r="AF56" s="122">
        <f t="shared" si="7"/>
        <v>2.1741317387318602</v>
      </c>
      <c r="AH56" s="122">
        <f t="shared" si="8"/>
        <v>0</v>
      </c>
      <c r="AI56" s="122">
        <f t="shared" si="9"/>
        <v>0</v>
      </c>
      <c r="AJ56" s="122">
        <f t="shared" si="10"/>
        <v>0</v>
      </c>
      <c r="AK56" s="122">
        <f t="shared" si="11"/>
        <v>0</v>
      </c>
      <c r="AL56" s="122">
        <f t="shared" si="12"/>
        <v>2.1741317387318602</v>
      </c>
      <c r="AM56" s="122">
        <f t="shared" si="0"/>
        <v>2.1741317387318602</v>
      </c>
      <c r="AO56" s="120">
        <f t="shared" si="13"/>
        <v>0</v>
      </c>
      <c r="AQ56" s="120">
        <f t="shared" si="14"/>
        <v>0</v>
      </c>
      <c r="AR56" s="120">
        <f t="shared" si="15"/>
        <v>0</v>
      </c>
      <c r="AT56" s="122" t="e">
        <f t="shared" si="29"/>
        <v>#DIV/0!</v>
      </c>
      <c r="AU56" s="122" t="e">
        <f t="shared" si="30"/>
        <v>#DIV/0!</v>
      </c>
      <c r="AV56" s="122" t="e">
        <f t="shared" si="30"/>
        <v>#DIV/0!</v>
      </c>
      <c r="AW56" s="122" t="e">
        <f t="shared" si="30"/>
        <v>#DIV/0!</v>
      </c>
      <c r="AX56" s="122" t="e">
        <f t="shared" si="30"/>
        <v>#DIV/0!</v>
      </c>
      <c r="AY56" s="122" t="e">
        <f t="shared" si="30"/>
        <v>#DIV/0!</v>
      </c>
    </row>
    <row r="57" spans="3:51" x14ac:dyDescent="0.35">
      <c r="C57" s="70"/>
      <c r="D57" s="70"/>
      <c r="E57" s="296"/>
      <c r="F57" s="125"/>
      <c r="G57" s="126"/>
      <c r="H57" s="120">
        <f t="shared" si="2"/>
        <v>0</v>
      </c>
      <c r="I57" s="318">
        <v>0</v>
      </c>
      <c r="J57" s="318">
        <v>0</v>
      </c>
      <c r="K57" s="318">
        <v>0</v>
      </c>
      <c r="L57" s="318">
        <v>0</v>
      </c>
      <c r="M57" s="318">
        <v>1</v>
      </c>
      <c r="N57" s="121">
        <f t="shared" si="28"/>
        <v>1</v>
      </c>
      <c r="P57" s="122">
        <f t="shared" si="17"/>
        <v>1</v>
      </c>
      <c r="Q57" s="123">
        <f t="shared" si="18"/>
        <v>12470</v>
      </c>
      <c r="R57" s="123">
        <f t="shared" si="19"/>
        <v>256.7</v>
      </c>
      <c r="S57" s="123">
        <f t="shared" si="20"/>
        <v>245.48699999999999</v>
      </c>
      <c r="T57" s="123">
        <f t="shared" si="26"/>
        <v>27223.052521560079</v>
      </c>
      <c r="V57" s="122">
        <f t="shared" si="21"/>
        <v>2.62</v>
      </c>
      <c r="W57" s="123">
        <f t="shared" si="22"/>
        <v>39078</v>
      </c>
      <c r="X57" s="123">
        <f t="shared" si="23"/>
        <v>876</v>
      </c>
      <c r="Y57" s="123">
        <f t="shared" si="24"/>
        <v>922.9</v>
      </c>
      <c r="Z57" s="123">
        <f t="shared" si="27"/>
        <v>86409.555033848243</v>
      </c>
      <c r="AB57" s="122">
        <f t="shared" si="3"/>
        <v>1.62</v>
      </c>
      <c r="AC57" s="122">
        <f t="shared" si="4"/>
        <v>2.1337610264635125</v>
      </c>
      <c r="AD57" s="122">
        <f t="shared" si="5"/>
        <v>2.4125438254772109</v>
      </c>
      <c r="AE57" s="122">
        <f t="shared" si="6"/>
        <v>2.759465878030201</v>
      </c>
      <c r="AF57" s="122">
        <f t="shared" si="7"/>
        <v>2.1741317387318602</v>
      </c>
      <c r="AH57" s="122">
        <f t="shared" si="8"/>
        <v>0</v>
      </c>
      <c r="AI57" s="122">
        <f t="shared" si="9"/>
        <v>0</v>
      </c>
      <c r="AJ57" s="122">
        <f t="shared" si="10"/>
        <v>0</v>
      </c>
      <c r="AK57" s="122">
        <f t="shared" si="11"/>
        <v>0</v>
      </c>
      <c r="AL57" s="122">
        <f t="shared" si="12"/>
        <v>2.1741317387318602</v>
      </c>
      <c r="AM57" s="122">
        <f t="shared" si="0"/>
        <v>2.1741317387318602</v>
      </c>
      <c r="AO57" s="120">
        <f t="shared" si="13"/>
        <v>0</v>
      </c>
      <c r="AQ57" s="120">
        <f t="shared" si="14"/>
        <v>0</v>
      </c>
      <c r="AR57" s="120">
        <f t="shared" si="15"/>
        <v>0</v>
      </c>
      <c r="AT57" s="122" t="e">
        <f t="shared" si="29"/>
        <v>#DIV/0!</v>
      </c>
      <c r="AU57" s="122" t="e">
        <f t="shared" si="30"/>
        <v>#DIV/0!</v>
      </c>
      <c r="AV57" s="122" t="e">
        <f t="shared" si="30"/>
        <v>#DIV/0!</v>
      </c>
      <c r="AW57" s="122" t="e">
        <f t="shared" si="30"/>
        <v>#DIV/0!</v>
      </c>
      <c r="AX57" s="122" t="e">
        <f t="shared" si="30"/>
        <v>#DIV/0!</v>
      </c>
      <c r="AY57" s="122" t="e">
        <f t="shared" si="30"/>
        <v>#DIV/0!</v>
      </c>
    </row>
    <row r="58" spans="3:51" x14ac:dyDescent="0.35">
      <c r="C58" s="70"/>
      <c r="D58" s="70"/>
      <c r="E58" s="296"/>
      <c r="F58" s="131"/>
      <c r="G58" s="126"/>
      <c r="H58" s="120">
        <f t="shared" si="2"/>
        <v>0</v>
      </c>
      <c r="I58" s="318">
        <v>0</v>
      </c>
      <c r="J58" s="318">
        <v>0</v>
      </c>
      <c r="K58" s="318">
        <v>0</v>
      </c>
      <c r="L58" s="318">
        <v>0</v>
      </c>
      <c r="M58" s="318">
        <v>1</v>
      </c>
      <c r="N58" s="121">
        <f t="shared" si="28"/>
        <v>1</v>
      </c>
      <c r="P58" s="122">
        <f t="shared" si="17"/>
        <v>1</v>
      </c>
      <c r="Q58" s="123">
        <f t="shared" si="18"/>
        <v>12470</v>
      </c>
      <c r="R58" s="123">
        <f t="shared" si="19"/>
        <v>256.7</v>
      </c>
      <c r="S58" s="123">
        <f t="shared" si="20"/>
        <v>245.48699999999999</v>
      </c>
      <c r="T58" s="123">
        <f t="shared" si="26"/>
        <v>27223.052521560079</v>
      </c>
      <c r="V58" s="122">
        <f t="shared" si="21"/>
        <v>2.62</v>
      </c>
      <c r="W58" s="123">
        <f t="shared" si="22"/>
        <v>39078</v>
      </c>
      <c r="X58" s="123">
        <f t="shared" si="23"/>
        <v>876</v>
      </c>
      <c r="Y58" s="123">
        <f t="shared" si="24"/>
        <v>922.9</v>
      </c>
      <c r="Z58" s="123">
        <f t="shared" si="27"/>
        <v>86409.555033848243</v>
      </c>
      <c r="AB58" s="122">
        <f t="shared" si="3"/>
        <v>1.62</v>
      </c>
      <c r="AC58" s="122">
        <f t="shared" si="4"/>
        <v>2.1337610264635125</v>
      </c>
      <c r="AD58" s="122">
        <f t="shared" si="5"/>
        <v>2.4125438254772109</v>
      </c>
      <c r="AE58" s="122">
        <f t="shared" si="6"/>
        <v>2.759465878030201</v>
      </c>
      <c r="AF58" s="122">
        <f t="shared" si="7"/>
        <v>2.1741317387318602</v>
      </c>
      <c r="AH58" s="122">
        <f t="shared" si="8"/>
        <v>0</v>
      </c>
      <c r="AI58" s="122">
        <f t="shared" si="9"/>
        <v>0</v>
      </c>
      <c r="AJ58" s="122">
        <f t="shared" si="10"/>
        <v>0</v>
      </c>
      <c r="AK58" s="122">
        <f t="shared" si="11"/>
        <v>0</v>
      </c>
      <c r="AL58" s="122">
        <f t="shared" si="12"/>
        <v>2.1741317387318602</v>
      </c>
      <c r="AM58" s="122">
        <f t="shared" si="0"/>
        <v>2.1741317387318602</v>
      </c>
      <c r="AO58" s="120">
        <f t="shared" si="13"/>
        <v>0</v>
      </c>
      <c r="AQ58" s="120">
        <f t="shared" si="14"/>
        <v>0</v>
      </c>
      <c r="AR58" s="120">
        <f t="shared" si="15"/>
        <v>0</v>
      </c>
      <c r="AT58" s="122" t="e">
        <f t="shared" si="29"/>
        <v>#DIV/0!</v>
      </c>
      <c r="AU58" s="122" t="e">
        <f t="shared" si="30"/>
        <v>#DIV/0!</v>
      </c>
      <c r="AV58" s="122" t="e">
        <f t="shared" si="30"/>
        <v>#DIV/0!</v>
      </c>
      <c r="AW58" s="122" t="e">
        <f t="shared" si="30"/>
        <v>#DIV/0!</v>
      </c>
      <c r="AX58" s="122" t="e">
        <f t="shared" si="30"/>
        <v>#DIV/0!</v>
      </c>
      <c r="AY58" s="122" t="e">
        <f t="shared" si="30"/>
        <v>#DIV/0!</v>
      </c>
    </row>
    <row r="59" spans="3:51" x14ac:dyDescent="0.35">
      <c r="C59" s="70"/>
      <c r="D59" s="70"/>
      <c r="E59" s="296"/>
      <c r="F59" s="131"/>
      <c r="G59" s="126"/>
      <c r="H59" s="120">
        <f t="shared" si="2"/>
        <v>0</v>
      </c>
      <c r="I59" s="318">
        <v>0</v>
      </c>
      <c r="J59" s="318">
        <v>0</v>
      </c>
      <c r="K59" s="318">
        <v>0</v>
      </c>
      <c r="L59" s="318">
        <v>0</v>
      </c>
      <c r="M59" s="318">
        <v>1</v>
      </c>
      <c r="N59" s="121">
        <f t="shared" si="28"/>
        <v>1</v>
      </c>
      <c r="P59" s="122">
        <f t="shared" si="17"/>
        <v>1</v>
      </c>
      <c r="Q59" s="123">
        <f t="shared" si="18"/>
        <v>12470</v>
      </c>
      <c r="R59" s="123">
        <f t="shared" si="19"/>
        <v>256.7</v>
      </c>
      <c r="S59" s="123">
        <f t="shared" si="20"/>
        <v>245.48699999999999</v>
      </c>
      <c r="T59" s="123">
        <f t="shared" si="26"/>
        <v>27223.052521560079</v>
      </c>
      <c r="V59" s="122">
        <f t="shared" si="21"/>
        <v>2.62</v>
      </c>
      <c r="W59" s="123">
        <f t="shared" si="22"/>
        <v>39078</v>
      </c>
      <c r="X59" s="123">
        <f t="shared" si="23"/>
        <v>876</v>
      </c>
      <c r="Y59" s="123">
        <f t="shared" si="24"/>
        <v>922.9</v>
      </c>
      <c r="Z59" s="123">
        <f t="shared" si="27"/>
        <v>86409.555033848243</v>
      </c>
      <c r="AB59" s="122">
        <f t="shared" si="3"/>
        <v>1.62</v>
      </c>
      <c r="AC59" s="122">
        <f t="shared" si="4"/>
        <v>2.1337610264635125</v>
      </c>
      <c r="AD59" s="122">
        <f t="shared" si="5"/>
        <v>2.4125438254772109</v>
      </c>
      <c r="AE59" s="122">
        <f t="shared" si="6"/>
        <v>2.759465878030201</v>
      </c>
      <c r="AF59" s="122">
        <f t="shared" si="7"/>
        <v>2.1741317387318602</v>
      </c>
      <c r="AH59" s="122">
        <f t="shared" si="8"/>
        <v>0</v>
      </c>
      <c r="AI59" s="122">
        <f t="shared" si="9"/>
        <v>0</v>
      </c>
      <c r="AJ59" s="122">
        <f t="shared" si="10"/>
        <v>0</v>
      </c>
      <c r="AK59" s="122">
        <f t="shared" si="11"/>
        <v>0</v>
      </c>
      <c r="AL59" s="122">
        <f t="shared" si="12"/>
        <v>2.1741317387318602</v>
      </c>
      <c r="AM59" s="122">
        <f t="shared" si="0"/>
        <v>2.1741317387318602</v>
      </c>
      <c r="AO59" s="120">
        <f t="shared" si="13"/>
        <v>0</v>
      </c>
      <c r="AQ59" s="120">
        <f t="shared" si="14"/>
        <v>0</v>
      </c>
      <c r="AR59" s="120">
        <f t="shared" si="15"/>
        <v>0</v>
      </c>
      <c r="AT59" s="122" t="e">
        <f t="shared" si="29"/>
        <v>#DIV/0!</v>
      </c>
      <c r="AU59" s="122" t="e">
        <f t="shared" si="30"/>
        <v>#DIV/0!</v>
      </c>
      <c r="AV59" s="122" t="e">
        <f t="shared" si="30"/>
        <v>#DIV/0!</v>
      </c>
      <c r="AW59" s="122" t="e">
        <f t="shared" si="30"/>
        <v>#DIV/0!</v>
      </c>
      <c r="AX59" s="122" t="e">
        <f t="shared" si="30"/>
        <v>#DIV/0!</v>
      </c>
      <c r="AY59" s="122" t="e">
        <f t="shared" si="30"/>
        <v>#DIV/0!</v>
      </c>
    </row>
    <row r="60" spans="3:51" x14ac:dyDescent="0.35">
      <c r="C60" s="70"/>
      <c r="D60" s="70"/>
      <c r="E60" s="296"/>
      <c r="F60" s="125"/>
      <c r="G60" s="126"/>
      <c r="H60" s="120">
        <f t="shared" si="2"/>
        <v>0</v>
      </c>
      <c r="I60" s="318">
        <v>0</v>
      </c>
      <c r="J60" s="318">
        <v>0</v>
      </c>
      <c r="K60" s="318">
        <v>0</v>
      </c>
      <c r="L60" s="318">
        <v>0</v>
      </c>
      <c r="M60" s="318">
        <v>1</v>
      </c>
      <c r="N60" s="121">
        <f t="shared" si="28"/>
        <v>1</v>
      </c>
      <c r="P60" s="122">
        <f t="shared" si="17"/>
        <v>1</v>
      </c>
      <c r="Q60" s="123">
        <f t="shared" si="18"/>
        <v>12470</v>
      </c>
      <c r="R60" s="123">
        <f t="shared" si="19"/>
        <v>256.7</v>
      </c>
      <c r="S60" s="123">
        <f t="shared" si="20"/>
        <v>245.48699999999999</v>
      </c>
      <c r="T60" s="123">
        <f t="shared" si="26"/>
        <v>27223.052521560079</v>
      </c>
      <c r="V60" s="122">
        <f t="shared" si="21"/>
        <v>2.62</v>
      </c>
      <c r="W60" s="123">
        <f t="shared" si="22"/>
        <v>39078</v>
      </c>
      <c r="X60" s="123">
        <f t="shared" si="23"/>
        <v>876</v>
      </c>
      <c r="Y60" s="123">
        <f t="shared" si="24"/>
        <v>922.9</v>
      </c>
      <c r="Z60" s="123">
        <f t="shared" si="27"/>
        <v>86409.555033848243</v>
      </c>
      <c r="AB60" s="122">
        <f t="shared" si="3"/>
        <v>1.62</v>
      </c>
      <c r="AC60" s="122">
        <f t="shared" si="4"/>
        <v>2.1337610264635125</v>
      </c>
      <c r="AD60" s="122">
        <f t="shared" si="5"/>
        <v>2.4125438254772109</v>
      </c>
      <c r="AE60" s="122">
        <f t="shared" si="6"/>
        <v>2.759465878030201</v>
      </c>
      <c r="AF60" s="122">
        <f t="shared" si="7"/>
        <v>2.1741317387318602</v>
      </c>
      <c r="AH60" s="122">
        <f t="shared" si="8"/>
        <v>0</v>
      </c>
      <c r="AI60" s="122">
        <f t="shared" si="9"/>
        <v>0</v>
      </c>
      <c r="AJ60" s="122">
        <f t="shared" si="10"/>
        <v>0</v>
      </c>
      <c r="AK60" s="122">
        <f t="shared" si="11"/>
        <v>0</v>
      </c>
      <c r="AL60" s="122">
        <f t="shared" si="12"/>
        <v>2.1741317387318602</v>
      </c>
      <c r="AM60" s="122">
        <f t="shared" si="0"/>
        <v>2.1741317387318602</v>
      </c>
      <c r="AO60" s="120">
        <f t="shared" si="13"/>
        <v>0</v>
      </c>
      <c r="AQ60" s="120">
        <f t="shared" si="14"/>
        <v>0</v>
      </c>
      <c r="AR60" s="120">
        <f t="shared" si="15"/>
        <v>0</v>
      </c>
      <c r="AT60" s="122" t="e">
        <f t="shared" si="29"/>
        <v>#DIV/0!</v>
      </c>
      <c r="AU60" s="122" t="e">
        <f t="shared" si="30"/>
        <v>#DIV/0!</v>
      </c>
      <c r="AV60" s="122" t="e">
        <f t="shared" si="30"/>
        <v>#DIV/0!</v>
      </c>
      <c r="AW60" s="122" t="e">
        <f t="shared" si="30"/>
        <v>#DIV/0!</v>
      </c>
      <c r="AX60" s="122" t="e">
        <f t="shared" si="30"/>
        <v>#DIV/0!</v>
      </c>
      <c r="AY60" s="122" t="e">
        <f t="shared" si="30"/>
        <v>#DIV/0!</v>
      </c>
    </row>
    <row r="61" spans="3:51" x14ac:dyDescent="0.35">
      <c r="H61" s="112">
        <f>SUM(H3:H60)</f>
        <v>0</v>
      </c>
      <c r="AQ61" s="120">
        <f>SUM(AQ3:AQ60)</f>
        <v>0</v>
      </c>
      <c r="AR61" s="120">
        <f>SUM(AR3:AR60)</f>
        <v>0</v>
      </c>
      <c r="AS61" s="124" t="e">
        <f>+AR61/AQ61-1</f>
        <v>#DIV/0!</v>
      </c>
      <c r="AT61" s="122" t="e">
        <f t="shared" si="29"/>
        <v>#DIV/0!</v>
      </c>
      <c r="AU61" s="122" t="e">
        <f>SUM(AU3:AU60)</f>
        <v>#DIV/0!</v>
      </c>
      <c r="AV61" s="122" t="e">
        <f>SUM(AV3:AV60)</f>
        <v>#DIV/0!</v>
      </c>
      <c r="AW61" s="122" t="e">
        <f>SUM(AW3:AW60)</f>
        <v>#DIV/0!</v>
      </c>
      <c r="AX61" s="122" t="e">
        <f>SUM(AX3:AX60)</f>
        <v>#DIV/0!</v>
      </c>
      <c r="AY61" s="122" t="e">
        <f>SUM(AY3:AY60)</f>
        <v>#DIV/0!</v>
      </c>
    </row>
  </sheetData>
  <mergeCells count="4">
    <mergeCell ref="P1:T1"/>
    <mergeCell ref="V1:Z1"/>
    <mergeCell ref="AB1:AF1"/>
    <mergeCell ref="AH1:A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7F2A-92B1-4EA5-A06A-8E984FE5D620}">
  <dimension ref="A1:U89"/>
  <sheetViews>
    <sheetView showGridLines="0" topLeftCell="A67" zoomScale="85" zoomScaleNormal="85" workbookViewId="0">
      <selection activeCell="I85" sqref="I85"/>
    </sheetView>
  </sheetViews>
  <sheetFormatPr baseColWidth="10" defaultColWidth="10.90625" defaultRowHeight="25.4" customHeight="1" outlineLevelRow="1" x14ac:dyDescent="0.3"/>
  <cols>
    <col min="1" max="1" width="16.1796875" style="223" bestFit="1" customWidth="1"/>
    <col min="2" max="2" width="11.81640625" style="223" bestFit="1" customWidth="1"/>
    <col min="3" max="3" width="21.453125" style="223" bestFit="1" customWidth="1"/>
    <col min="4" max="4" width="18.1796875" style="223" customWidth="1"/>
    <col min="5" max="5" width="11" style="223" bestFit="1" customWidth="1"/>
    <col min="6" max="6" width="9.90625" style="223" bestFit="1" customWidth="1"/>
    <col min="7" max="7" width="13" style="223" customWidth="1"/>
    <col min="8" max="8" width="18" style="223" bestFit="1" customWidth="1"/>
    <col min="9" max="9" width="12.81640625" style="223" bestFit="1" customWidth="1"/>
    <col min="10" max="10" width="12.1796875" style="223" customWidth="1"/>
    <col min="11" max="11" width="13.1796875" style="223" customWidth="1"/>
    <col min="12" max="12" width="22" style="223" customWidth="1"/>
    <col min="13" max="14" width="10.90625" style="223"/>
    <col min="15" max="15" width="13.1796875" style="223" bestFit="1" customWidth="1"/>
    <col min="16" max="16384" width="10.90625" style="223"/>
  </cols>
  <sheetData>
    <row r="1" spans="3:21" ht="25.25" hidden="1" customHeight="1" outlineLevel="1" x14ac:dyDescent="0.35">
      <c r="C1" s="218"/>
      <c r="D1" s="218" t="s">
        <v>188</v>
      </c>
      <c r="E1" s="218"/>
      <c r="F1" s="218"/>
      <c r="G1" s="218"/>
      <c r="H1" s="218"/>
      <c r="I1" s="218"/>
      <c r="J1" s="218"/>
      <c r="K1" s="218"/>
      <c r="L1" s="218"/>
      <c r="M1" s="214"/>
      <c r="N1" s="218" t="s">
        <v>188</v>
      </c>
      <c r="O1" s="214"/>
      <c r="P1" s="214"/>
      <c r="Q1" s="214"/>
      <c r="R1" s="214"/>
      <c r="S1" s="214"/>
      <c r="T1" s="214"/>
      <c r="U1" s="214"/>
    </row>
    <row r="2" spans="3:21" ht="25.25" hidden="1" customHeight="1" outlineLevel="1" x14ac:dyDescent="0.35">
      <c r="C2" s="219"/>
      <c r="D2" s="219">
        <v>43556</v>
      </c>
      <c r="E2" s="219">
        <v>43617</v>
      </c>
      <c r="F2" s="219">
        <v>43770</v>
      </c>
      <c r="G2" s="219">
        <v>43862</v>
      </c>
      <c r="H2" s="219"/>
      <c r="I2" s="219">
        <v>44075</v>
      </c>
      <c r="J2" s="219"/>
      <c r="K2" s="219"/>
      <c r="L2" s="220" t="s">
        <v>36</v>
      </c>
      <c r="M2" s="214"/>
      <c r="N2" s="219">
        <v>44075</v>
      </c>
      <c r="O2" s="219">
        <v>44256</v>
      </c>
      <c r="P2" s="219">
        <v>44287</v>
      </c>
      <c r="Q2" s="219">
        <v>44348</v>
      </c>
      <c r="R2" s="219">
        <v>44409</v>
      </c>
      <c r="S2" s="219">
        <v>44470</v>
      </c>
      <c r="T2" s="219"/>
      <c r="U2" s="220" t="s">
        <v>36</v>
      </c>
    </row>
    <row r="3" spans="3:21" ht="25.25" hidden="1" customHeight="1" outlineLevel="1" x14ac:dyDescent="0.35">
      <c r="C3" s="221"/>
      <c r="D3" s="221">
        <v>1</v>
      </c>
      <c r="E3" s="221">
        <v>0.1</v>
      </c>
      <c r="F3" s="221">
        <v>0.13200000000000001</v>
      </c>
      <c r="G3" s="221">
        <v>0.09</v>
      </c>
      <c r="H3" s="221"/>
      <c r="I3" s="221">
        <v>0.16200000000000001</v>
      </c>
      <c r="J3" s="221"/>
      <c r="K3" s="221"/>
      <c r="L3" s="222">
        <v>1.4840000000000002</v>
      </c>
      <c r="M3" s="214"/>
      <c r="N3" s="221">
        <v>1</v>
      </c>
      <c r="O3" s="221">
        <v>0.1</v>
      </c>
      <c r="P3" s="221">
        <v>0.05</v>
      </c>
      <c r="Q3" s="221">
        <v>0.15</v>
      </c>
      <c r="R3" s="221">
        <v>7.4999999999999997E-2</v>
      </c>
      <c r="S3" s="221">
        <v>7.4999999999999997E-2</v>
      </c>
      <c r="T3" s="221"/>
      <c r="U3" s="222">
        <v>1.45</v>
      </c>
    </row>
    <row r="4" spans="3:21" ht="25.25" hidden="1" customHeight="1" outlineLevel="1" x14ac:dyDescent="0.35">
      <c r="C4" s="221"/>
      <c r="D4" s="221">
        <v>1</v>
      </c>
      <c r="E4" s="221">
        <v>1.1000000000000001</v>
      </c>
      <c r="F4" s="221">
        <v>1.2320000000000002</v>
      </c>
      <c r="G4" s="221">
        <v>1.3220000000000003</v>
      </c>
      <c r="H4" s="221"/>
      <c r="I4" s="221">
        <v>1.4840000000000002</v>
      </c>
      <c r="J4" s="221"/>
      <c r="K4" s="221"/>
      <c r="L4" s="222"/>
      <c r="M4" s="214"/>
      <c r="N4" s="221">
        <v>1</v>
      </c>
      <c r="O4" s="221">
        <v>1.1000000000000001</v>
      </c>
      <c r="P4" s="221">
        <v>1.1500000000000001</v>
      </c>
      <c r="Q4" s="221">
        <v>1.3</v>
      </c>
      <c r="R4" s="221">
        <v>1.375</v>
      </c>
      <c r="S4" s="221">
        <v>1.45</v>
      </c>
      <c r="T4" s="221"/>
      <c r="U4" s="222"/>
    </row>
    <row r="5" spans="3:21" ht="25.25" hidden="1" customHeight="1" outlineLevel="1" x14ac:dyDescent="0.35">
      <c r="C5" s="221"/>
      <c r="D5" s="221"/>
      <c r="E5" s="221">
        <v>0.10000000000000009</v>
      </c>
      <c r="F5" s="221">
        <v>0.12000000000000011</v>
      </c>
      <c r="G5" s="221">
        <v>7.3051948051948035E-2</v>
      </c>
      <c r="H5" s="221"/>
      <c r="I5" s="221">
        <v>0.12254160363086219</v>
      </c>
      <c r="J5" s="221"/>
      <c r="K5" s="221"/>
      <c r="L5" s="222"/>
      <c r="M5" s="214"/>
      <c r="N5" s="221"/>
      <c r="O5" s="221">
        <v>0.10000000000000009</v>
      </c>
      <c r="P5" s="221">
        <v>4.5454545454545414E-2</v>
      </c>
      <c r="Q5" s="221">
        <v>0.13043478260869557</v>
      </c>
      <c r="R5" s="221">
        <v>5.7692307692307709E-2</v>
      </c>
      <c r="S5" s="221">
        <v>5.4545454545454453E-2</v>
      </c>
      <c r="T5" s="221"/>
      <c r="U5" s="222"/>
    </row>
    <row r="6" spans="3:21" ht="25.25" hidden="1" customHeight="1" outlineLevel="1" x14ac:dyDescent="0.35">
      <c r="C6" s="214"/>
      <c r="D6" s="218" t="s">
        <v>188</v>
      </c>
      <c r="E6" s="214"/>
      <c r="F6" s="214"/>
      <c r="G6" s="214"/>
      <c r="H6" s="214"/>
      <c r="I6" s="214"/>
      <c r="J6" s="214"/>
      <c r="K6" s="214"/>
      <c r="L6" s="214"/>
      <c r="M6" s="214"/>
      <c r="N6" s="218" t="s">
        <v>190</v>
      </c>
      <c r="O6" s="214"/>
      <c r="P6" s="214"/>
      <c r="Q6" s="214"/>
      <c r="R6" s="214"/>
      <c r="S6" s="214"/>
      <c r="T6" s="214"/>
      <c r="U6" s="214"/>
    </row>
    <row r="7" spans="3:21" ht="25.25" hidden="1" customHeight="1" outlineLevel="1" x14ac:dyDescent="0.35">
      <c r="C7" s="219"/>
      <c r="D7" s="219">
        <v>44501</v>
      </c>
      <c r="E7" s="219">
        <v>44562</v>
      </c>
      <c r="F7" s="219" t="s">
        <v>186</v>
      </c>
      <c r="G7" s="219" t="s">
        <v>186</v>
      </c>
      <c r="H7" s="219"/>
      <c r="I7" s="219"/>
      <c r="J7" s="219"/>
      <c r="K7" s="219"/>
      <c r="L7" s="220" t="s">
        <v>36</v>
      </c>
      <c r="M7" s="214"/>
      <c r="N7" s="219">
        <v>44652</v>
      </c>
      <c r="O7" s="219">
        <v>44682</v>
      </c>
      <c r="P7" s="219">
        <v>44713</v>
      </c>
      <c r="Q7" s="219"/>
      <c r="R7" s="219"/>
      <c r="S7" s="219"/>
      <c r="T7" s="219"/>
      <c r="U7" s="220" t="s">
        <v>36</v>
      </c>
    </row>
    <row r="8" spans="3:21" ht="25.25" hidden="1" customHeight="1" outlineLevel="1" x14ac:dyDescent="0.35">
      <c r="C8" s="221"/>
      <c r="D8" s="221">
        <v>1</v>
      </c>
      <c r="E8" s="221">
        <v>0.15</v>
      </c>
      <c r="F8" s="221">
        <v>0.2</v>
      </c>
      <c r="G8" s="221">
        <v>0.1</v>
      </c>
      <c r="H8" s="221"/>
      <c r="I8" s="221"/>
      <c r="J8" s="221"/>
      <c r="K8" s="221"/>
      <c r="L8" s="222">
        <v>1.45</v>
      </c>
      <c r="M8" s="214"/>
      <c r="N8" s="221">
        <v>1</v>
      </c>
      <c r="O8" s="221">
        <v>0.1</v>
      </c>
      <c r="P8" s="221">
        <v>0.11</v>
      </c>
      <c r="Q8" s="221"/>
      <c r="R8" s="221"/>
      <c r="S8" s="221"/>
      <c r="T8" s="221"/>
      <c r="U8" s="222">
        <v>1.2100000000000002</v>
      </c>
    </row>
    <row r="9" spans="3:21" ht="25.25" hidden="1" customHeight="1" outlineLevel="1" x14ac:dyDescent="0.35">
      <c r="C9" s="221"/>
      <c r="D9" s="221">
        <v>1</v>
      </c>
      <c r="E9" s="221">
        <v>1.1499999999999999</v>
      </c>
      <c r="F9" s="221">
        <v>1.25</v>
      </c>
      <c r="G9" s="221">
        <v>1.35</v>
      </c>
      <c r="H9" s="221"/>
      <c r="I9" s="221"/>
      <c r="J9" s="221"/>
      <c r="K9" s="221"/>
      <c r="L9" s="222"/>
      <c r="M9" s="214"/>
      <c r="N9" s="221">
        <v>1</v>
      </c>
      <c r="O9" s="221">
        <v>1.1000000000000001</v>
      </c>
      <c r="P9" s="221">
        <v>1.2100000000000002</v>
      </c>
      <c r="Q9" s="221"/>
      <c r="R9" s="221"/>
      <c r="S9" s="221"/>
      <c r="T9" s="221"/>
      <c r="U9" s="222"/>
    </row>
    <row r="10" spans="3:21" ht="25.25" hidden="1" customHeight="1" outlineLevel="1" x14ac:dyDescent="0.35">
      <c r="C10" s="221"/>
      <c r="D10" s="221"/>
      <c r="E10" s="221">
        <v>0.14999999999999991</v>
      </c>
      <c r="F10" s="221">
        <v>8.6956521739130599E-2</v>
      </c>
      <c r="G10" s="221">
        <v>8.0000000000000071E-2</v>
      </c>
      <c r="H10" s="221"/>
      <c r="I10" s="221"/>
      <c r="J10" s="221"/>
      <c r="K10" s="221"/>
      <c r="L10" s="222"/>
      <c r="M10" s="214"/>
      <c r="N10" s="221"/>
      <c r="O10" s="221">
        <v>0.10000000000000009</v>
      </c>
      <c r="P10" s="221">
        <v>0.10000000000000009</v>
      </c>
      <c r="Q10" s="221"/>
      <c r="R10" s="221"/>
      <c r="S10" s="221"/>
      <c r="T10" s="221"/>
      <c r="U10" s="222"/>
    </row>
    <row r="11" spans="3:21" ht="25.25" hidden="1" customHeight="1" outlineLevel="1" x14ac:dyDescent="0.35">
      <c r="C11" s="214"/>
      <c r="D11" s="218" t="s">
        <v>191</v>
      </c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</row>
    <row r="12" spans="3:21" ht="25.25" hidden="1" customHeight="1" outlineLevel="1" x14ac:dyDescent="0.35">
      <c r="C12" s="219">
        <v>44986</v>
      </c>
      <c r="D12" s="219">
        <v>44743</v>
      </c>
      <c r="E12" s="219">
        <v>44774</v>
      </c>
      <c r="F12" s="219">
        <v>44805</v>
      </c>
      <c r="G12" s="219">
        <v>44866</v>
      </c>
      <c r="H12" s="219"/>
      <c r="I12" s="219">
        <v>44927</v>
      </c>
      <c r="J12" s="219">
        <v>44958</v>
      </c>
      <c r="K12" s="219"/>
      <c r="L12" s="219">
        <v>45017</v>
      </c>
      <c r="M12" s="220" t="s">
        <v>36</v>
      </c>
      <c r="N12" s="214"/>
      <c r="O12" s="214"/>
      <c r="P12" s="214"/>
      <c r="Q12" s="214"/>
      <c r="R12" s="214"/>
      <c r="S12" s="214"/>
      <c r="T12" s="214"/>
      <c r="U12" s="214"/>
    </row>
    <row r="13" spans="3:21" ht="25.25" hidden="1" customHeight="1" outlineLevel="1" x14ac:dyDescent="0.35">
      <c r="C13" s="221">
        <v>0.1</v>
      </c>
      <c r="D13" s="221">
        <v>1</v>
      </c>
      <c r="E13" s="221">
        <v>0.1</v>
      </c>
      <c r="F13" s="221">
        <v>0.11</v>
      </c>
      <c r="G13" s="221">
        <v>0.185</v>
      </c>
      <c r="H13" s="221"/>
      <c r="I13" s="221">
        <v>0.185</v>
      </c>
      <c r="J13" s="221">
        <v>8.5000000000000006E-2</v>
      </c>
      <c r="K13" s="221"/>
      <c r="L13" s="221">
        <v>0.185</v>
      </c>
      <c r="M13" s="222" t="e">
        <v>#REF!</v>
      </c>
      <c r="N13" s="214"/>
      <c r="O13" s="214"/>
      <c r="P13" s="214"/>
      <c r="Q13" s="214"/>
      <c r="R13" s="214"/>
      <c r="S13" s="214"/>
      <c r="T13" s="214"/>
      <c r="U13" s="214"/>
    </row>
    <row r="14" spans="3:21" ht="25.25" hidden="1" customHeight="1" outlineLevel="1" x14ac:dyDescent="0.35">
      <c r="C14" s="221">
        <v>1.5800000000000003</v>
      </c>
      <c r="D14" s="221">
        <v>1</v>
      </c>
      <c r="E14" s="221">
        <v>1.1000000000000001</v>
      </c>
      <c r="F14" s="221">
        <v>1.2100000000000002</v>
      </c>
      <c r="G14" s="221">
        <v>1.3950000000000002</v>
      </c>
      <c r="H14" s="221"/>
      <c r="I14" s="221">
        <v>1.3950000000000002</v>
      </c>
      <c r="J14" s="221">
        <v>1.4800000000000002</v>
      </c>
      <c r="K14" s="221"/>
      <c r="L14" s="221">
        <v>1.5800000000000003</v>
      </c>
      <c r="M14" s="222"/>
      <c r="N14" s="214"/>
      <c r="O14" s="214"/>
      <c r="P14" s="214"/>
      <c r="Q14" s="214"/>
      <c r="R14" s="214"/>
      <c r="S14" s="214"/>
      <c r="T14" s="214"/>
      <c r="U14" s="214"/>
    </row>
    <row r="15" spans="3:21" ht="25.25" hidden="1" customHeight="1" outlineLevel="1" x14ac:dyDescent="0.35">
      <c r="C15" s="221">
        <v>6.7567567567567544E-2</v>
      </c>
      <c r="D15" s="221"/>
      <c r="E15" s="221">
        <v>0.10000000000000009</v>
      </c>
      <c r="F15" s="221">
        <v>0.10000000000000009</v>
      </c>
      <c r="G15" s="221">
        <v>0.15289256198347112</v>
      </c>
      <c r="H15" s="221"/>
      <c r="I15" s="221">
        <v>0</v>
      </c>
      <c r="J15" s="221">
        <v>6.0931899641577081E-2</v>
      </c>
      <c r="K15" s="221"/>
      <c r="L15" s="221">
        <v>0.13261648745519716</v>
      </c>
      <c r="M15" s="222"/>
      <c r="N15" s="214"/>
      <c r="O15" s="214"/>
      <c r="P15" s="214"/>
      <c r="Q15" s="214"/>
      <c r="R15" s="214"/>
      <c r="S15" s="214"/>
      <c r="T15" s="214"/>
      <c r="U15" s="214"/>
    </row>
    <row r="16" spans="3:21" ht="25.25" customHeight="1" collapsed="1" x14ac:dyDescent="0.3"/>
    <row r="17" spans="3:15" ht="25.25" customHeight="1" x14ac:dyDescent="0.35">
      <c r="C17" s="220" t="s">
        <v>200</v>
      </c>
      <c r="D17" s="220" t="s">
        <v>192</v>
      </c>
      <c r="E17" s="220" t="s">
        <v>253</v>
      </c>
      <c r="F17" s="220" t="s">
        <v>193</v>
      </c>
      <c r="G17" s="220" t="s">
        <v>194</v>
      </c>
      <c r="H17" s="220" t="s">
        <v>195</v>
      </c>
      <c r="I17" s="220" t="s">
        <v>196</v>
      </c>
      <c r="J17" s="220" t="s">
        <v>197</v>
      </c>
      <c r="K17" s="220" t="s">
        <v>252</v>
      </c>
      <c r="L17" s="220" t="s">
        <v>251</v>
      </c>
      <c r="M17" s="220" t="s">
        <v>254</v>
      </c>
      <c r="N17" s="214"/>
      <c r="O17" s="214"/>
    </row>
    <row r="18" spans="3:15" ht="14.5" x14ac:dyDescent="0.35">
      <c r="C18" s="226"/>
      <c r="D18" s="224" t="s">
        <v>274</v>
      </c>
      <c r="E18" s="225">
        <v>0</v>
      </c>
      <c r="F18" s="226"/>
      <c r="G18" s="225">
        <v>0</v>
      </c>
      <c r="H18" s="227">
        <v>0</v>
      </c>
      <c r="I18" s="226"/>
      <c r="J18" s="226"/>
      <c r="K18" s="225">
        <v>0</v>
      </c>
      <c r="L18" s="235"/>
      <c r="M18" s="236"/>
      <c r="N18" s="214"/>
      <c r="O18" s="229"/>
    </row>
    <row r="19" spans="3:15" ht="14.5" x14ac:dyDescent="0.35">
      <c r="C19" s="226"/>
      <c r="D19" s="224" t="s">
        <v>275</v>
      </c>
      <c r="E19" s="225">
        <v>0</v>
      </c>
      <c r="F19" s="226"/>
      <c r="G19" s="225">
        <v>0</v>
      </c>
      <c r="H19" s="227">
        <v>0</v>
      </c>
      <c r="I19" s="226"/>
      <c r="J19" s="226"/>
      <c r="K19" s="225">
        <v>0</v>
      </c>
      <c r="L19" s="235"/>
      <c r="M19" s="236"/>
      <c r="N19" s="214"/>
      <c r="O19" s="229"/>
    </row>
    <row r="20" spans="3:15" ht="14.5" x14ac:dyDescent="0.35">
      <c r="C20" s="226"/>
      <c r="D20" s="224" t="s">
        <v>276</v>
      </c>
      <c r="E20" s="225">
        <v>0</v>
      </c>
      <c r="F20" s="226"/>
      <c r="G20" s="225">
        <v>0</v>
      </c>
      <c r="H20" s="227">
        <v>0</v>
      </c>
      <c r="I20" s="226"/>
      <c r="J20" s="226"/>
      <c r="K20" s="225">
        <v>0</v>
      </c>
      <c r="L20" s="235"/>
      <c r="M20" s="359">
        <v>0.48400000000000021</v>
      </c>
      <c r="N20" s="214"/>
      <c r="O20" s="229"/>
    </row>
    <row r="21" spans="3:15" ht="14.5" x14ac:dyDescent="0.35">
      <c r="C21" s="226"/>
      <c r="D21" s="224" t="s">
        <v>277</v>
      </c>
      <c r="E21" s="225">
        <v>0</v>
      </c>
      <c r="F21" s="226"/>
      <c r="G21" s="225">
        <v>0</v>
      </c>
      <c r="H21" s="227">
        <v>0</v>
      </c>
      <c r="I21" s="226"/>
      <c r="J21" s="226"/>
      <c r="K21" s="225">
        <v>0</v>
      </c>
      <c r="L21" s="235"/>
      <c r="M21" s="360"/>
      <c r="N21" s="214"/>
      <c r="O21" s="229"/>
    </row>
    <row r="22" spans="3:15" ht="14.5" x14ac:dyDescent="0.35">
      <c r="C22" s="226"/>
      <c r="D22" s="224" t="s">
        <v>278</v>
      </c>
      <c r="E22" s="225">
        <v>0</v>
      </c>
      <c r="F22" s="226"/>
      <c r="G22" s="225">
        <v>0</v>
      </c>
      <c r="H22" s="227">
        <v>0</v>
      </c>
      <c r="I22" s="226"/>
      <c r="J22" s="226"/>
      <c r="K22" s="225">
        <v>0</v>
      </c>
      <c r="L22" s="235"/>
      <c r="M22" s="360"/>
      <c r="N22" s="214"/>
      <c r="O22" s="229"/>
    </row>
    <row r="23" spans="3:15" s="238" customFormat="1" ht="13" x14ac:dyDescent="0.3">
      <c r="C23" s="237" t="s">
        <v>187</v>
      </c>
      <c r="D23" s="239" t="s">
        <v>279</v>
      </c>
      <c r="E23" s="236">
        <v>0.1</v>
      </c>
      <c r="F23" s="237"/>
      <c r="G23" s="236">
        <v>1.1000000000000001</v>
      </c>
      <c r="H23" s="297">
        <v>0</v>
      </c>
      <c r="I23" s="237"/>
      <c r="J23" s="237"/>
      <c r="K23" s="225">
        <v>0</v>
      </c>
      <c r="L23" s="240">
        <v>1.1000000000000001</v>
      </c>
      <c r="M23" s="360"/>
      <c r="O23" s="241"/>
    </row>
    <row r="24" spans="3:15" ht="14.5" x14ac:dyDescent="0.35">
      <c r="C24" s="226"/>
      <c r="D24" s="224" t="s">
        <v>280</v>
      </c>
      <c r="E24" s="225">
        <v>0</v>
      </c>
      <c r="F24" s="226"/>
      <c r="G24" s="225">
        <v>1.1000000000000001</v>
      </c>
      <c r="H24" s="227">
        <v>0</v>
      </c>
      <c r="I24" s="226"/>
      <c r="J24" s="226"/>
      <c r="K24" s="225">
        <v>0</v>
      </c>
      <c r="L24" s="245">
        <v>1.1000000000000001</v>
      </c>
      <c r="M24" s="360"/>
      <c r="N24" s="214"/>
      <c r="O24" s="229"/>
    </row>
    <row r="25" spans="3:15" ht="14.5" x14ac:dyDescent="0.35">
      <c r="C25" s="226"/>
      <c r="D25" s="224" t="s">
        <v>281</v>
      </c>
      <c r="E25" s="225">
        <v>0</v>
      </c>
      <c r="F25" s="226"/>
      <c r="G25" s="225">
        <v>1.1000000000000001</v>
      </c>
      <c r="H25" s="227">
        <v>0</v>
      </c>
      <c r="I25" s="226"/>
      <c r="J25" s="226"/>
      <c r="K25" s="225">
        <v>0</v>
      </c>
      <c r="L25" s="245">
        <v>1.1000000000000001</v>
      </c>
      <c r="M25" s="360"/>
      <c r="N25" s="214"/>
      <c r="O25" s="229"/>
    </row>
    <row r="26" spans="3:15" ht="14.5" x14ac:dyDescent="0.35">
      <c r="C26" s="226"/>
      <c r="D26" s="224" t="s">
        <v>282</v>
      </c>
      <c r="E26" s="225">
        <v>0</v>
      </c>
      <c r="F26" s="226"/>
      <c r="G26" s="225">
        <v>1.1000000000000001</v>
      </c>
      <c r="H26" s="227">
        <v>0</v>
      </c>
      <c r="I26" s="226"/>
      <c r="J26" s="226"/>
      <c r="K26" s="225">
        <v>0</v>
      </c>
      <c r="L26" s="245">
        <v>1.1000000000000001</v>
      </c>
      <c r="M26" s="360"/>
      <c r="N26" s="214"/>
      <c r="O26" s="229"/>
    </row>
    <row r="27" spans="3:15" ht="14.5" x14ac:dyDescent="0.35">
      <c r="C27" s="226" t="s">
        <v>187</v>
      </c>
      <c r="D27" s="224" t="s">
        <v>283</v>
      </c>
      <c r="E27" s="225">
        <v>0.13200000000000001</v>
      </c>
      <c r="F27" s="226"/>
      <c r="G27" s="230">
        <v>1.2320000000000002</v>
      </c>
      <c r="H27" s="227">
        <v>0.12000000000000011</v>
      </c>
      <c r="I27" s="226"/>
      <c r="J27" s="226"/>
      <c r="K27" s="225">
        <v>0.12000000000000011</v>
      </c>
      <c r="L27" s="245">
        <v>1.2320000000000002</v>
      </c>
      <c r="M27" s="360"/>
      <c r="N27" s="214"/>
      <c r="O27" s="229"/>
    </row>
    <row r="28" spans="3:15" ht="14.5" x14ac:dyDescent="0.35">
      <c r="C28" s="226"/>
      <c r="D28" s="224" t="s">
        <v>284</v>
      </c>
      <c r="E28" s="225">
        <v>0</v>
      </c>
      <c r="F28" s="226"/>
      <c r="G28" s="225">
        <v>1.2320000000000002</v>
      </c>
      <c r="H28" s="227">
        <v>0</v>
      </c>
      <c r="I28" s="226"/>
      <c r="J28" s="226"/>
      <c r="K28" s="225">
        <v>0</v>
      </c>
      <c r="L28" s="245">
        <v>1.2320000000000002</v>
      </c>
      <c r="M28" s="360"/>
      <c r="N28" s="214"/>
      <c r="O28" s="229"/>
    </row>
    <row r="29" spans="3:15" ht="14.5" x14ac:dyDescent="0.35">
      <c r="C29" s="226"/>
      <c r="D29" s="224" t="s">
        <v>285</v>
      </c>
      <c r="E29" s="225">
        <v>0</v>
      </c>
      <c r="F29" s="226"/>
      <c r="G29" s="225">
        <v>1.2320000000000002</v>
      </c>
      <c r="H29" s="227">
        <v>0</v>
      </c>
      <c r="I29" s="226"/>
      <c r="J29" s="226"/>
      <c r="K29" s="225">
        <v>0</v>
      </c>
      <c r="L29" s="245">
        <v>1.2320000000000002</v>
      </c>
      <c r="M29" s="360"/>
      <c r="N29" s="214"/>
      <c r="O29" s="229"/>
    </row>
    <row r="30" spans="3:15" ht="14.5" x14ac:dyDescent="0.35">
      <c r="C30" s="226"/>
      <c r="D30" s="224" t="s">
        <v>255</v>
      </c>
      <c r="E30" s="225">
        <v>0.09</v>
      </c>
      <c r="F30" s="226"/>
      <c r="G30" s="230">
        <v>1.3220000000000003</v>
      </c>
      <c r="H30" s="227">
        <v>7.3051948051948035E-2</v>
      </c>
      <c r="I30" s="226"/>
      <c r="J30" s="226"/>
      <c r="K30" s="225">
        <v>7.3051948051948035E-2</v>
      </c>
      <c r="L30" s="245">
        <v>1.3220000000000003</v>
      </c>
      <c r="M30" s="360"/>
      <c r="N30" s="214"/>
      <c r="O30" s="229"/>
    </row>
    <row r="31" spans="3:15" ht="14.5" x14ac:dyDescent="0.35">
      <c r="C31" s="226"/>
      <c r="D31" s="224" t="s">
        <v>256</v>
      </c>
      <c r="E31" s="225">
        <v>0</v>
      </c>
      <c r="F31" s="226"/>
      <c r="G31" s="225">
        <v>1.3220000000000003</v>
      </c>
      <c r="H31" s="227">
        <v>0</v>
      </c>
      <c r="I31" s="226"/>
      <c r="J31" s="226"/>
      <c r="K31" s="225">
        <v>0</v>
      </c>
      <c r="L31" s="245">
        <v>1.3220000000000003</v>
      </c>
      <c r="M31" s="360"/>
      <c r="N31" s="214"/>
      <c r="O31" s="229"/>
    </row>
    <row r="32" spans="3:15" ht="14.5" x14ac:dyDescent="0.35">
      <c r="C32" s="226"/>
      <c r="D32" s="224" t="s">
        <v>257</v>
      </c>
      <c r="E32" s="225">
        <v>0</v>
      </c>
      <c r="F32" s="226"/>
      <c r="G32" s="225">
        <v>1.3220000000000003</v>
      </c>
      <c r="H32" s="227">
        <v>0</v>
      </c>
      <c r="I32" s="226"/>
      <c r="J32" s="226"/>
      <c r="K32" s="225">
        <v>0</v>
      </c>
      <c r="L32" s="245">
        <v>1.3220000000000003</v>
      </c>
      <c r="M32" s="360"/>
      <c r="N32" s="214"/>
      <c r="O32" s="229"/>
    </row>
    <row r="33" spans="3:15" ht="14.5" x14ac:dyDescent="0.35">
      <c r="C33" s="226"/>
      <c r="D33" s="224" t="s">
        <v>258</v>
      </c>
      <c r="E33" s="225">
        <v>0</v>
      </c>
      <c r="F33" s="226"/>
      <c r="G33" s="225">
        <v>1.3220000000000003</v>
      </c>
      <c r="H33" s="227">
        <v>0</v>
      </c>
      <c r="I33" s="226"/>
      <c r="J33" s="226"/>
      <c r="K33" s="225">
        <v>0</v>
      </c>
      <c r="L33" s="245">
        <v>1.3220000000000003</v>
      </c>
      <c r="M33" s="360"/>
      <c r="N33" s="214"/>
      <c r="O33" s="229"/>
    </row>
    <row r="34" spans="3:15" ht="14.5" x14ac:dyDescent="0.35">
      <c r="C34" s="226"/>
      <c r="D34" s="224" t="s">
        <v>259</v>
      </c>
      <c r="E34" s="225">
        <v>0</v>
      </c>
      <c r="F34" s="226"/>
      <c r="G34" s="225">
        <v>1.3220000000000003</v>
      </c>
      <c r="H34" s="227">
        <v>0</v>
      </c>
      <c r="I34" s="226"/>
      <c r="J34" s="226"/>
      <c r="K34" s="225">
        <v>0</v>
      </c>
      <c r="L34" s="245">
        <v>1.3220000000000003</v>
      </c>
      <c r="M34" s="360"/>
      <c r="N34" s="214"/>
      <c r="O34" s="229"/>
    </row>
    <row r="35" spans="3:15" ht="14.5" x14ac:dyDescent="0.35">
      <c r="C35" s="226"/>
      <c r="D35" s="224" t="s">
        <v>260</v>
      </c>
      <c r="E35" s="225">
        <v>0</v>
      </c>
      <c r="F35" s="226"/>
      <c r="G35" s="225">
        <v>1.3220000000000003</v>
      </c>
      <c r="H35" s="227">
        <v>0</v>
      </c>
      <c r="I35" s="226"/>
      <c r="J35" s="226"/>
      <c r="K35" s="225">
        <v>0</v>
      </c>
      <c r="L35" s="245">
        <v>1.3220000000000003</v>
      </c>
      <c r="M35" s="360"/>
      <c r="N35" s="214"/>
      <c r="O35" s="229"/>
    </row>
    <row r="36" spans="3:15" ht="14.5" x14ac:dyDescent="0.35">
      <c r="C36" s="226"/>
      <c r="D36" s="224" t="s">
        <v>261</v>
      </c>
      <c r="E36" s="225">
        <v>0</v>
      </c>
      <c r="F36" s="226"/>
      <c r="G36" s="225">
        <v>1.3220000000000003</v>
      </c>
      <c r="H36" s="227">
        <v>0</v>
      </c>
      <c r="I36" s="226"/>
      <c r="J36" s="226"/>
      <c r="K36" s="225">
        <v>0</v>
      </c>
      <c r="L36" s="245">
        <v>1.3220000000000003</v>
      </c>
      <c r="M36" s="360"/>
      <c r="N36" s="214"/>
      <c r="O36" s="229"/>
    </row>
    <row r="37" spans="3:15" ht="14.5" x14ac:dyDescent="0.35">
      <c r="C37" s="226"/>
      <c r="D37" s="224" t="s">
        <v>262</v>
      </c>
      <c r="E37" s="225">
        <v>0</v>
      </c>
      <c r="F37" s="226"/>
      <c r="G37" s="225">
        <v>1.3220000000000003</v>
      </c>
      <c r="H37" s="227">
        <v>0</v>
      </c>
      <c r="I37" s="226"/>
      <c r="J37" s="226"/>
      <c r="K37" s="225">
        <v>0</v>
      </c>
      <c r="L37" s="245">
        <v>1.3220000000000003</v>
      </c>
      <c r="M37" s="361"/>
      <c r="N37" s="214"/>
      <c r="O37" s="229"/>
    </row>
    <row r="38" spans="3:15" ht="14.5" x14ac:dyDescent="0.35">
      <c r="C38" s="226"/>
      <c r="D38" s="224" t="s">
        <v>263</v>
      </c>
      <c r="E38" s="225">
        <v>0.16200000000000001</v>
      </c>
      <c r="F38" s="226"/>
      <c r="G38" s="249">
        <v>1.4840000000000002</v>
      </c>
      <c r="H38" s="227">
        <v>0.12254160363086219</v>
      </c>
      <c r="I38" s="226"/>
      <c r="J38" s="226"/>
      <c r="K38" s="225">
        <v>0.12254160363086219</v>
      </c>
      <c r="L38" s="245">
        <v>1.4840000000000002</v>
      </c>
      <c r="M38" s="359">
        <v>0.44999999999999996</v>
      </c>
      <c r="N38" s="214"/>
      <c r="O38" s="229"/>
    </row>
    <row r="39" spans="3:15" ht="14.5" x14ac:dyDescent="0.35">
      <c r="C39" s="226"/>
      <c r="D39" s="224" t="s">
        <v>264</v>
      </c>
      <c r="E39" s="225">
        <v>0</v>
      </c>
      <c r="F39" s="226"/>
      <c r="G39" s="225">
        <v>1.4840000000000002</v>
      </c>
      <c r="H39" s="227">
        <v>0</v>
      </c>
      <c r="I39" s="226"/>
      <c r="J39" s="226"/>
      <c r="K39" s="225">
        <v>0</v>
      </c>
      <c r="L39" s="245">
        <v>1.4840000000000002</v>
      </c>
      <c r="M39" s="360"/>
      <c r="N39" s="214"/>
      <c r="O39" s="229"/>
    </row>
    <row r="40" spans="3:15" ht="14.5" x14ac:dyDescent="0.35">
      <c r="C40" s="226"/>
      <c r="D40" s="224" t="s">
        <v>265</v>
      </c>
      <c r="E40" s="225">
        <v>0</v>
      </c>
      <c r="F40" s="226"/>
      <c r="G40" s="225">
        <v>1.4840000000000002</v>
      </c>
      <c r="H40" s="227">
        <v>0</v>
      </c>
      <c r="I40" s="226"/>
      <c r="J40" s="226"/>
      <c r="K40" s="225">
        <v>0</v>
      </c>
      <c r="L40" s="245">
        <v>1.4840000000000002</v>
      </c>
      <c r="M40" s="360"/>
      <c r="N40" s="214"/>
      <c r="O40" s="229"/>
    </row>
    <row r="41" spans="3:15" s="242" customFormat="1" ht="13" x14ac:dyDescent="0.3">
      <c r="C41" s="243"/>
      <c r="D41" s="246" t="s">
        <v>266</v>
      </c>
      <c r="E41" s="247">
        <v>0</v>
      </c>
      <c r="F41" s="243"/>
      <c r="G41" s="225">
        <v>1.4840000000000002</v>
      </c>
      <c r="H41" s="250">
        <v>0</v>
      </c>
      <c r="I41" s="248"/>
      <c r="J41" s="248"/>
      <c r="K41" s="247">
        <v>0</v>
      </c>
      <c r="L41" s="245">
        <v>1.4840000000000002</v>
      </c>
      <c r="M41" s="360"/>
      <c r="O41" s="244"/>
    </row>
    <row r="42" spans="3:15" s="242" customFormat="1" ht="13" x14ac:dyDescent="0.3">
      <c r="C42" s="243"/>
      <c r="D42" s="246" t="s">
        <v>221</v>
      </c>
      <c r="E42" s="247">
        <v>0</v>
      </c>
      <c r="F42" s="243"/>
      <c r="G42" s="225">
        <v>1.4840000000000002</v>
      </c>
      <c r="H42" s="250">
        <v>0</v>
      </c>
      <c r="I42" s="243"/>
      <c r="J42" s="243"/>
      <c r="K42" s="247">
        <v>0</v>
      </c>
      <c r="L42" s="245">
        <v>1.4840000000000002</v>
      </c>
      <c r="M42" s="360"/>
      <c r="O42" s="244"/>
    </row>
    <row r="43" spans="3:15" s="242" customFormat="1" ht="13" x14ac:dyDescent="0.3">
      <c r="C43" s="243"/>
      <c r="D43" s="246" t="s">
        <v>222</v>
      </c>
      <c r="E43" s="247">
        <v>0</v>
      </c>
      <c r="F43" s="243"/>
      <c r="G43" s="225">
        <v>1.4840000000000002</v>
      </c>
      <c r="H43" s="250">
        <v>0</v>
      </c>
      <c r="I43" s="243"/>
      <c r="J43" s="243"/>
      <c r="K43" s="247">
        <v>0</v>
      </c>
      <c r="L43" s="245">
        <v>1.4840000000000002</v>
      </c>
      <c r="M43" s="360"/>
      <c r="O43" s="244"/>
    </row>
    <row r="44" spans="3:15" ht="14.5" x14ac:dyDescent="0.35">
      <c r="C44" s="226"/>
      <c r="D44" s="226" t="s">
        <v>223</v>
      </c>
      <c r="E44" s="232">
        <v>0.1</v>
      </c>
      <c r="F44" s="226"/>
      <c r="G44" s="225">
        <v>1.6324000000000003</v>
      </c>
      <c r="H44" s="232">
        <v>0.10000000000000009</v>
      </c>
      <c r="I44" s="227"/>
      <c r="J44" s="226"/>
      <c r="K44" s="225">
        <v>0.10000000000000009</v>
      </c>
      <c r="L44" s="245">
        <v>1.6324000000000003</v>
      </c>
      <c r="M44" s="360"/>
      <c r="N44" s="214"/>
      <c r="O44" s="214"/>
    </row>
    <row r="45" spans="3:15" ht="14.5" x14ac:dyDescent="0.35">
      <c r="C45" s="226"/>
      <c r="D45" s="226" t="s">
        <v>224</v>
      </c>
      <c r="E45" s="232">
        <v>0.05</v>
      </c>
      <c r="F45" s="226"/>
      <c r="G45" s="230">
        <v>1.7066000000000003</v>
      </c>
      <c r="H45" s="232">
        <v>4.5454545454545414E-2</v>
      </c>
      <c r="I45" s="227"/>
      <c r="J45" s="226"/>
      <c r="K45" s="225">
        <v>4.5454545454545414E-2</v>
      </c>
      <c r="L45" s="235">
        <v>1.7066000000000003</v>
      </c>
      <c r="M45" s="360"/>
      <c r="N45" s="214"/>
      <c r="O45" s="229"/>
    </row>
    <row r="46" spans="3:15" ht="14.5" x14ac:dyDescent="0.35">
      <c r="C46" s="226"/>
      <c r="D46" s="226" t="s">
        <v>225</v>
      </c>
      <c r="E46" s="232">
        <v>0</v>
      </c>
      <c r="F46" s="226"/>
      <c r="G46" s="230">
        <v>1.7066000000000003</v>
      </c>
      <c r="H46" s="232">
        <v>0</v>
      </c>
      <c r="I46" s="227"/>
      <c r="J46" s="226"/>
      <c r="K46" s="225">
        <v>0</v>
      </c>
      <c r="L46" s="235">
        <v>1.7066000000000003</v>
      </c>
      <c r="M46" s="360"/>
      <c r="N46" s="214"/>
      <c r="O46" s="229"/>
    </row>
    <row r="47" spans="3:15" ht="14.5" x14ac:dyDescent="0.35">
      <c r="C47" s="226"/>
      <c r="D47" s="226" t="s">
        <v>226</v>
      </c>
      <c r="E47" s="232">
        <v>0.15</v>
      </c>
      <c r="F47" s="226"/>
      <c r="G47" s="230">
        <v>1.9292000000000002</v>
      </c>
      <c r="H47" s="232">
        <v>0.13043478260869557</v>
      </c>
      <c r="I47" s="227"/>
      <c r="J47" s="226"/>
      <c r="K47" s="225">
        <v>0.13043478260869557</v>
      </c>
      <c r="L47" s="235">
        <v>1.9292000000000002</v>
      </c>
      <c r="M47" s="360"/>
      <c r="N47" s="214"/>
      <c r="O47" s="229"/>
    </row>
    <row r="48" spans="3:15" ht="14.5" x14ac:dyDescent="0.35">
      <c r="C48" s="226"/>
      <c r="D48" s="226" t="s">
        <v>227</v>
      </c>
      <c r="E48" s="232">
        <v>0</v>
      </c>
      <c r="F48" s="226"/>
      <c r="G48" s="230">
        <v>1.7066000000000003</v>
      </c>
      <c r="H48" s="232">
        <v>0</v>
      </c>
      <c r="I48" s="227"/>
      <c r="J48" s="226"/>
      <c r="K48" s="225">
        <v>0</v>
      </c>
      <c r="L48" s="235">
        <v>1.9292000000000002</v>
      </c>
      <c r="M48" s="360"/>
      <c r="N48" s="214"/>
      <c r="O48" s="229"/>
    </row>
    <row r="49" spans="1:19" ht="14.5" x14ac:dyDescent="0.35">
      <c r="A49" s="214"/>
      <c r="B49" s="214"/>
      <c r="C49" s="226"/>
      <c r="D49" s="226" t="s">
        <v>228</v>
      </c>
      <c r="E49" s="232">
        <v>7.4999999999999997E-2</v>
      </c>
      <c r="F49" s="226"/>
      <c r="G49" s="230">
        <v>2.0405000000000002</v>
      </c>
      <c r="H49" s="232">
        <v>5.7692307692307709E-2</v>
      </c>
      <c r="I49" s="227"/>
      <c r="J49" s="226"/>
      <c r="K49" s="225">
        <v>5.7692307692307709E-2</v>
      </c>
      <c r="L49" s="235">
        <v>2.0405000000000002</v>
      </c>
      <c r="M49" s="360"/>
      <c r="N49" s="214"/>
      <c r="O49" s="231"/>
      <c r="P49" s="214"/>
      <c r="Q49" s="214"/>
      <c r="R49" s="214"/>
      <c r="S49" s="214"/>
    </row>
    <row r="50" spans="1:19" ht="14.5" x14ac:dyDescent="0.35">
      <c r="A50" s="214"/>
      <c r="B50" s="214"/>
      <c r="C50" s="226"/>
      <c r="D50" s="226" t="s">
        <v>229</v>
      </c>
      <c r="E50" s="232">
        <v>0</v>
      </c>
      <c r="F50" s="226"/>
      <c r="G50" s="230">
        <v>1.7066000000000003</v>
      </c>
      <c r="H50" s="232">
        <v>0</v>
      </c>
      <c r="I50" s="227"/>
      <c r="J50" s="226"/>
      <c r="K50" s="225">
        <v>0</v>
      </c>
      <c r="L50" s="235">
        <v>2.0405000000000002</v>
      </c>
      <c r="M50" s="360"/>
      <c r="N50" s="214"/>
      <c r="O50" s="231"/>
      <c r="P50" s="214"/>
      <c r="Q50" s="214"/>
      <c r="R50" s="214"/>
      <c r="S50" s="214"/>
    </row>
    <row r="51" spans="1:19" ht="14.5" x14ac:dyDescent="0.35">
      <c r="A51" s="214"/>
      <c r="B51" s="214"/>
      <c r="C51" s="221"/>
      <c r="D51" s="226" t="s">
        <v>230</v>
      </c>
      <c r="E51" s="225">
        <v>7.4999999999999997E-2</v>
      </c>
      <c r="F51" s="226"/>
      <c r="G51" s="230">
        <v>2.1518000000000002</v>
      </c>
      <c r="H51" s="225">
        <v>5.4545454545454453E-2</v>
      </c>
      <c r="I51" s="227"/>
      <c r="J51" s="226"/>
      <c r="K51" s="225">
        <v>5.4545454545454453E-2</v>
      </c>
      <c r="L51" s="235">
        <v>2.1518000000000002</v>
      </c>
      <c r="M51" s="361"/>
      <c r="N51" s="214"/>
      <c r="O51" s="231"/>
      <c r="P51" s="214"/>
      <c r="Q51" s="214"/>
      <c r="R51" s="214"/>
      <c r="S51" s="214"/>
    </row>
    <row r="52" spans="1:19" ht="14.5" x14ac:dyDescent="0.35">
      <c r="A52" s="214"/>
      <c r="B52" s="214"/>
      <c r="C52" s="221"/>
      <c r="D52" s="226" t="s">
        <v>231</v>
      </c>
      <c r="E52" s="225">
        <v>0</v>
      </c>
      <c r="F52" s="226"/>
      <c r="G52" s="230">
        <v>1.7066000000000003</v>
      </c>
      <c r="H52" s="225">
        <v>0</v>
      </c>
      <c r="I52" s="227"/>
      <c r="J52" s="226"/>
      <c r="K52" s="225">
        <v>0</v>
      </c>
      <c r="L52" s="235">
        <v>2.1518000000000002</v>
      </c>
      <c r="M52" s="359">
        <v>0.44999999999999996</v>
      </c>
      <c r="N52" s="214"/>
      <c r="O52" s="231"/>
      <c r="P52" s="214"/>
      <c r="Q52" s="214"/>
      <c r="R52" s="214"/>
      <c r="S52" s="214"/>
    </row>
    <row r="53" spans="1:19" ht="14.5" x14ac:dyDescent="0.35">
      <c r="A53" s="214"/>
      <c r="B53" s="214"/>
      <c r="C53" s="221"/>
      <c r="D53" s="226" t="s">
        <v>232</v>
      </c>
      <c r="E53" s="225">
        <v>0</v>
      </c>
      <c r="F53" s="226"/>
      <c r="G53" s="230">
        <v>2.1518000000000002</v>
      </c>
      <c r="H53" s="225">
        <v>0</v>
      </c>
      <c r="I53" s="227"/>
      <c r="J53" s="226"/>
      <c r="K53" s="225">
        <v>0</v>
      </c>
      <c r="L53" s="235">
        <v>2.1518000000000002</v>
      </c>
      <c r="M53" s="360"/>
      <c r="N53" s="214"/>
      <c r="O53" s="231"/>
      <c r="P53" s="214"/>
      <c r="Q53" s="214"/>
      <c r="R53" s="214"/>
      <c r="S53" s="214"/>
    </row>
    <row r="54" spans="1:19" ht="14.5" x14ac:dyDescent="0.35">
      <c r="A54" s="214"/>
      <c r="B54" s="214"/>
      <c r="C54" s="226"/>
      <c r="D54" s="226" t="s">
        <v>210</v>
      </c>
      <c r="E54" s="232">
        <v>0.15</v>
      </c>
      <c r="F54" s="226"/>
      <c r="G54" s="230">
        <v>2.4745699999999999</v>
      </c>
      <c r="H54" s="232">
        <v>0.14999999999999991</v>
      </c>
      <c r="I54" s="230"/>
      <c r="J54" s="226"/>
      <c r="K54" s="225">
        <v>0.14999999999999991</v>
      </c>
      <c r="L54" s="235">
        <v>2.4745699999999999</v>
      </c>
      <c r="M54" s="360"/>
      <c r="N54" s="214"/>
      <c r="O54" s="214"/>
      <c r="P54" s="214"/>
      <c r="Q54" s="214"/>
      <c r="R54" s="214"/>
      <c r="S54" s="214"/>
    </row>
    <row r="55" spans="1:19" ht="14.5" x14ac:dyDescent="0.35">
      <c r="A55" s="214"/>
      <c r="B55" s="214"/>
      <c r="C55" s="226"/>
      <c r="D55" s="226" t="s">
        <v>211</v>
      </c>
      <c r="E55" s="232">
        <v>0</v>
      </c>
      <c r="F55" s="226"/>
      <c r="G55" s="230">
        <v>2.4745699999999999</v>
      </c>
      <c r="H55" s="232">
        <v>0</v>
      </c>
      <c r="I55" s="230"/>
      <c r="J55" s="226"/>
      <c r="K55" s="225">
        <v>0</v>
      </c>
      <c r="L55" s="235">
        <v>2.4745699999999999</v>
      </c>
      <c r="M55" s="360"/>
      <c r="N55" s="214"/>
      <c r="O55" s="214"/>
      <c r="P55" s="214"/>
      <c r="Q55" s="214"/>
      <c r="R55" s="214"/>
      <c r="S55" s="214"/>
    </row>
    <row r="56" spans="1:19" ht="14.5" x14ac:dyDescent="0.35">
      <c r="A56" s="214"/>
      <c r="B56" s="214"/>
      <c r="C56" s="226"/>
      <c r="D56" s="226" t="s">
        <v>212</v>
      </c>
      <c r="E56" s="225">
        <v>0.30000000000000004</v>
      </c>
      <c r="F56" s="226"/>
      <c r="G56" s="230">
        <v>3.1201099999999999</v>
      </c>
      <c r="H56" s="225">
        <v>0.26086956521739135</v>
      </c>
      <c r="I56" s="230"/>
      <c r="J56" s="227"/>
      <c r="K56" s="225">
        <v>0.26086956521739135</v>
      </c>
      <c r="L56" s="235">
        <v>3.1201099999999999</v>
      </c>
      <c r="M56" s="361"/>
      <c r="N56" s="214"/>
      <c r="O56" s="214"/>
      <c r="P56" s="214"/>
      <c r="Q56" s="214"/>
      <c r="R56" s="214"/>
      <c r="S56" s="214"/>
    </row>
    <row r="57" spans="1:19" ht="14.5" x14ac:dyDescent="0.35">
      <c r="A57" s="214"/>
      <c r="B57" s="214"/>
      <c r="C57" s="233" t="s">
        <v>198</v>
      </c>
      <c r="D57" s="226" t="s">
        <v>213</v>
      </c>
      <c r="E57" s="228">
        <v>1</v>
      </c>
      <c r="F57" s="228"/>
      <c r="G57" s="228">
        <v>1</v>
      </c>
      <c r="H57" s="228">
        <v>0</v>
      </c>
      <c r="I57" s="228"/>
      <c r="J57" s="228"/>
      <c r="K57" s="228">
        <v>0</v>
      </c>
      <c r="L57" s="235">
        <v>3.1201099999999999</v>
      </c>
      <c r="M57" s="362">
        <v>1.2460984615998045</v>
      </c>
      <c r="N57" s="214"/>
      <c r="O57" s="252"/>
      <c r="P57" s="252"/>
      <c r="Q57" s="214"/>
      <c r="R57" s="252"/>
      <c r="S57" s="252"/>
    </row>
    <row r="58" spans="1:19" ht="14.5" x14ac:dyDescent="0.35">
      <c r="A58" s="223" t="s">
        <v>201</v>
      </c>
      <c r="B58" s="223">
        <v>1.63</v>
      </c>
      <c r="C58" s="233" t="s">
        <v>198</v>
      </c>
      <c r="D58" s="226" t="s">
        <v>214</v>
      </c>
      <c r="E58" s="228">
        <v>0.1</v>
      </c>
      <c r="F58" s="228">
        <v>0.83402922755741127</v>
      </c>
      <c r="G58" s="228">
        <v>1.0834029227557411</v>
      </c>
      <c r="H58" s="228">
        <v>8.3402922755741127E-2</v>
      </c>
      <c r="I58" s="228"/>
      <c r="J58" s="228"/>
      <c r="K58" s="228">
        <v>8.3402922755741127E-2</v>
      </c>
      <c r="L58" s="235">
        <v>3.3803362933194152</v>
      </c>
      <c r="M58" s="362"/>
      <c r="N58" s="214"/>
      <c r="O58" s="252"/>
      <c r="P58" s="252"/>
      <c r="Q58" s="214"/>
      <c r="R58" s="252"/>
      <c r="S58" s="252"/>
    </row>
    <row r="59" spans="1:19" ht="14.5" x14ac:dyDescent="0.35">
      <c r="A59" s="223" t="s">
        <v>202</v>
      </c>
      <c r="B59" s="223">
        <v>1.36</v>
      </c>
      <c r="C59" s="233" t="s">
        <v>198</v>
      </c>
      <c r="D59" s="226" t="s">
        <v>215</v>
      </c>
      <c r="E59" s="228">
        <v>0.11</v>
      </c>
      <c r="F59" s="228">
        <v>0.83402922755741127</v>
      </c>
      <c r="G59" s="228">
        <v>1.1751461377870565</v>
      </c>
      <c r="H59" s="228">
        <v>8.4680605067925629E-2</v>
      </c>
      <c r="I59" s="228"/>
      <c r="J59" s="228"/>
      <c r="K59" s="228">
        <v>8.4680605067925629E-2</v>
      </c>
      <c r="L59" s="235">
        <v>3.6665852159707724</v>
      </c>
      <c r="M59" s="362"/>
      <c r="N59" s="214"/>
      <c r="O59" s="252"/>
      <c r="P59" s="252"/>
      <c r="Q59" s="214"/>
      <c r="R59" s="252"/>
      <c r="S59" s="252"/>
    </row>
    <row r="60" spans="1:19" ht="14.5" x14ac:dyDescent="0.35">
      <c r="A60" s="223" t="s">
        <v>203</v>
      </c>
      <c r="B60" s="251">
        <v>0.83402922755741127</v>
      </c>
      <c r="C60" s="233" t="s">
        <v>198</v>
      </c>
      <c r="D60" s="234" t="s">
        <v>233</v>
      </c>
      <c r="E60" s="228">
        <v>1.2100000000000002</v>
      </c>
      <c r="F60" s="228"/>
      <c r="G60" s="228">
        <v>1.2100000000000002</v>
      </c>
      <c r="H60" s="228">
        <v>2.9659172669858513E-2</v>
      </c>
      <c r="I60" s="228"/>
      <c r="J60" s="228"/>
      <c r="K60" s="228">
        <v>2.9659172669858513E-2</v>
      </c>
      <c r="L60" s="235">
        <v>3.7753331000000001</v>
      </c>
      <c r="M60" s="362"/>
      <c r="N60" s="214"/>
      <c r="O60" s="252"/>
      <c r="P60" s="252"/>
      <c r="Q60" s="214"/>
      <c r="R60" s="252"/>
      <c r="S60" s="252"/>
    </row>
    <row r="61" spans="1:19" ht="14.5" x14ac:dyDescent="0.35">
      <c r="A61" s="214"/>
      <c r="B61" s="214"/>
      <c r="C61" s="233" t="s">
        <v>199</v>
      </c>
      <c r="D61" s="226" t="s">
        <v>234</v>
      </c>
      <c r="E61" s="228">
        <v>0.1</v>
      </c>
      <c r="F61" s="228">
        <v>0.83402922755741127</v>
      </c>
      <c r="G61" s="228">
        <v>1.2934029227557413</v>
      </c>
      <c r="H61" s="228">
        <v>6.8928035335323212E-2</v>
      </c>
      <c r="I61" s="228"/>
      <c r="J61" s="228">
        <v>6.8928035335323212E-2</v>
      </c>
      <c r="K61" s="228">
        <v>6.8928035335323212E-2</v>
      </c>
      <c r="L61" s="235">
        <v>4.0355593933194154</v>
      </c>
      <c r="M61" s="362"/>
      <c r="N61" s="214"/>
      <c r="O61" s="252"/>
      <c r="P61" s="252"/>
      <c r="Q61" s="214"/>
      <c r="R61" s="252"/>
      <c r="S61" s="252"/>
    </row>
    <row r="62" spans="1:19" ht="14.5" x14ac:dyDescent="0.35">
      <c r="A62" s="214"/>
      <c r="B62" s="214"/>
      <c r="C62" s="233" t="s">
        <v>199</v>
      </c>
      <c r="D62" s="226" t="s">
        <v>235</v>
      </c>
      <c r="E62" s="228">
        <v>0.11</v>
      </c>
      <c r="F62" s="228">
        <v>0.83402922755741127</v>
      </c>
      <c r="G62" s="228">
        <v>1.3851461377870566</v>
      </c>
      <c r="H62" s="228">
        <v>7.0931658972786416E-2</v>
      </c>
      <c r="I62" s="228"/>
      <c r="J62" s="228">
        <v>7.0931658972786416E-2</v>
      </c>
      <c r="K62" s="228">
        <v>7.0931658972786416E-2</v>
      </c>
      <c r="L62" s="235">
        <v>4.321808315970773</v>
      </c>
      <c r="M62" s="362"/>
      <c r="N62" s="214"/>
      <c r="O62" s="252"/>
      <c r="P62" s="252"/>
      <c r="Q62" s="214"/>
      <c r="R62" s="252"/>
      <c r="S62" s="252"/>
    </row>
    <row r="63" spans="1:19" ht="15" thickBot="1" x14ac:dyDescent="0.4">
      <c r="A63" s="214"/>
      <c r="B63" s="214"/>
      <c r="C63" s="257" t="s">
        <v>199</v>
      </c>
      <c r="D63" s="258" t="s">
        <v>236</v>
      </c>
      <c r="E63" s="259">
        <v>1.4200000000000004</v>
      </c>
      <c r="F63" s="259"/>
      <c r="G63" s="259">
        <v>1.4200000000000004</v>
      </c>
      <c r="H63" s="228">
        <v>2.5162588453393919E-2</v>
      </c>
      <c r="I63" s="228"/>
      <c r="J63" s="228">
        <v>2.5162588453393919E-2</v>
      </c>
      <c r="K63" s="228">
        <v>2.5162588453393919E-2</v>
      </c>
      <c r="L63" s="235">
        <v>4.4305562000000007</v>
      </c>
      <c r="M63" s="362"/>
      <c r="N63" s="214"/>
      <c r="O63" s="252"/>
      <c r="P63" s="252"/>
      <c r="Q63" s="252"/>
      <c r="R63" s="252"/>
      <c r="S63" s="252"/>
    </row>
    <row r="64" spans="1:19" ht="14.5" x14ac:dyDescent="0.35">
      <c r="A64" s="263" t="s">
        <v>289</v>
      </c>
      <c r="B64" s="264">
        <v>0.125</v>
      </c>
      <c r="C64" s="265" t="s">
        <v>290</v>
      </c>
      <c r="D64" s="266" t="s">
        <v>237</v>
      </c>
      <c r="E64" s="267">
        <v>0.23365873739304299</v>
      </c>
      <c r="F64" s="267"/>
      <c r="G64" s="268">
        <v>1.7517954070981214</v>
      </c>
      <c r="H64" s="256">
        <v>0.23365873739304299</v>
      </c>
      <c r="I64" s="228"/>
      <c r="J64" s="228">
        <v>0.23365873739304299</v>
      </c>
      <c r="K64" s="228">
        <v>0.23365873739304299</v>
      </c>
      <c r="L64" s="235">
        <v>5.4657943676409193</v>
      </c>
      <c r="M64" s="362"/>
      <c r="N64" s="214"/>
      <c r="O64" s="252"/>
      <c r="P64" s="252"/>
      <c r="Q64" s="252"/>
      <c r="R64" s="252"/>
      <c r="S64" s="252"/>
    </row>
    <row r="65" spans="1:19" ht="14.5" x14ac:dyDescent="0.35">
      <c r="A65" s="269"/>
      <c r="B65" s="253"/>
      <c r="C65" s="233" t="s">
        <v>199</v>
      </c>
      <c r="D65" s="226" t="s">
        <v>238</v>
      </c>
      <c r="E65" s="228">
        <v>0</v>
      </c>
      <c r="F65" s="228"/>
      <c r="G65" s="270">
        <v>1.7517954070981214</v>
      </c>
      <c r="H65" s="256">
        <v>0</v>
      </c>
      <c r="I65" s="228"/>
      <c r="J65" s="228">
        <v>0</v>
      </c>
      <c r="K65" s="228">
        <v>0</v>
      </c>
      <c r="L65" s="235">
        <v>5.4657943676409193</v>
      </c>
      <c r="M65" s="362"/>
      <c r="N65" s="214"/>
      <c r="O65" s="252"/>
      <c r="P65" s="252"/>
      <c r="Q65" s="214"/>
      <c r="R65" s="252"/>
      <c r="S65" s="252"/>
    </row>
    <row r="66" spans="1:19" ht="14.5" x14ac:dyDescent="0.35">
      <c r="A66" s="269"/>
      <c r="B66" s="254"/>
      <c r="C66" s="233" t="s">
        <v>290</v>
      </c>
      <c r="D66" s="226" t="s">
        <v>216</v>
      </c>
      <c r="E66" s="228">
        <v>0.11750837814667592</v>
      </c>
      <c r="F66" s="228"/>
      <c r="G66" s="270">
        <v>1.9576460442310175</v>
      </c>
      <c r="H66" s="256">
        <v>0.11750837814667592</v>
      </c>
      <c r="I66" s="228"/>
      <c r="J66" s="228">
        <v>0.11750837814667592</v>
      </c>
      <c r="K66" s="228">
        <v>0.11750837814667592</v>
      </c>
      <c r="L66" s="235">
        <v>6.1080709990656397</v>
      </c>
      <c r="M66" s="362"/>
      <c r="N66" s="214"/>
      <c r="O66" s="252"/>
      <c r="P66" s="252"/>
      <c r="Q66" s="214"/>
      <c r="R66" s="252"/>
      <c r="S66" s="252"/>
    </row>
    <row r="67" spans="1:19" ht="14.5" x14ac:dyDescent="0.35">
      <c r="A67" s="269"/>
      <c r="B67" s="255"/>
      <c r="C67" s="233" t="s">
        <v>199</v>
      </c>
      <c r="D67" s="226" t="s">
        <v>217</v>
      </c>
      <c r="E67" s="228">
        <v>0</v>
      </c>
      <c r="F67" s="228"/>
      <c r="G67" s="270">
        <v>1.9576460442310175</v>
      </c>
      <c r="H67" s="256">
        <v>0</v>
      </c>
      <c r="I67" s="228"/>
      <c r="J67" s="228">
        <v>0</v>
      </c>
      <c r="K67" s="228">
        <v>0</v>
      </c>
      <c r="L67" s="235">
        <v>6.1080709990656397</v>
      </c>
      <c r="M67" s="362"/>
      <c r="N67" s="214"/>
      <c r="O67" s="252"/>
      <c r="P67" s="252"/>
      <c r="Q67" s="214"/>
      <c r="R67" s="252"/>
      <c r="S67" s="252"/>
    </row>
    <row r="68" spans="1:19" ht="14.5" x14ac:dyDescent="0.35">
      <c r="A68" s="269"/>
      <c r="B68" s="253"/>
      <c r="C68" s="233" t="s">
        <v>310</v>
      </c>
      <c r="D68" s="226" t="s">
        <v>218</v>
      </c>
      <c r="E68" s="228">
        <v>0.25</v>
      </c>
      <c r="F68" s="228"/>
      <c r="G68" s="270">
        <v>2.2076460442310175</v>
      </c>
      <c r="H68" s="256">
        <v>0.12770439310861348</v>
      </c>
      <c r="I68" s="228"/>
      <c r="J68" s="228">
        <v>0.12770439310861348</v>
      </c>
      <c r="K68" s="228">
        <v>0.12770439310861348</v>
      </c>
      <c r="L68" s="235">
        <v>6.8880984990656398</v>
      </c>
      <c r="M68" s="362"/>
      <c r="N68" s="214"/>
      <c r="O68" s="252"/>
      <c r="P68" s="252"/>
      <c r="Q68" s="214"/>
      <c r="R68" s="252"/>
      <c r="S68" s="252"/>
    </row>
    <row r="69" spans="1:19" ht="15" thickBot="1" x14ac:dyDescent="0.4">
      <c r="A69" s="271"/>
      <c r="B69" s="272"/>
      <c r="C69" s="321" t="s">
        <v>290</v>
      </c>
      <c r="D69" s="322" t="s">
        <v>219</v>
      </c>
      <c r="E69" s="323">
        <v>1.7417836282800137E-2</v>
      </c>
      <c r="F69" s="323"/>
      <c r="G69" s="324">
        <v>2.2460984615998045</v>
      </c>
      <c r="H69" s="256">
        <v>1.7417836282800137E-2</v>
      </c>
      <c r="I69" s="228"/>
      <c r="J69" s="228">
        <v>1.7417836282800137E-2</v>
      </c>
      <c r="K69" s="228">
        <v>1.7417836282800137E-2</v>
      </c>
      <c r="L69" s="235">
        <v>7.0080742710221662</v>
      </c>
      <c r="M69" s="362"/>
      <c r="N69" s="214"/>
      <c r="O69" s="252"/>
      <c r="P69" s="252"/>
      <c r="Q69" s="214"/>
      <c r="R69" s="252"/>
      <c r="S69" s="252"/>
    </row>
    <row r="70" spans="1:19" ht="13" x14ac:dyDescent="0.3">
      <c r="A70" s="340"/>
      <c r="B70" s="341"/>
      <c r="C70" s="342" t="s">
        <v>301</v>
      </c>
      <c r="D70" s="266" t="s">
        <v>220</v>
      </c>
      <c r="E70" s="267">
        <v>0.11</v>
      </c>
      <c r="F70" s="267">
        <f>+$B$60</f>
        <v>0.83402922755741127</v>
      </c>
      <c r="G70" s="267">
        <f>+E70*F70*G69+G69</f>
        <v>2.4521627557438617</v>
      </c>
      <c r="H70" s="343">
        <f t="shared" ref="H70:H76" si="0">+G70/G69-1</f>
        <v>9.1743215031315106E-2</v>
      </c>
      <c r="I70" s="267"/>
      <c r="J70" s="267">
        <f>+H70</f>
        <v>9.1743215031315106E-2</v>
      </c>
      <c r="K70" s="267">
        <f t="shared" ref="K70:K81" si="1">+J70</f>
        <v>9.1743215031315106E-2</v>
      </c>
      <c r="L70" s="344">
        <f t="shared" ref="L70:L81" si="2">+K70*L69+L69</f>
        <v>7.6510175358239794</v>
      </c>
      <c r="M70" s="363">
        <f>+L81/L69-1</f>
        <v>2.8749999999999978</v>
      </c>
      <c r="O70" s="252"/>
      <c r="S70" s="252"/>
    </row>
    <row r="71" spans="1:19" ht="13" x14ac:dyDescent="0.3">
      <c r="A71" s="282"/>
      <c r="C71" s="345" t="s">
        <v>301</v>
      </c>
      <c r="D71" s="226" t="s">
        <v>267</v>
      </c>
      <c r="E71" s="228">
        <f>12%+2%</f>
        <v>0.13999999999999999</v>
      </c>
      <c r="F71" s="262">
        <f>+$B$60</f>
        <v>0.83402922755741127</v>
      </c>
      <c r="G71" s="228">
        <f>+E71*F71*G69+G70</f>
        <v>2.7144264028362981</v>
      </c>
      <c r="H71" s="256">
        <f t="shared" si="0"/>
        <v>0.1069519739169511</v>
      </c>
      <c r="I71" s="228"/>
      <c r="J71" s="228">
        <f>+H71</f>
        <v>0.1069519739169511</v>
      </c>
      <c r="K71" s="228">
        <f t="shared" si="1"/>
        <v>0.1069519739169511</v>
      </c>
      <c r="L71" s="235">
        <f t="shared" si="2"/>
        <v>8.4693089637535603</v>
      </c>
      <c r="M71" s="364"/>
    </row>
    <row r="72" spans="1:19" ht="13" x14ac:dyDescent="0.3">
      <c r="A72" s="283">
        <f>+E71+E70</f>
        <v>0.25</v>
      </c>
      <c r="B72" s="284">
        <v>0.1</v>
      </c>
      <c r="C72" s="274" t="s">
        <v>302</v>
      </c>
      <c r="D72" s="275" t="s">
        <v>268</v>
      </c>
      <c r="E72" s="276">
        <f>+A72+B72</f>
        <v>0.35</v>
      </c>
      <c r="F72" s="277">
        <f t="shared" ref="F72:F77" si="3">+$B$60</f>
        <v>0.83402922755741127</v>
      </c>
      <c r="G72" s="276">
        <f>+A72*G69+G69+B72*F72*G69</f>
        <v>2.994954253494353</v>
      </c>
      <c r="H72" s="278">
        <f t="shared" si="0"/>
        <v>0.10334700928525153</v>
      </c>
      <c r="I72" s="276"/>
      <c r="J72" s="276">
        <f>+H72</f>
        <v>0.10334700928525153</v>
      </c>
      <c r="K72" s="276">
        <f t="shared" si="1"/>
        <v>0.10334700928525153</v>
      </c>
      <c r="L72" s="235">
        <f t="shared" si="2"/>
        <v>9.344586715870264</v>
      </c>
      <c r="M72" s="364"/>
    </row>
    <row r="73" spans="1:19" ht="13" x14ac:dyDescent="0.3">
      <c r="A73" s="282"/>
      <c r="C73" s="274" t="s">
        <v>303</v>
      </c>
      <c r="D73" s="275" t="s">
        <v>269</v>
      </c>
      <c r="E73" s="276">
        <v>0.1</v>
      </c>
      <c r="F73" s="277">
        <f t="shared" si="3"/>
        <v>0.83402922755741127</v>
      </c>
      <c r="G73" s="276">
        <f>+E73*F73*$G$69+G72</f>
        <v>3.1822854299889505</v>
      </c>
      <c r="H73" s="278">
        <f t="shared" si="0"/>
        <v>6.2548927509002761E-2</v>
      </c>
      <c r="I73" s="276"/>
      <c r="J73" s="276">
        <f t="shared" ref="J73:J81" si="4">+H73</f>
        <v>6.2548927509002761E-2</v>
      </c>
      <c r="K73" s="276">
        <f t="shared" si="1"/>
        <v>6.2548927509002761E-2</v>
      </c>
      <c r="L73" s="235">
        <f t="shared" si="2"/>
        <v>9.9290805929628227</v>
      </c>
      <c r="M73" s="364"/>
    </row>
    <row r="74" spans="1:19" ht="13" x14ac:dyDescent="0.3">
      <c r="A74" s="282"/>
      <c r="C74" s="274" t="s">
        <v>303</v>
      </c>
      <c r="D74" s="275" t="s">
        <v>270</v>
      </c>
      <c r="E74" s="276">
        <v>7.4999999999999997E-2</v>
      </c>
      <c r="F74" s="277">
        <f t="shared" si="3"/>
        <v>0.83402922755741127</v>
      </c>
      <c r="G74" s="276">
        <f>+E74*F74*$G$69+G73</f>
        <v>3.3227838123598987</v>
      </c>
      <c r="H74" s="278">
        <f t="shared" si="0"/>
        <v>4.4150151035143415E-2</v>
      </c>
      <c r="I74" s="276"/>
      <c r="J74" s="276">
        <f t="shared" si="4"/>
        <v>4.4150151035143415E-2</v>
      </c>
      <c r="K74" s="276">
        <f t="shared" si="1"/>
        <v>4.4150151035143415E-2</v>
      </c>
      <c r="L74" s="235">
        <f t="shared" si="2"/>
        <v>10.367451000782243</v>
      </c>
      <c r="M74" s="364"/>
    </row>
    <row r="75" spans="1:19" ht="13" x14ac:dyDescent="0.3">
      <c r="A75" s="286">
        <f>+B72+E73+E74+A72</f>
        <v>0.52500000000000002</v>
      </c>
      <c r="B75" s="284">
        <v>0.15</v>
      </c>
      <c r="C75" s="274" t="s">
        <v>311</v>
      </c>
      <c r="D75" s="275" t="s">
        <v>271</v>
      </c>
      <c r="E75" s="276">
        <f>+B72+E73+E74</f>
        <v>0.27500000000000002</v>
      </c>
      <c r="F75" s="277">
        <f t="shared" si="3"/>
        <v>0.83402922755741127</v>
      </c>
      <c r="G75" s="276">
        <f>+A75*G69+G69+B75*F75*G69</f>
        <v>3.7062969186815979</v>
      </c>
      <c r="H75" s="278">
        <f t="shared" si="0"/>
        <v>0.11541921713207137</v>
      </c>
      <c r="I75" s="276"/>
      <c r="J75" s="276">
        <f t="shared" si="4"/>
        <v>0.11541921713207137</v>
      </c>
      <c r="K75" s="276">
        <f t="shared" si="1"/>
        <v>0.11541921713207137</v>
      </c>
      <c r="L75" s="235">
        <f t="shared" si="2"/>
        <v>11.564054078947638</v>
      </c>
      <c r="M75" s="364"/>
    </row>
    <row r="76" spans="1:19" ht="13" x14ac:dyDescent="0.3">
      <c r="A76" s="282"/>
      <c r="B76" s="326">
        <v>0.13100000000000001</v>
      </c>
      <c r="C76" s="274" t="s">
        <v>333</v>
      </c>
      <c r="D76" s="275" t="s">
        <v>272</v>
      </c>
      <c r="E76" s="276">
        <v>0.1</v>
      </c>
      <c r="F76" s="277">
        <f t="shared" si="3"/>
        <v>0.83402922755741127</v>
      </c>
      <c r="G76" s="276">
        <f>+(E76+B76)*F76*$G$69+G75</f>
        <v>4.1390319363841179</v>
      </c>
      <c r="H76" s="278">
        <f t="shared" si="0"/>
        <v>0.11675670546558692</v>
      </c>
      <c r="I76" s="276"/>
      <c r="J76" s="276">
        <f t="shared" si="4"/>
        <v>0.11675670546558692</v>
      </c>
      <c r="K76" s="276">
        <f t="shared" si="1"/>
        <v>0.11675670546558692</v>
      </c>
      <c r="L76" s="235">
        <f t="shared" si="2"/>
        <v>12.914234935031446</v>
      </c>
      <c r="M76" s="364"/>
    </row>
    <row r="77" spans="1:19" ht="13" x14ac:dyDescent="0.3">
      <c r="A77" s="282"/>
      <c r="C77" s="274" t="s">
        <v>333</v>
      </c>
      <c r="D77" s="275" t="s">
        <v>273</v>
      </c>
      <c r="E77" s="276">
        <v>0.17499999999999999</v>
      </c>
      <c r="F77" s="277">
        <f t="shared" si="3"/>
        <v>0.83402922755741127</v>
      </c>
      <c r="G77" s="276">
        <f>+E77*F77*$G$69+G76</f>
        <v>4.4668614952496632</v>
      </c>
      <c r="H77" s="278">
        <f>+G77/G76-1</f>
        <v>7.920440429168063E-2</v>
      </c>
      <c r="I77" s="276"/>
      <c r="J77" s="276">
        <f t="shared" si="4"/>
        <v>7.920440429168063E-2</v>
      </c>
      <c r="K77" s="276">
        <f t="shared" si="1"/>
        <v>7.920440429168063E-2</v>
      </c>
      <c r="L77" s="235">
        <f t="shared" si="2"/>
        <v>13.937099219943423</v>
      </c>
      <c r="M77" s="364"/>
    </row>
    <row r="78" spans="1:19" ht="13" x14ac:dyDescent="0.3">
      <c r="A78" s="325">
        <f>+A75+B75+B76+E76+E77</f>
        <v>1.081</v>
      </c>
      <c r="B78" s="326">
        <v>0.47599999999999998</v>
      </c>
      <c r="C78" s="274" t="s">
        <v>340</v>
      </c>
      <c r="D78" s="275" t="s">
        <v>304</v>
      </c>
      <c r="E78" s="276">
        <f>+E76+E77</f>
        <v>0.27500000000000002</v>
      </c>
      <c r="F78" s="276"/>
      <c r="G78" s="276">
        <f>+($A$78)*$G$69+$G$69+B78*F77*G69</f>
        <v>5.5658272987034767</v>
      </c>
      <c r="H78" s="278">
        <f t="shared" ref="H78:H81" si="5">+G78/G77-1</f>
        <v>0.2460263889136749</v>
      </c>
      <c r="I78" s="276"/>
      <c r="J78" s="276">
        <f t="shared" si="4"/>
        <v>0.2460263889136749</v>
      </c>
      <c r="K78" s="276">
        <f t="shared" si="1"/>
        <v>0.2460263889136749</v>
      </c>
      <c r="L78" s="235">
        <f t="shared" si="2"/>
        <v>17.3659934129577</v>
      </c>
      <c r="M78" s="364"/>
    </row>
    <row r="79" spans="1:19" ht="13" x14ac:dyDescent="0.3">
      <c r="A79" s="325">
        <f>+A78+B78</f>
        <v>1.5569999999999999</v>
      </c>
      <c r="B79" s="326">
        <f>+E79</f>
        <v>0.52700000000000002</v>
      </c>
      <c r="C79" s="274" t="s">
        <v>344</v>
      </c>
      <c r="D79" s="275" t="s">
        <v>305</v>
      </c>
      <c r="E79" s="276">
        <v>0.52700000000000002</v>
      </c>
      <c r="F79" s="277">
        <f>+$B$60</f>
        <v>0.83402922755741127</v>
      </c>
      <c r="G79" s="276">
        <f>+E79*F79*$G$69+G78</f>
        <v>6.5530625988300057</v>
      </c>
      <c r="H79" s="278">
        <f t="shared" si="5"/>
        <v>0.17737440404528892</v>
      </c>
      <c r="I79" s="276"/>
      <c r="J79" s="276">
        <f t="shared" si="4"/>
        <v>0.17737440404528892</v>
      </c>
      <c r="K79" s="276">
        <f t="shared" si="1"/>
        <v>0.17737440404528892</v>
      </c>
      <c r="L79" s="235">
        <f t="shared" si="2"/>
        <v>20.446276145235483</v>
      </c>
      <c r="M79" s="364"/>
    </row>
    <row r="80" spans="1:19" ht="13" x14ac:dyDescent="0.3">
      <c r="A80" s="325">
        <f>+A79+B79</f>
        <v>2.0840000000000001</v>
      </c>
      <c r="B80" s="326">
        <v>0.1</v>
      </c>
      <c r="C80" s="274" t="s">
        <v>344</v>
      </c>
      <c r="D80" s="275" t="s">
        <v>306</v>
      </c>
      <c r="E80" s="276">
        <v>0.1</v>
      </c>
      <c r="F80" s="277">
        <f>+$B$60</f>
        <v>0.83402922755741127</v>
      </c>
      <c r="G80" s="276">
        <f>+E80*F80*$G$69+G79</f>
        <v>6.7403937753246028</v>
      </c>
      <c r="H80" s="278">
        <f t="shared" si="5"/>
        <v>2.8586813214334761E-2</v>
      </c>
      <c r="I80" s="276"/>
      <c r="J80" s="276">
        <f t="shared" si="4"/>
        <v>2.8586813214334761E-2</v>
      </c>
      <c r="K80" s="276">
        <f t="shared" si="1"/>
        <v>2.8586813214334761E-2</v>
      </c>
      <c r="L80" s="235">
        <f t="shared" si="2"/>
        <v>21.030770022328038</v>
      </c>
      <c r="M80" s="364"/>
    </row>
    <row r="81" spans="1:14" ht="13.5" thickBot="1" x14ac:dyDescent="0.35">
      <c r="A81" s="327">
        <f>+A80+B80</f>
        <v>2.1840000000000002</v>
      </c>
      <c r="B81" s="285"/>
      <c r="C81" s="279" t="s">
        <v>343</v>
      </c>
      <c r="D81" s="280" t="s">
        <v>307</v>
      </c>
      <c r="E81" s="281">
        <f>69.1%</f>
        <v>0.69099999999999995</v>
      </c>
      <c r="F81" s="281"/>
      <c r="G81" s="281">
        <f>+($A$81+$E$81)*$G$69+$G$69</f>
        <v>8.7036315386992413</v>
      </c>
      <c r="H81" s="281">
        <f t="shared" si="5"/>
        <v>0.29126455053141065</v>
      </c>
      <c r="I81" s="281"/>
      <c r="J81" s="281">
        <f t="shared" si="4"/>
        <v>0.29126455053141065</v>
      </c>
      <c r="K81" s="281">
        <f t="shared" si="1"/>
        <v>0.29126455053141065</v>
      </c>
      <c r="L81" s="273">
        <f t="shared" si="2"/>
        <v>27.15628780021088</v>
      </c>
      <c r="M81" s="365"/>
      <c r="N81" s="251">
        <f>+L81/L73-1</f>
        <v>1.7350254181094811</v>
      </c>
    </row>
    <row r="82" spans="1:14" ht="13" customHeight="1" x14ac:dyDescent="0.3">
      <c r="C82" s="260"/>
      <c r="D82" s="261" t="s">
        <v>312</v>
      </c>
      <c r="E82" s="262"/>
      <c r="F82" s="262"/>
      <c r="G82" s="346"/>
      <c r="H82" s="347"/>
      <c r="I82" s="262"/>
      <c r="J82" s="262"/>
      <c r="K82" s="262"/>
      <c r="L82" s="348"/>
    </row>
    <row r="83" spans="1:14" ht="13" customHeight="1" x14ac:dyDescent="0.3">
      <c r="C83" s="233"/>
      <c r="D83" s="226" t="s">
        <v>313</v>
      </c>
      <c r="E83" s="228"/>
      <c r="F83" s="228"/>
      <c r="G83" s="270"/>
      <c r="H83" s="256"/>
      <c r="I83" s="228"/>
      <c r="J83" s="228"/>
      <c r="K83" s="228"/>
      <c r="L83" s="235"/>
    </row>
    <row r="84" spans="1:14" ht="13" customHeight="1" x14ac:dyDescent="0.3">
      <c r="C84" s="233"/>
      <c r="D84" s="226" t="s">
        <v>314</v>
      </c>
      <c r="E84" s="228"/>
      <c r="F84" s="228"/>
      <c r="G84" s="270">
        <f>+G78/G66</f>
        <v>2.8431223893131241</v>
      </c>
      <c r="H84" s="256"/>
      <c r="I84" s="228"/>
      <c r="J84" s="228"/>
      <c r="K84" s="228"/>
      <c r="L84" s="235"/>
    </row>
    <row r="85" spans="1:14" ht="13" customHeight="1" x14ac:dyDescent="0.3">
      <c r="C85" s="233"/>
      <c r="D85" s="226" t="s">
        <v>315</v>
      </c>
      <c r="E85" s="228"/>
      <c r="F85" s="228"/>
      <c r="G85" s="270"/>
      <c r="H85" s="256"/>
      <c r="I85" s="228"/>
      <c r="J85" s="228"/>
      <c r="K85" s="228"/>
      <c r="L85" s="235"/>
    </row>
    <row r="86" spans="1:14" ht="13" customHeight="1" x14ac:dyDescent="0.3">
      <c r="C86" s="233"/>
      <c r="D86" s="226" t="s">
        <v>316</v>
      </c>
      <c r="E86" s="228"/>
      <c r="F86" s="228"/>
      <c r="G86" s="270"/>
      <c r="H86" s="256"/>
      <c r="I86" s="228"/>
      <c r="J86" s="228"/>
      <c r="K86" s="228"/>
      <c r="L86" s="235"/>
    </row>
    <row r="87" spans="1:14" ht="13" customHeight="1" x14ac:dyDescent="0.3">
      <c r="C87" s="233"/>
      <c r="D87" s="226" t="s">
        <v>317</v>
      </c>
      <c r="E87" s="228"/>
      <c r="F87" s="228"/>
      <c r="G87" s="270"/>
      <c r="H87" s="256"/>
      <c r="I87" s="228"/>
      <c r="J87" s="228"/>
      <c r="K87" s="228"/>
      <c r="L87" s="235"/>
    </row>
    <row r="88" spans="1:14" ht="13" customHeight="1" x14ac:dyDescent="0.3">
      <c r="C88" s="233"/>
      <c r="D88" s="226" t="s">
        <v>318</v>
      </c>
      <c r="E88" s="228"/>
      <c r="F88" s="228"/>
      <c r="G88" s="270"/>
      <c r="H88" s="256"/>
      <c r="I88" s="228"/>
      <c r="J88" s="228"/>
      <c r="K88" s="228"/>
      <c r="L88" s="235"/>
    </row>
    <row r="89" spans="1:14" ht="13" customHeight="1" x14ac:dyDescent="0.3">
      <c r="C89" s="233"/>
      <c r="D89" s="226" t="s">
        <v>319</v>
      </c>
      <c r="E89" s="228"/>
      <c r="F89" s="228"/>
      <c r="G89" s="270"/>
      <c r="H89" s="256"/>
      <c r="I89" s="228"/>
      <c r="J89" s="228"/>
      <c r="K89" s="228"/>
      <c r="L89" s="235"/>
    </row>
  </sheetData>
  <mergeCells count="5">
    <mergeCell ref="M20:M37"/>
    <mergeCell ref="M57:M69"/>
    <mergeCell ref="M38:M51"/>
    <mergeCell ref="M52:M56"/>
    <mergeCell ref="M70:M8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6926-E5EC-47D0-B99F-2E035D5879EC}">
  <dimension ref="A1:Z39"/>
  <sheetViews>
    <sheetView topLeftCell="A7" workbookViewId="0">
      <selection activeCell="D24" sqref="D24"/>
    </sheetView>
  </sheetViews>
  <sheetFormatPr baseColWidth="10" defaultColWidth="10.81640625" defaultRowHeight="14.5" x14ac:dyDescent="0.35"/>
  <cols>
    <col min="1" max="25" width="10.81640625" style="155"/>
    <col min="26" max="26" width="12.26953125" style="155" bestFit="1" customWidth="1"/>
    <col min="27" max="16384" width="10.81640625" style="155"/>
  </cols>
  <sheetData>
    <row r="1" spans="2:20" x14ac:dyDescent="0.35">
      <c r="B1" s="155" t="s">
        <v>292</v>
      </c>
      <c r="C1" s="155" t="s">
        <v>39</v>
      </c>
      <c r="D1" s="155" t="s">
        <v>293</v>
      </c>
      <c r="G1" s="155" t="s">
        <v>320</v>
      </c>
      <c r="H1" s="155" t="s">
        <v>39</v>
      </c>
      <c r="I1" s="155" t="s">
        <v>293</v>
      </c>
    </row>
    <row r="2" spans="2:20" x14ac:dyDescent="0.35">
      <c r="B2" s="155" t="s">
        <v>294</v>
      </c>
      <c r="C2" s="108">
        <v>1</v>
      </c>
      <c r="G2" s="155" t="s">
        <v>294</v>
      </c>
      <c r="H2" s="108">
        <v>1</v>
      </c>
      <c r="L2" s="156"/>
      <c r="M2" s="132">
        <v>43160</v>
      </c>
      <c r="N2" s="132">
        <v>43191</v>
      </c>
      <c r="O2" s="132">
        <v>43282</v>
      </c>
      <c r="P2" s="132">
        <v>43374</v>
      </c>
      <c r="Q2" s="132">
        <v>43405</v>
      </c>
      <c r="R2" s="132">
        <v>43497</v>
      </c>
      <c r="S2" s="132">
        <v>43525</v>
      </c>
      <c r="T2" s="133" t="s">
        <v>36</v>
      </c>
    </row>
    <row r="3" spans="2:20" x14ac:dyDescent="0.35">
      <c r="B3" s="134">
        <v>43525</v>
      </c>
      <c r="C3" s="109">
        <v>1</v>
      </c>
      <c r="D3" s="155">
        <v>100</v>
      </c>
      <c r="G3" s="134">
        <v>43525</v>
      </c>
      <c r="H3" s="108">
        <f>+S5</f>
        <v>0.10499999999999998</v>
      </c>
      <c r="I3" s="135">
        <f>+H2*H3+H2</f>
        <v>1.105</v>
      </c>
      <c r="J3" s="155" t="s">
        <v>187</v>
      </c>
      <c r="L3" s="157" t="s">
        <v>321</v>
      </c>
      <c r="M3" s="136">
        <v>1</v>
      </c>
      <c r="N3" s="136">
        <v>7.4999999999999997E-2</v>
      </c>
      <c r="O3" s="136">
        <v>0.05</v>
      </c>
      <c r="P3" s="136">
        <v>7.4999999999999997E-2</v>
      </c>
      <c r="Q3" s="136">
        <v>0.1</v>
      </c>
      <c r="R3" s="136">
        <v>0.1</v>
      </c>
      <c r="S3" s="136">
        <v>0.14699999999999999</v>
      </c>
      <c r="T3" s="158">
        <f>SUM(M3:S3)</f>
        <v>1.5470000000000002</v>
      </c>
    </row>
    <row r="4" spans="2:20" x14ac:dyDescent="0.35">
      <c r="B4" s="134">
        <v>43586</v>
      </c>
      <c r="C4" s="108">
        <v>5.2499999999999998E-2</v>
      </c>
      <c r="D4" s="155">
        <f>+D3*(1+C4)</f>
        <v>105.25</v>
      </c>
      <c r="G4" s="134">
        <v>43617</v>
      </c>
      <c r="H4" s="108">
        <v>0.1</v>
      </c>
      <c r="I4" s="135">
        <f>+H4*I3+I3</f>
        <v>1.2155</v>
      </c>
      <c r="J4" s="155" t="s">
        <v>187</v>
      </c>
      <c r="K4" s="108"/>
      <c r="L4" s="156"/>
      <c r="M4" s="136">
        <f>+M3</f>
        <v>1</v>
      </c>
      <c r="N4" s="136">
        <f>+N3+M3</f>
        <v>1.075</v>
      </c>
      <c r="O4" s="136">
        <f>+O3+N4</f>
        <v>1.125</v>
      </c>
      <c r="P4" s="136">
        <f>+P3+O4</f>
        <v>1.2</v>
      </c>
      <c r="Q4" s="136">
        <f>+Q3+P4</f>
        <v>1.3</v>
      </c>
      <c r="R4" s="136">
        <f>+R3+Q4</f>
        <v>1.4000000000000001</v>
      </c>
      <c r="S4" s="136">
        <f>+S3+R4</f>
        <v>1.5470000000000002</v>
      </c>
      <c r="T4" s="158"/>
    </row>
    <row r="5" spans="2:20" x14ac:dyDescent="0.35">
      <c r="B5" s="134">
        <v>43647</v>
      </c>
      <c r="C5" s="108">
        <v>0.115</v>
      </c>
      <c r="D5" s="155">
        <f>+D4*(1+C5)</f>
        <v>117.35375000000001</v>
      </c>
      <c r="G5" s="134">
        <v>43739</v>
      </c>
      <c r="H5" s="108">
        <f>9%+4.2%</f>
        <v>0.13200000000000001</v>
      </c>
      <c r="I5" s="135">
        <f>+I3*(1+H4+H5)</f>
        <v>1.3613600000000001</v>
      </c>
      <c r="J5" s="155" t="s">
        <v>187</v>
      </c>
      <c r="L5" s="157" t="s">
        <v>322</v>
      </c>
      <c r="M5" s="136"/>
      <c r="N5" s="136">
        <f t="shared" ref="N5:S5" si="0">+N4/M4-1</f>
        <v>7.4999999999999956E-2</v>
      </c>
      <c r="O5" s="136">
        <f t="shared" si="0"/>
        <v>4.6511627906976827E-2</v>
      </c>
      <c r="P5" s="136">
        <f t="shared" si="0"/>
        <v>6.6666666666666652E-2</v>
      </c>
      <c r="Q5" s="136">
        <f t="shared" si="0"/>
        <v>8.3333333333333481E-2</v>
      </c>
      <c r="R5" s="136">
        <f t="shared" si="0"/>
        <v>7.6923076923077094E-2</v>
      </c>
      <c r="S5" s="136">
        <f t="shared" si="0"/>
        <v>0.10499999999999998</v>
      </c>
      <c r="T5" s="158"/>
    </row>
    <row r="6" spans="2:20" x14ac:dyDescent="0.35">
      <c r="B6" s="134">
        <v>43739</v>
      </c>
      <c r="C6" s="108">
        <v>0.115</v>
      </c>
      <c r="D6" s="155">
        <f>+D4*(1+C5+C6)</f>
        <v>129.45750000000001</v>
      </c>
      <c r="G6" s="134">
        <v>43862</v>
      </c>
      <c r="H6" s="137">
        <v>0.09</v>
      </c>
      <c r="I6" s="135">
        <f>+I3*(1+H4+H5+H6)</f>
        <v>1.4608100000000004</v>
      </c>
      <c r="J6" s="155" t="s">
        <v>187</v>
      </c>
    </row>
    <row r="7" spans="2:20" x14ac:dyDescent="0.35">
      <c r="B7" s="134">
        <v>43862</v>
      </c>
      <c r="C7" s="108">
        <v>0.16500000000000001</v>
      </c>
      <c r="D7" s="155">
        <f>+D5*(1+C6+C7)</f>
        <v>150.21280000000002</v>
      </c>
      <c r="G7" s="134">
        <v>44075</v>
      </c>
      <c r="H7" s="108">
        <v>0.16200000000000001</v>
      </c>
      <c r="I7" s="135">
        <f>+I3*(1+H4+H5+H6+H7)</f>
        <v>1.6398200000000003</v>
      </c>
      <c r="L7" s="132">
        <v>44228</v>
      </c>
      <c r="M7" s="132" t="s">
        <v>323</v>
      </c>
      <c r="N7" s="132">
        <v>44287</v>
      </c>
      <c r="O7" s="132">
        <v>44348</v>
      </c>
      <c r="P7" s="132">
        <v>44409</v>
      </c>
      <c r="Q7" s="132">
        <v>44470</v>
      </c>
      <c r="R7" s="133" t="s">
        <v>36</v>
      </c>
      <c r="S7" s="155">
        <v>100</v>
      </c>
    </row>
    <row r="8" spans="2:20" x14ac:dyDescent="0.35">
      <c r="B8" s="134">
        <v>43922</v>
      </c>
      <c r="C8" s="108">
        <v>0.1</v>
      </c>
      <c r="D8" s="155">
        <f>+D5*(1+C6+C7+C8)</f>
        <v>161.94817500000002</v>
      </c>
      <c r="G8" s="134">
        <v>44256</v>
      </c>
      <c r="H8" s="108">
        <v>0.1</v>
      </c>
      <c r="I8" s="135">
        <f t="shared" ref="I8:I14" si="1">+H8*I7+I7</f>
        <v>1.8038020000000003</v>
      </c>
      <c r="J8" s="155">
        <v>100</v>
      </c>
      <c r="L8" s="136">
        <v>1</v>
      </c>
      <c r="M8" s="136">
        <v>0.1</v>
      </c>
      <c r="N8" s="136">
        <v>0.05</v>
      </c>
      <c r="O8" s="136">
        <v>0.15</v>
      </c>
      <c r="P8" s="136">
        <v>7.4999999999999997E-2</v>
      </c>
      <c r="Q8" s="136">
        <v>7.4999999999999997E-2</v>
      </c>
      <c r="R8" s="158">
        <v>1.5249999999999999</v>
      </c>
    </row>
    <row r="9" spans="2:20" x14ac:dyDescent="0.35">
      <c r="B9" s="134">
        <v>44044</v>
      </c>
      <c r="C9" s="108">
        <v>0.08</v>
      </c>
      <c r="D9" s="155">
        <f>+D8*C9+D8</f>
        <v>174.90402900000004</v>
      </c>
      <c r="G9" s="134">
        <v>44287</v>
      </c>
      <c r="H9" s="108">
        <v>0.05</v>
      </c>
      <c r="I9" s="135">
        <f t="shared" si="1"/>
        <v>1.8939921000000004</v>
      </c>
      <c r="J9" s="155">
        <v>15</v>
      </c>
      <c r="L9" s="136">
        <v>1</v>
      </c>
      <c r="M9" s="136">
        <v>1.1000000000000001</v>
      </c>
      <c r="N9" s="136">
        <v>1.1500000000000001</v>
      </c>
      <c r="O9" s="136">
        <v>1.3</v>
      </c>
      <c r="P9" s="136">
        <v>1.375</v>
      </c>
      <c r="Q9" s="136">
        <v>1.45</v>
      </c>
      <c r="R9" s="158"/>
    </row>
    <row r="10" spans="2:20" x14ac:dyDescent="0.35">
      <c r="B10" s="134">
        <v>44105</v>
      </c>
      <c r="C10" s="108">
        <v>7.0000000000000007E-2</v>
      </c>
      <c r="D10" s="155">
        <f>+D8*(1+C9+C10)</f>
        <v>186.24040125000005</v>
      </c>
      <c r="G10" s="134">
        <v>44348</v>
      </c>
      <c r="H10" s="108">
        <v>0.10300000000000001</v>
      </c>
      <c r="I10" s="135">
        <f>+H10*I9+I9</f>
        <v>2.0890732863000006</v>
      </c>
      <c r="J10" s="155">
        <v>13.5</v>
      </c>
      <c r="L10" s="136"/>
      <c r="M10" s="136">
        <v>0.10000000000000009</v>
      </c>
      <c r="N10" s="136">
        <v>4.5454545454545414E-2</v>
      </c>
      <c r="O10" s="136">
        <v>0.13043478260869557</v>
      </c>
      <c r="P10" s="136">
        <v>5.7692307692307709E-2</v>
      </c>
      <c r="Q10" s="136">
        <v>5.4545454545454453E-2</v>
      </c>
      <c r="R10" s="158"/>
    </row>
    <row r="11" spans="2:20" x14ac:dyDescent="0.35">
      <c r="B11" s="134">
        <v>44228</v>
      </c>
      <c r="C11" s="137">
        <v>0.08</v>
      </c>
      <c r="D11" s="155">
        <f>+D8*(1+C9+C10+C11)</f>
        <v>199.19625525000006</v>
      </c>
      <c r="E11" s="155">
        <f>+D11/D10</f>
        <v>1.0695652173913044</v>
      </c>
      <c r="G11" s="134">
        <v>44409</v>
      </c>
      <c r="H11" s="108">
        <v>5.7700000000000001E-2</v>
      </c>
      <c r="I11" s="135">
        <f t="shared" si="1"/>
        <v>2.2096128149195104</v>
      </c>
      <c r="J11" s="155">
        <f>+J8+J9+J10</f>
        <v>128.5</v>
      </c>
    </row>
    <row r="12" spans="2:20" x14ac:dyDescent="0.35">
      <c r="B12" s="134">
        <v>44287</v>
      </c>
      <c r="C12" s="108">
        <v>7.0000000000000007E-2</v>
      </c>
      <c r="D12" s="155">
        <f>+D8*(1+C9+C10+C11+C12)</f>
        <v>210.53262750000007</v>
      </c>
      <c r="E12" s="155">
        <f>+D12/D11</f>
        <v>1.056910569105691</v>
      </c>
      <c r="G12" s="134">
        <v>44470</v>
      </c>
      <c r="H12" s="108">
        <v>5.45E-2</v>
      </c>
      <c r="I12" s="135">
        <f t="shared" si="1"/>
        <v>2.3300367133326239</v>
      </c>
      <c r="L12" s="132">
        <v>44501</v>
      </c>
      <c r="M12" s="132">
        <v>44562</v>
      </c>
      <c r="N12" s="132" t="s">
        <v>186</v>
      </c>
      <c r="O12" s="132">
        <v>44621</v>
      </c>
      <c r="P12" s="133" t="s">
        <v>36</v>
      </c>
    </row>
    <row r="13" spans="2:20" x14ac:dyDescent="0.35">
      <c r="B13" s="134">
        <v>44378</v>
      </c>
      <c r="C13" s="137">
        <v>0.2</v>
      </c>
      <c r="D13" s="155">
        <f>+D12*C13+D12</f>
        <v>252.63915300000008</v>
      </c>
      <c r="G13" s="134">
        <v>44562</v>
      </c>
      <c r="H13" s="135">
        <f>+M15</f>
        <v>0.14999999999999991</v>
      </c>
      <c r="I13" s="135">
        <f t="shared" si="1"/>
        <v>2.6795422203325172</v>
      </c>
      <c r="L13" s="136">
        <v>1</v>
      </c>
      <c r="M13" s="136">
        <v>0.15</v>
      </c>
      <c r="N13" s="136">
        <v>0.2</v>
      </c>
      <c r="O13" s="136">
        <v>0.1</v>
      </c>
      <c r="P13" s="158">
        <f>SUM(L13:O13)</f>
        <v>1.45</v>
      </c>
    </row>
    <row r="14" spans="2:20" x14ac:dyDescent="0.35">
      <c r="B14" s="134">
        <v>44501</v>
      </c>
      <c r="C14" s="108">
        <v>0.125</v>
      </c>
      <c r="D14" s="155">
        <f>+C14*D12+D13</f>
        <v>278.95573143750011</v>
      </c>
      <c r="E14" s="138"/>
      <c r="G14" s="134">
        <v>44621</v>
      </c>
      <c r="H14" s="135">
        <f>+N15</f>
        <v>0.17391304347826075</v>
      </c>
      <c r="I14" s="135">
        <f t="shared" si="1"/>
        <v>3.1455495629990415</v>
      </c>
      <c r="J14" s="137">
        <v>0.2</v>
      </c>
      <c r="L14" s="136">
        <f>+L13</f>
        <v>1</v>
      </c>
      <c r="M14" s="136">
        <f t="shared" ref="M14" si="2">+M13+L14</f>
        <v>1.1499999999999999</v>
      </c>
      <c r="N14" s="136">
        <f>+N13+M14</f>
        <v>1.3499999999999999</v>
      </c>
      <c r="O14" s="136">
        <f t="shared" ref="O14" si="3">+O13+N14</f>
        <v>1.45</v>
      </c>
      <c r="P14" s="158"/>
    </row>
    <row r="15" spans="2:20" x14ac:dyDescent="0.35">
      <c r="B15" s="134">
        <v>44621</v>
      </c>
      <c r="C15" s="108">
        <v>0.125</v>
      </c>
      <c r="D15" s="155">
        <f>+C15*D12+D14</f>
        <v>305.27230987500013</v>
      </c>
      <c r="F15" s="139">
        <f>+D15/D14</f>
        <v>1.0943396226415094</v>
      </c>
      <c r="G15" s="134">
        <v>44621</v>
      </c>
      <c r="H15" s="135">
        <f>+O15</f>
        <v>7.4074074074074181E-2</v>
      </c>
      <c r="I15" s="135">
        <f>+H15*I14+I14</f>
        <v>3.3785532343323044</v>
      </c>
      <c r="K15" s="106"/>
      <c r="L15" s="136"/>
      <c r="M15" s="136">
        <f t="shared" ref="M15:O15" si="4">+M14/L14-1</f>
        <v>0.14999999999999991</v>
      </c>
      <c r="N15" s="136">
        <f t="shared" si="4"/>
        <v>0.17391304347826075</v>
      </c>
      <c r="O15" s="136">
        <f t="shared" si="4"/>
        <v>7.4074074074074181E-2</v>
      </c>
      <c r="P15" s="158"/>
    </row>
    <row r="16" spans="2:20" x14ac:dyDescent="0.35">
      <c r="B16" s="140">
        <v>44682</v>
      </c>
      <c r="C16" s="141">
        <f>+M24</f>
        <v>0.15</v>
      </c>
      <c r="D16" s="142">
        <f>+C16*D15+D15</f>
        <v>351.06315635625015</v>
      </c>
      <c r="G16" s="140">
        <v>44682</v>
      </c>
      <c r="H16" s="141">
        <f>+N19</f>
        <v>0.1</v>
      </c>
      <c r="I16" s="141">
        <f>+H16*I15+I15</f>
        <v>3.7164085577655346</v>
      </c>
    </row>
    <row r="17" spans="1:26" x14ac:dyDescent="0.35">
      <c r="B17" s="134">
        <v>44805</v>
      </c>
      <c r="C17" s="135">
        <f>N24-(I31*N24)</f>
        <v>0.14000000000000001</v>
      </c>
      <c r="D17" s="155">
        <f>+D16*C17+D16</f>
        <v>400.21199824612518</v>
      </c>
      <c r="E17" s="155">
        <f>+D17/D15-1</f>
        <v>0.31099999999999994</v>
      </c>
      <c r="G17" s="134">
        <v>44713</v>
      </c>
      <c r="H17" s="135">
        <f>+O21</f>
        <v>0.10000000000000009</v>
      </c>
      <c r="I17" s="135">
        <f>+(H17+H16)*I15+I15</f>
        <v>4.0542638811987652</v>
      </c>
      <c r="J17" s="155">
        <f>+I17/I15-1</f>
        <v>0.19999999999999996</v>
      </c>
      <c r="L17" s="155" t="s">
        <v>324</v>
      </c>
    </row>
    <row r="18" spans="1:26" x14ac:dyDescent="0.35">
      <c r="B18" s="134">
        <v>44866</v>
      </c>
      <c r="C18" s="135">
        <f>O24-(I31*O24)</f>
        <v>0.23625000000000002</v>
      </c>
      <c r="D18" s="155">
        <f>+D17*C18+D17</f>
        <v>494.76208283177226</v>
      </c>
      <c r="G18" s="134">
        <v>44682</v>
      </c>
      <c r="H18" s="135">
        <f>+R34</f>
        <v>7.8974881194840529E-2</v>
      </c>
      <c r="I18" s="135">
        <f>+I15*H18+I15</f>
        <v>3.6453740746241423</v>
      </c>
      <c r="L18" s="132">
        <v>44652</v>
      </c>
      <c r="M18" s="132"/>
      <c r="N18" s="132">
        <v>44682</v>
      </c>
      <c r="O18" s="132">
        <v>44713</v>
      </c>
      <c r="P18" s="132"/>
      <c r="Q18" s="133" t="s">
        <v>36</v>
      </c>
    </row>
    <row r="19" spans="1:26" x14ac:dyDescent="0.35">
      <c r="B19" s="134">
        <v>44958</v>
      </c>
      <c r="C19" s="135">
        <f>O24-(I32*O24)</f>
        <v>0.23625000000000002</v>
      </c>
      <c r="D19" s="155">
        <f>+C19*D17+D18</f>
        <v>589.31216741741935</v>
      </c>
      <c r="E19" s="155">
        <f>+D19/D18-1</f>
        <v>0.19110212335692611</v>
      </c>
      <c r="F19" s="135">
        <f>19%*56%</f>
        <v>0.10640000000000001</v>
      </c>
      <c r="G19" s="134">
        <v>44713</v>
      </c>
      <c r="H19" s="135">
        <f>+H18</f>
        <v>7.8974881194840529E-2</v>
      </c>
      <c r="I19" s="135">
        <f>+I15*(H18+H19)+I15</f>
        <v>3.9121949149159803</v>
      </c>
      <c r="J19" s="109">
        <f>+I19/I15-1</f>
        <v>0.15794976238968106</v>
      </c>
      <c r="K19" s="135"/>
      <c r="L19" s="136">
        <v>1</v>
      </c>
      <c r="M19" s="136"/>
      <c r="N19" s="136">
        <v>0.1</v>
      </c>
      <c r="O19" s="136">
        <v>0.11</v>
      </c>
      <c r="P19" s="136"/>
      <c r="Q19" s="158">
        <f>SUM(L19:O19)</f>
        <v>1.2100000000000002</v>
      </c>
    </row>
    <row r="20" spans="1:26" x14ac:dyDescent="0.35">
      <c r="A20" s="155">
        <f>+D20/D19-1</f>
        <v>0.18336162988115445</v>
      </c>
      <c r="B20" s="134">
        <v>45047</v>
      </c>
      <c r="C20" s="137">
        <v>0.27</v>
      </c>
      <c r="D20" s="155">
        <f>+C20*$D$17+D19</f>
        <v>697.36940694387317</v>
      </c>
      <c r="E20" s="109">
        <f>+F20*'[4]Nov 22'!L21</f>
        <v>0.11200000000000011</v>
      </c>
      <c r="F20" s="155">
        <f>+I20/I15-1</f>
        <v>0.20000000000000018</v>
      </c>
      <c r="G20" s="134">
        <v>44743</v>
      </c>
      <c r="H20" s="135">
        <f>+N21+O21</f>
        <v>0.20000000000000018</v>
      </c>
      <c r="I20" s="135">
        <f>+I15*H20+I15</f>
        <v>4.0542638811987661</v>
      </c>
      <c r="J20" s="106">
        <f>+I20/I15-1</f>
        <v>0.20000000000000018</v>
      </c>
      <c r="K20" s="155">
        <f>+I19/I15-1</f>
        <v>0.15794976238968106</v>
      </c>
      <c r="L20" s="136">
        <f>+L19</f>
        <v>1</v>
      </c>
      <c r="M20" s="136"/>
      <c r="N20" s="136">
        <f>+N19+L19</f>
        <v>1.1000000000000001</v>
      </c>
      <c r="O20" s="136">
        <f>+O19+N20</f>
        <v>1.2100000000000002</v>
      </c>
      <c r="P20" s="136"/>
      <c r="Q20" s="158"/>
    </row>
    <row r="21" spans="1:26" x14ac:dyDescent="0.35">
      <c r="A21" s="155">
        <f>+D21/D20-1</f>
        <v>0.14921090387374458</v>
      </c>
      <c r="B21" s="134">
        <v>45139</v>
      </c>
      <c r="C21" s="137">
        <v>0.26</v>
      </c>
      <c r="D21" s="155">
        <f>+C21*$D$17+D20</f>
        <v>801.42452648786571</v>
      </c>
      <c r="G21" s="134">
        <v>44774</v>
      </c>
      <c r="H21" s="135">
        <f>+J31</f>
        <v>6.0335648734979347E-2</v>
      </c>
      <c r="I21" s="135">
        <f>+I20*H21+I20</f>
        <v>4.2988805226136888</v>
      </c>
      <c r="L21" s="136"/>
      <c r="M21" s="136"/>
      <c r="N21" s="136">
        <f>+N20/L20-1</f>
        <v>0.10000000000000009</v>
      </c>
      <c r="O21" s="136">
        <f>+O20/N20-1</f>
        <v>0.10000000000000009</v>
      </c>
      <c r="P21" s="136"/>
      <c r="Q21" s="158"/>
    </row>
    <row r="22" spans="1:26" x14ac:dyDescent="0.35">
      <c r="B22" s="134">
        <v>45170</v>
      </c>
      <c r="C22" s="137">
        <v>0.25</v>
      </c>
      <c r="D22" s="155">
        <f>+C22*$D$21+D21</f>
        <v>1001.7806581098321</v>
      </c>
      <c r="G22" s="134">
        <v>44805</v>
      </c>
      <c r="H22" s="135">
        <f>+J32</f>
        <v>6.208793814921984E-2</v>
      </c>
      <c r="I22" s="135">
        <f>+I21*H22+I21</f>
        <v>4.5657891506126136</v>
      </c>
      <c r="L22" s="155" t="s">
        <v>292</v>
      </c>
    </row>
    <row r="23" spans="1:26" x14ac:dyDescent="0.35">
      <c r="B23" s="134">
        <v>45231</v>
      </c>
      <c r="C23" s="137">
        <v>0.18</v>
      </c>
      <c r="D23" s="155">
        <f>+C23*+$D$21+D22</f>
        <v>1146.0370728776479</v>
      </c>
      <c r="G23" s="134">
        <v>44835</v>
      </c>
      <c r="H23" s="135">
        <f>+J33</f>
        <v>2.1972850879135614E-2</v>
      </c>
      <c r="I23" s="135">
        <f>+I22*H23+I22</f>
        <v>4.6661125547645996</v>
      </c>
      <c r="L23" s="143" t="s">
        <v>295</v>
      </c>
      <c r="M23" s="144">
        <v>44682</v>
      </c>
      <c r="N23" s="144">
        <v>44805</v>
      </c>
      <c r="O23" s="134">
        <v>44866</v>
      </c>
    </row>
    <row r="24" spans="1:26" x14ac:dyDescent="0.35">
      <c r="B24" s="155" t="s">
        <v>36</v>
      </c>
      <c r="D24" s="135">
        <f>+D14</f>
        <v>278.95573143750011</v>
      </c>
      <c r="G24" s="134">
        <v>44866</v>
      </c>
      <c r="H24" s="135">
        <f>+J34</f>
        <v>9.5113626544543195E-2</v>
      </c>
      <c r="I24" s="135">
        <f>+I23*H24+I23</f>
        <v>5.1099234417132839</v>
      </c>
      <c r="L24" s="366" t="s">
        <v>296</v>
      </c>
      <c r="M24" s="145">
        <v>0.15</v>
      </c>
      <c r="N24" s="145">
        <v>0.16</v>
      </c>
      <c r="O24" s="137">
        <v>0.27</v>
      </c>
    </row>
    <row r="25" spans="1:26" ht="25" x14ac:dyDescent="0.35">
      <c r="B25" s="155" t="s">
        <v>292</v>
      </c>
      <c r="G25" s="155" t="s">
        <v>36</v>
      </c>
      <c r="I25" s="135">
        <f>+I14</f>
        <v>3.1455495629990415</v>
      </c>
      <c r="L25" s="367"/>
      <c r="M25" s="146" t="s">
        <v>297</v>
      </c>
      <c r="N25" s="146" t="s">
        <v>297</v>
      </c>
    </row>
    <row r="26" spans="1:26" ht="52" x14ac:dyDescent="0.35">
      <c r="D26" s="133" t="s">
        <v>192</v>
      </c>
      <c r="E26" s="133" t="s">
        <v>39</v>
      </c>
      <c r="F26" s="133" t="s">
        <v>193</v>
      </c>
      <c r="G26" s="133" t="s">
        <v>194</v>
      </c>
      <c r="H26" s="133" t="s">
        <v>195</v>
      </c>
      <c r="I26" s="133" t="s">
        <v>196</v>
      </c>
      <c r="J26" s="133" t="s">
        <v>197</v>
      </c>
      <c r="K26" s="133" t="s">
        <v>200</v>
      </c>
    </row>
    <row r="27" spans="1:26" x14ac:dyDescent="0.35">
      <c r="D27" s="132">
        <v>44652</v>
      </c>
      <c r="E27" s="136">
        <v>1</v>
      </c>
      <c r="F27" s="136"/>
      <c r="G27" s="136">
        <v>1</v>
      </c>
      <c r="H27" s="136"/>
      <c r="I27" s="136"/>
      <c r="J27" s="136"/>
      <c r="K27" s="97" t="s">
        <v>198</v>
      </c>
      <c r="P27" s="155">
        <v>44682</v>
      </c>
      <c r="R27" s="155" t="s">
        <v>298</v>
      </c>
      <c r="T27" s="155" t="s">
        <v>325</v>
      </c>
      <c r="U27" s="155" t="s">
        <v>299</v>
      </c>
      <c r="W27" s="155" t="s">
        <v>298</v>
      </c>
      <c r="X27" s="155">
        <v>44713</v>
      </c>
      <c r="Z27" s="155" t="s">
        <v>298</v>
      </c>
    </row>
    <row r="28" spans="1:26" x14ac:dyDescent="0.35">
      <c r="D28" s="132">
        <v>44682</v>
      </c>
      <c r="E28" s="136">
        <v>0.1</v>
      </c>
      <c r="F28" s="136">
        <v>0.83435582822085896</v>
      </c>
      <c r="G28" s="136">
        <v>1.0834355828220859</v>
      </c>
      <c r="H28" s="136">
        <v>8.3435582822085852E-2</v>
      </c>
      <c r="I28" s="136"/>
      <c r="J28" s="136"/>
      <c r="K28" s="97" t="s">
        <v>198</v>
      </c>
      <c r="Q28" s="155">
        <v>111.63300000000001</v>
      </c>
      <c r="T28" s="155" t="s">
        <v>326</v>
      </c>
      <c r="V28" s="155">
        <v>100</v>
      </c>
      <c r="Y28" s="155">
        <v>111.63300000000001</v>
      </c>
    </row>
    <row r="29" spans="1:26" x14ac:dyDescent="0.35">
      <c r="D29" s="132">
        <v>44713</v>
      </c>
      <c r="E29" s="136">
        <v>0.11</v>
      </c>
      <c r="F29" s="136">
        <v>0.83435582822085896</v>
      </c>
      <c r="G29" s="136">
        <v>1.1752147239263804</v>
      </c>
      <c r="H29" s="136">
        <v>8.4711211778029538E-2</v>
      </c>
      <c r="I29" s="136"/>
      <c r="J29" s="136"/>
      <c r="K29" s="97" t="s">
        <v>198</v>
      </c>
      <c r="T29" s="155" t="s">
        <v>327</v>
      </c>
      <c r="W29" s="155">
        <v>0.10000000000000009</v>
      </c>
    </row>
    <row r="30" spans="1:26" x14ac:dyDescent="0.35">
      <c r="D30" s="132">
        <v>44743</v>
      </c>
      <c r="E30" s="136">
        <v>1.2100000000000002</v>
      </c>
      <c r="F30" s="136"/>
      <c r="G30" s="136">
        <v>1.2100000000000002</v>
      </c>
      <c r="H30" s="136">
        <v>2.9599081227813961E-2</v>
      </c>
      <c r="I30" s="136"/>
      <c r="J30" s="136"/>
      <c r="K30" s="97" t="s">
        <v>198</v>
      </c>
      <c r="P30" s="155">
        <v>0.86</v>
      </c>
      <c r="Q30" s="155">
        <v>86</v>
      </c>
      <c r="T30" s="155" t="s">
        <v>328</v>
      </c>
      <c r="U30" s="155">
        <v>0.86</v>
      </c>
      <c r="V30" s="155">
        <v>86</v>
      </c>
      <c r="X30" s="155">
        <v>0.86</v>
      </c>
      <c r="Y30" s="155">
        <v>86</v>
      </c>
    </row>
    <row r="31" spans="1:26" x14ac:dyDescent="0.35">
      <c r="D31" s="132">
        <v>44774</v>
      </c>
      <c r="E31" s="136">
        <v>0.1</v>
      </c>
      <c r="F31" s="136">
        <v>0.83435582822085896</v>
      </c>
      <c r="G31" s="136">
        <v>1.293435582822086</v>
      </c>
      <c r="H31" s="136">
        <v>6.8955027125690682E-2</v>
      </c>
      <c r="I31" s="136">
        <v>0.125</v>
      </c>
      <c r="J31" s="136">
        <v>6.0335648734979347E-2</v>
      </c>
      <c r="K31" s="97" t="s">
        <v>199</v>
      </c>
      <c r="P31" s="155">
        <v>0.14000000000000001</v>
      </c>
      <c r="Q31" s="155">
        <v>14.000000000000002</v>
      </c>
      <c r="T31" s="155" t="s">
        <v>193</v>
      </c>
      <c r="U31" s="155">
        <v>0.14000000000000001</v>
      </c>
      <c r="V31" s="155">
        <v>14.000000000000002</v>
      </c>
      <c r="X31" s="155">
        <v>0.14000000000000001</v>
      </c>
      <c r="Y31" s="155">
        <v>14.000000000000002</v>
      </c>
    </row>
    <row r="32" spans="1:26" x14ac:dyDescent="0.35">
      <c r="D32" s="132">
        <v>44805</v>
      </c>
      <c r="E32" s="136">
        <v>0.11</v>
      </c>
      <c r="F32" s="136">
        <v>0.83435582822085896</v>
      </c>
      <c r="G32" s="136">
        <v>1.3852147239263806</v>
      </c>
      <c r="H32" s="136">
        <v>7.0957643599108389E-2</v>
      </c>
      <c r="I32" s="136">
        <v>0.125</v>
      </c>
      <c r="J32" s="136">
        <v>6.208793814921984E-2</v>
      </c>
      <c r="K32" s="97" t="s">
        <v>199</v>
      </c>
      <c r="Q32" s="155">
        <v>11.63300000000001</v>
      </c>
      <c r="T32" s="155" t="s">
        <v>329</v>
      </c>
      <c r="Y32" s="155">
        <v>11.63300000000001</v>
      </c>
    </row>
    <row r="33" spans="4:26" x14ac:dyDescent="0.35">
      <c r="D33" s="132">
        <v>44835</v>
      </c>
      <c r="E33" s="136">
        <v>1.4200000000000004</v>
      </c>
      <c r="F33" s="136"/>
      <c r="G33" s="136">
        <v>1.4200000000000004</v>
      </c>
      <c r="H33" s="136">
        <v>2.5111829576154987E-2</v>
      </c>
      <c r="I33" s="136">
        <v>0.125</v>
      </c>
      <c r="J33" s="136">
        <v>2.1972850879135614E-2</v>
      </c>
      <c r="K33" s="97" t="s">
        <v>199</v>
      </c>
      <c r="P33" s="155">
        <v>0.55000000000000004</v>
      </c>
      <c r="Q33" s="155">
        <v>47.300000000000004</v>
      </c>
      <c r="T33" s="155" t="s">
        <v>330</v>
      </c>
      <c r="U33" s="155">
        <v>0.55000000000000004</v>
      </c>
      <c r="V33" s="155">
        <v>47.300000000000004</v>
      </c>
      <c r="X33" s="155">
        <v>0.55000000000000004</v>
      </c>
      <c r="Y33" s="155">
        <v>47.300000000000004</v>
      </c>
    </row>
    <row r="34" spans="4:26" x14ac:dyDescent="0.35">
      <c r="D34" s="132">
        <v>44866</v>
      </c>
      <c r="E34" s="136">
        <v>0.185</v>
      </c>
      <c r="F34" s="136">
        <v>0.83435582822085896</v>
      </c>
      <c r="G34" s="136">
        <v>1.5743558282208592</v>
      </c>
      <c r="H34" s="136">
        <v>0.10870128747947794</v>
      </c>
      <c r="I34" s="136">
        <v>0.125</v>
      </c>
      <c r="J34" s="136">
        <v>9.5113626544543195E-2</v>
      </c>
      <c r="K34" s="97" t="s">
        <v>199</v>
      </c>
      <c r="Q34" s="155">
        <v>158.93300000000002</v>
      </c>
      <c r="R34" s="108">
        <v>7.8974881194840529E-2</v>
      </c>
      <c r="T34" s="155" t="s">
        <v>331</v>
      </c>
      <c r="V34" s="155">
        <v>147.30000000000001</v>
      </c>
      <c r="Y34" s="155">
        <v>158.93300000000002</v>
      </c>
      <c r="Z34" s="108">
        <v>7.8974881194840529E-2</v>
      </c>
    </row>
    <row r="35" spans="4:26" x14ac:dyDescent="0.35">
      <c r="D35" s="132">
        <v>44896</v>
      </c>
      <c r="E35" s="136">
        <v>0</v>
      </c>
      <c r="F35" s="136"/>
      <c r="G35" s="136">
        <v>1.5743558282208592</v>
      </c>
      <c r="H35" s="136">
        <v>0</v>
      </c>
      <c r="I35" s="136">
        <v>0.125</v>
      </c>
      <c r="J35" s="136">
        <v>0</v>
      </c>
      <c r="K35" s="97" t="s">
        <v>199</v>
      </c>
    </row>
    <row r="36" spans="4:26" x14ac:dyDescent="0.35">
      <c r="D36" s="132">
        <v>44927</v>
      </c>
      <c r="E36" s="136">
        <v>1.6050000000000004</v>
      </c>
      <c r="F36" s="136"/>
      <c r="G36" s="136">
        <v>1.6050000000000004</v>
      </c>
      <c r="H36" s="136">
        <v>1.946457797521628E-2</v>
      </c>
      <c r="I36" s="136">
        <v>0.125</v>
      </c>
      <c r="J36" s="136">
        <v>1.7031505728314245E-2</v>
      </c>
      <c r="K36" s="97" t="s">
        <v>199</v>
      </c>
    </row>
    <row r="37" spans="4:26" x14ac:dyDescent="0.35">
      <c r="D37" s="132">
        <v>44958</v>
      </c>
      <c r="E37" s="136">
        <v>8.5000000000000006E-2</v>
      </c>
      <c r="F37" s="136">
        <v>0.83435582822085896</v>
      </c>
      <c r="G37" s="136">
        <v>1.6759202453987734</v>
      </c>
      <c r="H37" s="136">
        <v>4.4187068784282246E-2</v>
      </c>
      <c r="I37" s="136">
        <v>0.125</v>
      </c>
      <c r="J37" s="136">
        <v>3.8663685186246965E-2</v>
      </c>
      <c r="K37" s="97" t="s">
        <v>199</v>
      </c>
    </row>
    <row r="38" spans="4:26" x14ac:dyDescent="0.35">
      <c r="D38" s="132">
        <v>44986</v>
      </c>
      <c r="E38" s="136">
        <v>0.1</v>
      </c>
      <c r="F38" s="136">
        <v>0.83435582822085896</v>
      </c>
      <c r="G38" s="136">
        <v>1.7593558282208592</v>
      </c>
      <c r="H38" s="136">
        <v>4.9784936396083168E-2</v>
      </c>
      <c r="I38" s="136">
        <v>0.125</v>
      </c>
      <c r="J38" s="136">
        <v>4.3561819346572772E-2</v>
      </c>
      <c r="K38" s="97" t="s">
        <v>199</v>
      </c>
    </row>
    <row r="39" spans="4:26" x14ac:dyDescent="0.35">
      <c r="D39" s="132">
        <v>45017</v>
      </c>
      <c r="E39" s="136">
        <v>1.7900000000000005</v>
      </c>
      <c r="F39" s="136"/>
      <c r="G39" s="136">
        <v>1.7900000000000005</v>
      </c>
      <c r="H39" s="136">
        <v>1.7417836282800137E-2</v>
      </c>
      <c r="I39" s="136">
        <v>0.125</v>
      </c>
      <c r="J39" s="136">
        <v>1.5240606747450119E-2</v>
      </c>
      <c r="K39" s="97" t="s">
        <v>199</v>
      </c>
    </row>
  </sheetData>
  <mergeCells count="1">
    <mergeCell ref="L24:L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DA7A-38C9-4C10-9635-E44E17E08A44}">
  <dimension ref="A2:CQ73"/>
  <sheetViews>
    <sheetView showGridLines="0" topLeftCell="CI31" zoomScale="70" zoomScaleNormal="70" workbookViewId="0">
      <selection activeCell="CP39" sqref="CP39:CQ39"/>
    </sheetView>
  </sheetViews>
  <sheetFormatPr baseColWidth="10" defaultColWidth="9.08984375" defaultRowHeight="14.5" outlineLevelRow="2" outlineLevelCol="1" x14ac:dyDescent="0.35"/>
  <cols>
    <col min="1" max="1" width="14.08984375" style="214" hidden="1" customWidth="1"/>
    <col min="2" max="2" width="18.08984375" style="214" customWidth="1"/>
    <col min="3" max="3" width="31.6328125" style="214" customWidth="1"/>
    <col min="4" max="4" width="33.453125" style="214" customWidth="1"/>
    <col min="5" max="5" width="14.1796875" style="103" customWidth="1" outlineLevel="1"/>
    <col min="6" max="6" width="33.453125" style="104" customWidth="1"/>
    <col min="7" max="7" width="24.08984375" style="214" customWidth="1"/>
    <col min="8" max="8" width="12.36328125" style="214" hidden="1" customWidth="1" outlineLevel="1"/>
    <col min="9" max="9" width="14.08984375" style="214" hidden="1" customWidth="1" outlineLevel="1"/>
    <col min="10" max="10" width="12.453125" style="214" hidden="1" customWidth="1" outlineLevel="1"/>
    <col min="11" max="11" width="11" style="214" hidden="1" customWidth="1" outlineLevel="1"/>
    <col min="12" max="12" width="11.6328125" style="214" hidden="1" customWidth="1" outlineLevel="1"/>
    <col min="13" max="13" width="11.90625" style="214" hidden="1" customWidth="1" outlineLevel="1"/>
    <col min="14" max="14" width="11.36328125" style="214" hidden="1" customWidth="1" outlineLevel="1"/>
    <col min="15" max="15" width="13.453125" style="214" hidden="1" customWidth="1" outlineLevel="1"/>
    <col min="16" max="16" width="17.453125" style="214" hidden="1" customWidth="1" outlineLevel="1"/>
    <col min="17" max="17" width="14.453125" style="214" hidden="1" customWidth="1" outlineLevel="1"/>
    <col min="18" max="18" width="16.54296875" style="214" hidden="1" customWidth="1" outlineLevel="1"/>
    <col min="19" max="19" width="16.08984375" style="214" hidden="1" customWidth="1" outlineLevel="1"/>
    <col min="20" max="20" width="12.36328125" style="214" hidden="1" customWidth="1" outlineLevel="1" collapsed="1"/>
    <col min="21" max="21" width="14.08984375" style="214" hidden="1" customWidth="1" outlineLevel="1"/>
    <col min="22" max="22" width="12.453125" style="214" hidden="1" customWidth="1" outlineLevel="1"/>
    <col min="23" max="23" width="11" style="96" hidden="1" customWidth="1" outlineLevel="1"/>
    <col min="24" max="24" width="11.6328125" style="214" hidden="1" customWidth="1" outlineLevel="1"/>
    <col min="25" max="25" width="11.90625" style="214" hidden="1" customWidth="1" outlineLevel="1"/>
    <col min="26" max="26" width="11.36328125" style="214" hidden="1" customWidth="1" outlineLevel="1"/>
    <col min="27" max="31" width="16.90625" style="214" hidden="1" customWidth="1" outlineLevel="1"/>
    <col min="32" max="32" width="16.90625" style="214" hidden="1" customWidth="1" collapsed="1"/>
    <col min="33" max="79" width="16.90625" style="214" hidden="1" customWidth="1"/>
    <col min="80" max="80" width="17" style="214" hidden="1" customWidth="1"/>
    <col min="81" max="81" width="16.90625" style="214" hidden="1" customWidth="1"/>
    <col min="82" max="83" width="17" style="214" hidden="1" customWidth="1"/>
    <col min="84" max="85" width="17" style="214" customWidth="1"/>
    <col min="86" max="89" width="25.6328125" style="214" customWidth="1"/>
    <col min="90" max="90" width="26.36328125" style="214" customWidth="1"/>
    <col min="91" max="91" width="26.453125" style="214" bestFit="1" customWidth="1"/>
    <col min="92" max="92" width="24" style="214" customWidth="1"/>
    <col min="93" max="93" width="15.26953125" style="214" customWidth="1"/>
    <col min="94" max="95" width="15.1796875" style="214" customWidth="1"/>
    <col min="96" max="16384" width="9.08984375" style="214"/>
  </cols>
  <sheetData>
    <row r="2" spans="1:95" ht="99" customHeight="1" outlineLevel="2" x14ac:dyDescent="0.35">
      <c r="A2" s="159"/>
      <c r="B2" s="159"/>
      <c r="C2" s="159"/>
      <c r="D2" s="159"/>
      <c r="E2" s="190"/>
      <c r="F2" s="173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60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</row>
    <row r="3" spans="1:95" ht="20" outlineLevel="2" x14ac:dyDescent="0.4">
      <c r="A3" s="159"/>
      <c r="C3" s="169" t="s">
        <v>74</v>
      </c>
      <c r="D3" s="169"/>
      <c r="E3" s="190"/>
      <c r="F3" s="173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60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</row>
    <row r="4" spans="1:95" ht="18" outlineLevel="2" thickBot="1" x14ac:dyDescent="0.4">
      <c r="A4" s="159"/>
      <c r="C4" s="170" t="s">
        <v>75</v>
      </c>
      <c r="D4" s="170"/>
      <c r="E4" s="190"/>
      <c r="F4" s="173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60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</row>
    <row r="5" spans="1:95" ht="26.15" hidden="1" customHeight="1" outlineLevel="2" thickBot="1" x14ac:dyDescent="0.4">
      <c r="A5" s="159"/>
      <c r="B5" s="159"/>
      <c r="C5" s="159"/>
      <c r="D5" s="159"/>
      <c r="E5" s="190"/>
      <c r="F5" s="173"/>
      <c r="G5" s="166" t="s">
        <v>76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60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</row>
    <row r="6" spans="1:95" ht="15.5" outlineLevel="1" thickTop="1" thickBot="1" x14ac:dyDescent="0.4">
      <c r="A6" s="159"/>
      <c r="B6" s="186" t="s">
        <v>77</v>
      </c>
      <c r="C6" s="159"/>
      <c r="D6" s="159"/>
      <c r="E6" s="190"/>
      <c r="F6" s="177" t="s">
        <v>78</v>
      </c>
      <c r="G6" s="172">
        <v>2022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60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</row>
    <row r="7" spans="1:95" ht="15.5" outlineLevel="1" thickTop="1" thickBot="1" x14ac:dyDescent="0.4">
      <c r="A7" s="159"/>
      <c r="C7" s="159"/>
      <c r="D7" s="159"/>
      <c r="E7" s="190"/>
      <c r="F7" s="177" t="s">
        <v>79</v>
      </c>
      <c r="G7" s="189" t="s">
        <v>99</v>
      </c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60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BP7" s="214">
        <f ca="1">BP:BU</f>
        <v>0</v>
      </c>
    </row>
    <row r="8" spans="1:95" ht="15" hidden="1" outlineLevel="1" thickTop="1" x14ac:dyDescent="0.35">
      <c r="A8" s="159"/>
      <c r="B8" s="159"/>
      <c r="C8" s="159"/>
      <c r="D8" s="159"/>
      <c r="E8" s="190"/>
      <c r="F8" s="173"/>
      <c r="G8" s="165" t="str">
        <f>+G7&amp;"-"&amp;G6</f>
        <v>Noviembre-2022</v>
      </c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</row>
    <row r="9" spans="1:95" ht="15.5" outlineLevel="1" thickTop="1" thickBot="1" x14ac:dyDescent="0.4">
      <c r="A9" s="159"/>
      <c r="B9" s="159"/>
      <c r="C9" s="159"/>
      <c r="D9" s="159"/>
      <c r="E9" s="190"/>
      <c r="F9" s="173"/>
      <c r="G9" s="165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</row>
    <row r="10" spans="1:95" ht="26.4" customHeight="1" outlineLevel="1" collapsed="1" thickTop="1" thickBot="1" x14ac:dyDescent="0.4">
      <c r="A10" s="159"/>
      <c r="F10" s="177" t="s">
        <v>81</v>
      </c>
      <c r="G10" s="172">
        <v>2022</v>
      </c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60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BO10" s="162"/>
    </row>
    <row r="11" spans="1:95" ht="30.65" customHeight="1" outlineLevel="1" thickTop="1" thickBot="1" x14ac:dyDescent="0.4">
      <c r="A11" s="159"/>
      <c r="B11" s="159"/>
      <c r="C11" s="159"/>
      <c r="D11" s="159"/>
      <c r="E11" s="190"/>
      <c r="F11" s="177" t="s">
        <v>82</v>
      </c>
      <c r="G11" s="189" t="s">
        <v>83</v>
      </c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60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</row>
    <row r="12" spans="1:95" ht="30.65" customHeight="1" thickTop="1" thickBot="1" x14ac:dyDescent="0.4">
      <c r="A12" s="159"/>
      <c r="B12" s="368" t="s">
        <v>84</v>
      </c>
      <c r="C12" s="368" t="s">
        <v>85</v>
      </c>
      <c r="D12" s="368" t="s">
        <v>86</v>
      </c>
      <c r="E12" s="368" t="s">
        <v>87</v>
      </c>
      <c r="F12" s="368" t="s">
        <v>88</v>
      </c>
      <c r="G12" s="368" t="s">
        <v>89</v>
      </c>
      <c r="H12" s="178">
        <v>2017</v>
      </c>
      <c r="I12" s="178">
        <v>2017</v>
      </c>
      <c r="J12" s="178">
        <v>2017</v>
      </c>
      <c r="K12" s="178">
        <v>2017</v>
      </c>
      <c r="L12" s="178">
        <v>2017</v>
      </c>
      <c r="M12" s="178">
        <v>2017</v>
      </c>
      <c r="N12" s="178">
        <v>2017</v>
      </c>
      <c r="O12" s="178">
        <v>2017</v>
      </c>
      <c r="P12" s="178">
        <v>2017</v>
      </c>
      <c r="Q12" s="178">
        <v>2017</v>
      </c>
      <c r="R12" s="178">
        <v>2017</v>
      </c>
      <c r="S12" s="178">
        <v>2017</v>
      </c>
      <c r="T12" s="178">
        <v>2018</v>
      </c>
      <c r="U12" s="178">
        <v>2018</v>
      </c>
      <c r="V12" s="178">
        <v>2018</v>
      </c>
      <c r="W12" s="178">
        <v>2018</v>
      </c>
      <c r="X12" s="178">
        <v>2018</v>
      </c>
      <c r="Y12" s="178">
        <v>2018</v>
      </c>
      <c r="Z12" s="178">
        <v>2018</v>
      </c>
      <c r="AA12" s="178">
        <v>2018</v>
      </c>
      <c r="AB12" s="178">
        <v>2018</v>
      </c>
      <c r="AC12" s="178">
        <v>2018</v>
      </c>
      <c r="AD12" s="178">
        <v>2018</v>
      </c>
      <c r="AE12" s="178">
        <v>2018</v>
      </c>
      <c r="AF12" s="178">
        <v>2019</v>
      </c>
      <c r="AG12" s="178">
        <v>2019</v>
      </c>
      <c r="AH12" s="178">
        <v>2019</v>
      </c>
      <c r="AI12" s="178">
        <v>2019</v>
      </c>
      <c r="AJ12" s="178">
        <v>2019</v>
      </c>
      <c r="AK12" s="178">
        <v>2019</v>
      </c>
      <c r="AL12" s="178">
        <v>2019</v>
      </c>
      <c r="AM12" s="178">
        <v>2019</v>
      </c>
      <c r="AN12" s="178">
        <v>2019</v>
      </c>
      <c r="AO12" s="178">
        <v>2019</v>
      </c>
      <c r="AP12" s="178">
        <v>2019</v>
      </c>
      <c r="AQ12" s="178">
        <v>2019</v>
      </c>
      <c r="AR12" s="178">
        <v>2020</v>
      </c>
      <c r="AS12" s="178">
        <v>2020</v>
      </c>
      <c r="AT12" s="178">
        <v>2020</v>
      </c>
      <c r="AU12" s="178">
        <v>2020</v>
      </c>
      <c r="AV12" s="178">
        <v>2020</v>
      </c>
      <c r="AW12" s="178">
        <v>2020</v>
      </c>
      <c r="AX12" s="178">
        <v>2020</v>
      </c>
      <c r="AY12" s="178">
        <v>2020</v>
      </c>
      <c r="AZ12" s="178">
        <v>2020</v>
      </c>
      <c r="BA12" s="178">
        <v>2020</v>
      </c>
      <c r="BB12" s="178">
        <v>2020</v>
      </c>
      <c r="BC12" s="178">
        <v>2020</v>
      </c>
      <c r="BD12" s="178">
        <v>2021</v>
      </c>
      <c r="BE12" s="178">
        <v>2021</v>
      </c>
      <c r="BF12" s="178">
        <v>2021</v>
      </c>
      <c r="BG12" s="178">
        <v>2021</v>
      </c>
      <c r="BH12" s="178">
        <v>2021</v>
      </c>
      <c r="BI12" s="178">
        <v>2021</v>
      </c>
      <c r="BJ12" s="178">
        <v>2021</v>
      </c>
      <c r="BK12" s="178">
        <v>2021</v>
      </c>
      <c r="BL12" s="178">
        <v>2021</v>
      </c>
      <c r="BM12" s="178">
        <v>2021</v>
      </c>
      <c r="BN12" s="178">
        <v>2021</v>
      </c>
      <c r="BO12" s="178">
        <v>2021</v>
      </c>
      <c r="BP12" s="178">
        <v>2022</v>
      </c>
      <c r="BQ12" s="178">
        <v>2022</v>
      </c>
      <c r="BR12" s="178">
        <v>2022</v>
      </c>
      <c r="BS12" s="178">
        <v>2022</v>
      </c>
      <c r="BT12" s="178">
        <v>2022</v>
      </c>
      <c r="BU12" s="178">
        <v>2022</v>
      </c>
      <c r="BV12" s="178">
        <v>2022</v>
      </c>
      <c r="BW12" s="178">
        <v>2022</v>
      </c>
      <c r="BX12" s="178">
        <v>2022</v>
      </c>
      <c r="BY12" s="178">
        <v>2022</v>
      </c>
      <c r="BZ12" s="178">
        <v>2022</v>
      </c>
      <c r="CA12" s="178">
        <v>2022</v>
      </c>
      <c r="CB12" s="178">
        <v>2023</v>
      </c>
      <c r="CC12" s="178">
        <v>2023</v>
      </c>
      <c r="CD12" s="178">
        <v>2023</v>
      </c>
      <c r="CE12" s="178">
        <v>2023</v>
      </c>
      <c r="CF12" s="178">
        <v>2023</v>
      </c>
      <c r="CG12" s="178">
        <v>2023</v>
      </c>
      <c r="CH12" s="178">
        <v>2023</v>
      </c>
      <c r="CI12" s="178">
        <v>2023</v>
      </c>
      <c r="CJ12" s="178">
        <v>2023</v>
      </c>
      <c r="CK12" s="178">
        <v>2023</v>
      </c>
      <c r="CL12" s="178">
        <v>2023</v>
      </c>
      <c r="CM12" s="178">
        <v>2023</v>
      </c>
      <c r="CN12" s="178">
        <v>2024</v>
      </c>
      <c r="CO12" s="178">
        <v>2024</v>
      </c>
      <c r="CP12" s="178">
        <v>2024</v>
      </c>
      <c r="CQ12" s="178">
        <v>2024</v>
      </c>
    </row>
    <row r="13" spans="1:95" ht="15" customHeight="1" thickTop="1" thickBot="1" x14ac:dyDescent="0.4">
      <c r="A13" s="183" t="s">
        <v>90</v>
      </c>
      <c r="B13" s="370"/>
      <c r="C13" s="369"/>
      <c r="D13" s="369"/>
      <c r="E13" s="369"/>
      <c r="F13" s="369"/>
      <c r="G13" s="369"/>
      <c r="H13" s="164" t="s">
        <v>83</v>
      </c>
      <c r="I13" s="164" t="s">
        <v>91</v>
      </c>
      <c r="J13" s="164" t="s">
        <v>92</v>
      </c>
      <c r="K13" s="164" t="s">
        <v>80</v>
      </c>
      <c r="L13" s="164" t="s">
        <v>93</v>
      </c>
      <c r="M13" s="164" t="s">
        <v>94</v>
      </c>
      <c r="N13" s="164" t="s">
        <v>95</v>
      </c>
      <c r="O13" s="164" t="s">
        <v>96</v>
      </c>
      <c r="P13" s="164" t="s">
        <v>97</v>
      </c>
      <c r="Q13" s="164" t="s">
        <v>98</v>
      </c>
      <c r="R13" s="164" t="s">
        <v>99</v>
      </c>
      <c r="S13" s="164" t="s">
        <v>100</v>
      </c>
      <c r="T13" s="164" t="s">
        <v>83</v>
      </c>
      <c r="U13" s="164" t="s">
        <v>91</v>
      </c>
      <c r="V13" s="164" t="s">
        <v>92</v>
      </c>
      <c r="W13" s="164" t="s">
        <v>80</v>
      </c>
      <c r="X13" s="164" t="s">
        <v>93</v>
      </c>
      <c r="Y13" s="164" t="s">
        <v>94</v>
      </c>
      <c r="Z13" s="164" t="s">
        <v>95</v>
      </c>
      <c r="AA13" s="164" t="s">
        <v>96</v>
      </c>
      <c r="AB13" s="164" t="s">
        <v>97</v>
      </c>
      <c r="AC13" s="164" t="s">
        <v>98</v>
      </c>
      <c r="AD13" s="164" t="s">
        <v>99</v>
      </c>
      <c r="AE13" s="164" t="s">
        <v>100</v>
      </c>
      <c r="AF13" s="164" t="s">
        <v>83</v>
      </c>
      <c r="AG13" s="164" t="s">
        <v>91</v>
      </c>
      <c r="AH13" s="164" t="s">
        <v>92</v>
      </c>
      <c r="AI13" s="164" t="s">
        <v>80</v>
      </c>
      <c r="AJ13" s="164" t="s">
        <v>93</v>
      </c>
      <c r="AK13" s="164" t="s">
        <v>94</v>
      </c>
      <c r="AL13" s="164" t="s">
        <v>95</v>
      </c>
      <c r="AM13" s="164" t="s">
        <v>96</v>
      </c>
      <c r="AN13" s="164" t="s">
        <v>97</v>
      </c>
      <c r="AO13" s="164" t="s">
        <v>98</v>
      </c>
      <c r="AP13" s="164" t="s">
        <v>99</v>
      </c>
      <c r="AQ13" s="164" t="s">
        <v>100</v>
      </c>
      <c r="AR13" s="164" t="s">
        <v>83</v>
      </c>
      <c r="AS13" s="164" t="s">
        <v>91</v>
      </c>
      <c r="AT13" s="164" t="s">
        <v>92</v>
      </c>
      <c r="AU13" s="164" t="s">
        <v>80</v>
      </c>
      <c r="AV13" s="164" t="s">
        <v>93</v>
      </c>
      <c r="AW13" s="164" t="s">
        <v>94</v>
      </c>
      <c r="AX13" s="164" t="s">
        <v>95</v>
      </c>
      <c r="AY13" s="202" t="s">
        <v>96</v>
      </c>
      <c r="AZ13" s="202" t="s">
        <v>97</v>
      </c>
      <c r="BA13" s="202" t="s">
        <v>98</v>
      </c>
      <c r="BB13" s="202" t="s">
        <v>99</v>
      </c>
      <c r="BC13" s="202" t="s">
        <v>100</v>
      </c>
      <c r="BD13" s="202" t="s">
        <v>83</v>
      </c>
      <c r="BE13" s="202" t="s">
        <v>91</v>
      </c>
      <c r="BF13" s="202" t="s">
        <v>92</v>
      </c>
      <c r="BG13" s="202" t="s">
        <v>80</v>
      </c>
      <c r="BH13" s="202" t="s">
        <v>93</v>
      </c>
      <c r="BI13" s="202" t="s">
        <v>94</v>
      </c>
      <c r="BJ13" s="202" t="s">
        <v>95</v>
      </c>
      <c r="BK13" s="202" t="s">
        <v>96</v>
      </c>
      <c r="BL13" s="202" t="s">
        <v>97</v>
      </c>
      <c r="BM13" s="202" t="s">
        <v>98</v>
      </c>
      <c r="BN13" s="202" t="s">
        <v>99</v>
      </c>
      <c r="BO13" s="202" t="s">
        <v>100</v>
      </c>
      <c r="BP13" s="202" t="s">
        <v>83</v>
      </c>
      <c r="BQ13" s="202" t="s">
        <v>91</v>
      </c>
      <c r="BR13" s="202" t="s">
        <v>92</v>
      </c>
      <c r="BS13" s="202" t="s">
        <v>80</v>
      </c>
      <c r="BT13" s="202" t="s">
        <v>93</v>
      </c>
      <c r="BU13" s="202" t="s">
        <v>94</v>
      </c>
      <c r="BV13" s="202" t="s">
        <v>95</v>
      </c>
      <c r="BW13" s="202" t="s">
        <v>96</v>
      </c>
      <c r="BX13" s="202" t="s">
        <v>97</v>
      </c>
      <c r="BY13" s="202" t="s">
        <v>98</v>
      </c>
      <c r="BZ13" s="202" t="s">
        <v>99</v>
      </c>
      <c r="CA13" s="202" t="s">
        <v>100</v>
      </c>
      <c r="CB13" s="202" t="s">
        <v>83</v>
      </c>
      <c r="CC13" s="202" t="s">
        <v>91</v>
      </c>
      <c r="CD13" s="202" t="s">
        <v>92</v>
      </c>
      <c r="CE13" s="202" t="s">
        <v>80</v>
      </c>
      <c r="CF13" s="202" t="s">
        <v>93</v>
      </c>
      <c r="CG13" s="202" t="s">
        <v>94</v>
      </c>
      <c r="CH13" s="202" t="s">
        <v>95</v>
      </c>
      <c r="CI13" s="202" t="s">
        <v>96</v>
      </c>
      <c r="CJ13" s="202" t="s">
        <v>97</v>
      </c>
      <c r="CK13" s="202" t="s">
        <v>98</v>
      </c>
      <c r="CL13" s="202" t="s">
        <v>99</v>
      </c>
      <c r="CM13" s="202" t="s">
        <v>100</v>
      </c>
      <c r="CN13" s="202" t="s">
        <v>83</v>
      </c>
      <c r="CO13" s="202" t="s">
        <v>91</v>
      </c>
      <c r="CP13" s="202" t="s">
        <v>92</v>
      </c>
      <c r="CQ13" s="202" t="s">
        <v>80</v>
      </c>
    </row>
    <row r="14" spans="1:95" ht="15.65" customHeight="1" thickTop="1" thickBot="1" x14ac:dyDescent="0.4">
      <c r="A14" s="167">
        <v>1</v>
      </c>
      <c r="B14" s="171" t="s">
        <v>101</v>
      </c>
      <c r="C14" s="171" t="s">
        <v>101</v>
      </c>
      <c r="D14" s="171"/>
      <c r="E14" s="191" t="s">
        <v>101</v>
      </c>
      <c r="F14" s="171" t="s">
        <v>101</v>
      </c>
      <c r="G14" s="168" t="str">
        <f>+G11&amp;"-"&amp;G10</f>
        <v>Enero-2022</v>
      </c>
      <c r="H14" s="168" t="str">
        <f t="shared" ref="H14:BS14" si="0">+H13&amp;"-"&amp;H12</f>
        <v>Enero-2017</v>
      </c>
      <c r="I14" s="168" t="str">
        <f t="shared" si="0"/>
        <v>Febrero-2017</v>
      </c>
      <c r="J14" s="168" t="str">
        <f t="shared" si="0"/>
        <v>Marzo-2017</v>
      </c>
      <c r="K14" s="168" t="str">
        <f t="shared" si="0"/>
        <v>Abril-2017</v>
      </c>
      <c r="L14" s="168" t="str">
        <f t="shared" si="0"/>
        <v>Mayo-2017</v>
      </c>
      <c r="M14" s="168" t="str">
        <f t="shared" si="0"/>
        <v>Junio-2017</v>
      </c>
      <c r="N14" s="168" t="str">
        <f t="shared" si="0"/>
        <v>Julio-2017</v>
      </c>
      <c r="O14" s="168" t="str">
        <f t="shared" si="0"/>
        <v>Agosto-2017</v>
      </c>
      <c r="P14" s="168" t="str">
        <f t="shared" si="0"/>
        <v>Septiembre-2017</v>
      </c>
      <c r="Q14" s="168" t="str">
        <f t="shared" si="0"/>
        <v>Octubre-2017</v>
      </c>
      <c r="R14" s="168" t="str">
        <f t="shared" si="0"/>
        <v>Noviembre-2017</v>
      </c>
      <c r="S14" s="168" t="str">
        <f t="shared" si="0"/>
        <v>Diciembre-2017</v>
      </c>
      <c r="T14" s="168" t="str">
        <f t="shared" si="0"/>
        <v>Enero-2018</v>
      </c>
      <c r="U14" s="168" t="str">
        <f t="shared" si="0"/>
        <v>Febrero-2018</v>
      </c>
      <c r="V14" s="168" t="str">
        <f t="shared" si="0"/>
        <v>Marzo-2018</v>
      </c>
      <c r="W14" s="168" t="str">
        <f t="shared" si="0"/>
        <v>Abril-2018</v>
      </c>
      <c r="X14" s="168" t="str">
        <f t="shared" si="0"/>
        <v>Mayo-2018</v>
      </c>
      <c r="Y14" s="168" t="str">
        <f t="shared" si="0"/>
        <v>Junio-2018</v>
      </c>
      <c r="Z14" s="168" t="str">
        <f t="shared" si="0"/>
        <v>Julio-2018</v>
      </c>
      <c r="AA14" s="168" t="str">
        <f t="shared" si="0"/>
        <v>Agosto-2018</v>
      </c>
      <c r="AB14" s="168" t="str">
        <f t="shared" si="0"/>
        <v>Septiembre-2018</v>
      </c>
      <c r="AC14" s="168" t="str">
        <f t="shared" si="0"/>
        <v>Octubre-2018</v>
      </c>
      <c r="AD14" s="168" t="str">
        <f t="shared" si="0"/>
        <v>Noviembre-2018</v>
      </c>
      <c r="AE14" s="168" t="str">
        <f t="shared" si="0"/>
        <v>Diciembre-2018</v>
      </c>
      <c r="AF14" s="168" t="str">
        <f t="shared" si="0"/>
        <v>Enero-2019</v>
      </c>
      <c r="AG14" s="168" t="str">
        <f t="shared" si="0"/>
        <v>Febrero-2019</v>
      </c>
      <c r="AH14" s="168" t="str">
        <f t="shared" si="0"/>
        <v>Marzo-2019</v>
      </c>
      <c r="AI14" s="168" t="str">
        <f t="shared" si="0"/>
        <v>Abril-2019</v>
      </c>
      <c r="AJ14" s="168" t="str">
        <f t="shared" si="0"/>
        <v>Mayo-2019</v>
      </c>
      <c r="AK14" s="168" t="str">
        <f t="shared" si="0"/>
        <v>Junio-2019</v>
      </c>
      <c r="AL14" s="168" t="str">
        <f t="shared" si="0"/>
        <v>Julio-2019</v>
      </c>
      <c r="AM14" s="168" t="str">
        <f t="shared" si="0"/>
        <v>Agosto-2019</v>
      </c>
      <c r="AN14" s="168" t="str">
        <f t="shared" si="0"/>
        <v>Septiembre-2019</v>
      </c>
      <c r="AO14" s="168" t="str">
        <f t="shared" si="0"/>
        <v>Octubre-2019</v>
      </c>
      <c r="AP14" s="168" t="str">
        <f t="shared" si="0"/>
        <v>Noviembre-2019</v>
      </c>
      <c r="AQ14" s="168" t="str">
        <f t="shared" si="0"/>
        <v>Diciembre-2019</v>
      </c>
      <c r="AR14" s="168" t="str">
        <f t="shared" si="0"/>
        <v>Enero-2020</v>
      </c>
      <c r="AS14" s="168" t="str">
        <f t="shared" si="0"/>
        <v>Febrero-2020</v>
      </c>
      <c r="AT14" s="168" t="str">
        <f t="shared" si="0"/>
        <v>Marzo-2020</v>
      </c>
      <c r="AU14" s="168" t="str">
        <f t="shared" si="0"/>
        <v>Abril-2020</v>
      </c>
      <c r="AV14" s="168" t="str">
        <f t="shared" si="0"/>
        <v>Mayo-2020</v>
      </c>
      <c r="AW14" s="168" t="str">
        <f t="shared" si="0"/>
        <v>Junio-2020</v>
      </c>
      <c r="AX14" s="168" t="str">
        <f t="shared" si="0"/>
        <v>Julio-2020</v>
      </c>
      <c r="AY14" s="168" t="str">
        <f t="shared" si="0"/>
        <v>Agosto-2020</v>
      </c>
      <c r="AZ14" s="168" t="str">
        <f t="shared" si="0"/>
        <v>Septiembre-2020</v>
      </c>
      <c r="BA14" s="168" t="str">
        <f t="shared" si="0"/>
        <v>Octubre-2020</v>
      </c>
      <c r="BB14" s="168" t="str">
        <f t="shared" si="0"/>
        <v>Noviembre-2020</v>
      </c>
      <c r="BC14" s="168" t="str">
        <f t="shared" si="0"/>
        <v>Diciembre-2020</v>
      </c>
      <c r="BD14" s="168" t="str">
        <f t="shared" si="0"/>
        <v>Enero-2021</v>
      </c>
      <c r="BE14" s="168" t="str">
        <f t="shared" si="0"/>
        <v>Febrero-2021</v>
      </c>
      <c r="BF14" s="168" t="str">
        <f t="shared" si="0"/>
        <v>Marzo-2021</v>
      </c>
      <c r="BG14" s="168" t="str">
        <f t="shared" si="0"/>
        <v>Abril-2021</v>
      </c>
      <c r="BH14" s="168" t="str">
        <f t="shared" si="0"/>
        <v>Mayo-2021</v>
      </c>
      <c r="BI14" s="168" t="str">
        <f t="shared" si="0"/>
        <v>Junio-2021</v>
      </c>
      <c r="BJ14" s="168" t="str">
        <f t="shared" si="0"/>
        <v>Julio-2021</v>
      </c>
      <c r="BK14" s="168" t="str">
        <f t="shared" si="0"/>
        <v>Agosto-2021</v>
      </c>
      <c r="BL14" s="168" t="str">
        <f t="shared" si="0"/>
        <v>Septiembre-2021</v>
      </c>
      <c r="BM14" s="168" t="str">
        <f t="shared" si="0"/>
        <v>Octubre-2021</v>
      </c>
      <c r="BN14" s="168" t="str">
        <f t="shared" si="0"/>
        <v>Noviembre-2021</v>
      </c>
      <c r="BO14" s="168" t="str">
        <f t="shared" si="0"/>
        <v>Diciembre-2021</v>
      </c>
      <c r="BP14" s="168" t="str">
        <f t="shared" si="0"/>
        <v>Enero-2022</v>
      </c>
      <c r="BQ14" s="168" t="str">
        <f t="shared" si="0"/>
        <v>Febrero-2022</v>
      </c>
      <c r="BR14" s="168" t="str">
        <f t="shared" si="0"/>
        <v>Marzo-2022</v>
      </c>
      <c r="BS14" s="168" t="str">
        <f t="shared" si="0"/>
        <v>Abril-2022</v>
      </c>
      <c r="BT14" s="168" t="str">
        <f t="shared" ref="BT14:CF14" si="1">+BT13&amp;"-"&amp;BT12</f>
        <v>Mayo-2022</v>
      </c>
      <c r="BU14" s="168" t="str">
        <f t="shared" si="1"/>
        <v>Junio-2022</v>
      </c>
      <c r="BV14" s="168" t="str">
        <f t="shared" si="1"/>
        <v>Julio-2022</v>
      </c>
      <c r="BW14" s="168" t="str">
        <f t="shared" si="1"/>
        <v>Agosto-2022</v>
      </c>
      <c r="BX14" s="168" t="str">
        <f t="shared" si="1"/>
        <v>Septiembre-2022</v>
      </c>
      <c r="BY14" s="168" t="str">
        <f t="shared" si="1"/>
        <v>Octubre-2022</v>
      </c>
      <c r="BZ14" s="168" t="str">
        <f t="shared" si="1"/>
        <v>Noviembre-2022</v>
      </c>
      <c r="CA14" s="168" t="str">
        <f t="shared" si="1"/>
        <v>Diciembre-2022</v>
      </c>
      <c r="CB14" s="168" t="str">
        <f t="shared" si="1"/>
        <v>Enero-2023</v>
      </c>
      <c r="CC14" s="168" t="str">
        <f t="shared" si="1"/>
        <v>Febrero-2023</v>
      </c>
      <c r="CD14" s="168" t="str">
        <f t="shared" si="1"/>
        <v>Marzo-2023</v>
      </c>
      <c r="CE14" s="168" t="str">
        <f t="shared" si="1"/>
        <v>Abril-2023</v>
      </c>
      <c r="CF14" s="168" t="str">
        <f t="shared" si="1"/>
        <v>Mayo-2023</v>
      </c>
      <c r="CG14" s="168" t="str">
        <f>+CG13&amp;"-"&amp;CG12</f>
        <v>Junio-2023</v>
      </c>
      <c r="CH14" s="168" t="str">
        <f>+CH13&amp;"-"&amp;CH12</f>
        <v>Julio-2023</v>
      </c>
      <c r="CI14" s="168" t="str">
        <f>+CI13&amp;"-"&amp;CI12</f>
        <v>Agosto-2023</v>
      </c>
      <c r="CJ14" s="168" t="str">
        <f>+CJ13&amp;"-"&amp;CJ12</f>
        <v>Septiembre-2023</v>
      </c>
      <c r="CK14" s="168" t="str">
        <f>+CK13&amp;"-"&amp;CK12</f>
        <v>Octubre-2023</v>
      </c>
      <c r="CL14" s="168" t="str">
        <f t="shared" ref="CL14:CO14" si="2">+CL13&amp;"-"&amp;CL12</f>
        <v>Noviembre-2023</v>
      </c>
      <c r="CM14" s="168" t="str">
        <f t="shared" si="2"/>
        <v>Diciembre-2023</v>
      </c>
      <c r="CN14" s="168" t="str">
        <f t="shared" si="2"/>
        <v>Enero-2024</v>
      </c>
      <c r="CO14" s="168" t="str">
        <f t="shared" si="2"/>
        <v>Febrero-2024</v>
      </c>
      <c r="CP14" s="168" t="str">
        <f t="shared" ref="CP14:CQ14" si="3">+CP13&amp;"-"&amp;CP12</f>
        <v>Marzo-2024</v>
      </c>
      <c r="CQ14" s="168" t="str">
        <f t="shared" si="3"/>
        <v>Abril-2024</v>
      </c>
    </row>
    <row r="15" spans="1:95" ht="24" thickTop="1" thickBot="1" x14ac:dyDescent="0.4">
      <c r="A15" s="184">
        <f>+A14+1</f>
        <v>2</v>
      </c>
      <c r="B15" s="174" t="s">
        <v>102</v>
      </c>
      <c r="C15" s="175" t="s">
        <v>103</v>
      </c>
      <c r="D15" s="175" t="s">
        <v>104</v>
      </c>
      <c r="E15" s="192" t="s">
        <v>105</v>
      </c>
      <c r="F15" s="176" t="s">
        <v>101</v>
      </c>
      <c r="G15" s="185">
        <f t="shared" ref="G15:G61" si="4">+(IFERROR(HLOOKUP($G$8,$H$14:$CD$61,A15,0),"Año-Mes invalido")-IFERROR(HLOOKUP($G$14,$H$14:$CD$61,A15,0),"Año-Mes invalido"))/IFERROR(HLOOKUP($G$14,$H$14:$CD$61,A15,0),"Año-Mes invalido")</f>
        <v>0.84769013516239655</v>
      </c>
      <c r="H15" s="179" t="s">
        <v>101</v>
      </c>
      <c r="I15" s="179" t="s">
        <v>101</v>
      </c>
      <c r="J15" s="179" t="s">
        <v>101</v>
      </c>
      <c r="K15" s="179" t="s">
        <v>101</v>
      </c>
      <c r="L15" s="179" t="s">
        <v>101</v>
      </c>
      <c r="M15" s="179" t="s">
        <v>101</v>
      </c>
      <c r="N15" s="179" t="s">
        <v>101</v>
      </c>
      <c r="O15" s="179" t="s">
        <v>101</v>
      </c>
      <c r="P15" s="179" t="s">
        <v>101</v>
      </c>
      <c r="Q15" s="179" t="s">
        <v>101</v>
      </c>
      <c r="R15" s="179" t="s">
        <v>101</v>
      </c>
      <c r="S15" s="287">
        <v>202.2</v>
      </c>
      <c r="T15" s="287">
        <v>209.4</v>
      </c>
      <c r="U15" s="287">
        <v>214.1</v>
      </c>
      <c r="V15" s="287">
        <v>220.7</v>
      </c>
      <c r="W15" s="287">
        <v>227.7</v>
      </c>
      <c r="X15" s="287">
        <v>242.7</v>
      </c>
      <c r="Y15" s="287">
        <v>260.60000000000002</v>
      </c>
      <c r="Z15" s="287">
        <v>268.39999999999998</v>
      </c>
      <c r="AA15" s="287">
        <v>291.10000000000002</v>
      </c>
      <c r="AB15" s="287">
        <v>319.39999999999998</v>
      </c>
      <c r="AC15" s="287">
        <v>330</v>
      </c>
      <c r="AD15" s="287">
        <v>338.7</v>
      </c>
      <c r="AE15" s="287">
        <v>344.5</v>
      </c>
      <c r="AF15" s="287">
        <v>353.6</v>
      </c>
      <c r="AG15" s="287">
        <v>364.3</v>
      </c>
      <c r="AH15" s="287">
        <v>382</v>
      </c>
      <c r="AI15" s="287">
        <v>394.8</v>
      </c>
      <c r="AJ15" s="287">
        <v>404.8</v>
      </c>
      <c r="AK15" s="287">
        <v>413.5</v>
      </c>
      <c r="AL15" s="287">
        <v>418.7</v>
      </c>
      <c r="AM15" s="287">
        <v>480.9</v>
      </c>
      <c r="AN15" s="287">
        <v>490.5</v>
      </c>
      <c r="AO15" s="287">
        <v>515.1</v>
      </c>
      <c r="AP15" s="287">
        <v>532.79999999999995</v>
      </c>
      <c r="AQ15" s="287">
        <v>542.4</v>
      </c>
      <c r="AR15" s="287">
        <v>552.4</v>
      </c>
      <c r="AS15" s="287">
        <v>564.6</v>
      </c>
      <c r="AT15" s="287">
        <v>572.9</v>
      </c>
      <c r="AU15" s="287">
        <v>584.6</v>
      </c>
      <c r="AV15" s="287">
        <v>606.9</v>
      </c>
      <c r="AW15" s="287">
        <v>624</v>
      </c>
      <c r="AX15" s="287">
        <v>651.79999999999995</v>
      </c>
      <c r="AY15" s="287">
        <v>679.3</v>
      </c>
      <c r="AZ15" s="287">
        <v>717.6</v>
      </c>
      <c r="BA15" s="287">
        <v>780.7</v>
      </c>
      <c r="BB15" s="287">
        <v>833</v>
      </c>
      <c r="BC15" s="287">
        <v>884.8</v>
      </c>
      <c r="BD15" s="287">
        <v>936.1</v>
      </c>
      <c r="BE15" s="287">
        <v>987.4</v>
      </c>
      <c r="BF15" s="188">
        <v>1027.5</v>
      </c>
      <c r="BG15" s="188">
        <v>1074.2</v>
      </c>
      <c r="BH15" s="188">
        <v>1122.3</v>
      </c>
      <c r="BI15" s="188">
        <v>1160.8</v>
      </c>
      <c r="BJ15" s="188">
        <v>1205.2</v>
      </c>
      <c r="BK15" s="188">
        <v>1245.7</v>
      </c>
      <c r="BL15" s="188">
        <v>1291.8</v>
      </c>
      <c r="BM15" s="188">
        <v>1341.5</v>
      </c>
      <c r="BN15" s="188">
        <v>1391.6</v>
      </c>
      <c r="BO15" s="188">
        <v>1431.9</v>
      </c>
      <c r="BP15" s="209">
        <v>1487.1</v>
      </c>
      <c r="BQ15" s="209">
        <v>1545.8</v>
      </c>
      <c r="BR15" s="209">
        <v>1624.6</v>
      </c>
      <c r="BS15" s="209">
        <v>1709.9</v>
      </c>
      <c r="BT15" s="209">
        <v>1801.7</v>
      </c>
      <c r="BU15" s="209">
        <v>1907.4</v>
      </c>
      <c r="BV15" s="209">
        <v>2098.6999999999998</v>
      </c>
      <c r="BW15" s="209" t="s">
        <v>288</v>
      </c>
      <c r="BX15" s="188">
        <v>2399.4</v>
      </c>
      <c r="BY15" s="188">
        <v>2573</v>
      </c>
      <c r="BZ15" s="188">
        <v>2747.7</v>
      </c>
      <c r="CA15" s="188">
        <v>2933.6</v>
      </c>
      <c r="CB15" s="188">
        <v>3113.8</v>
      </c>
      <c r="CC15" s="188">
        <v>3276.5</v>
      </c>
      <c r="CD15" s="188">
        <v>3482.1</v>
      </c>
      <c r="CE15" s="188">
        <v>3740.9</v>
      </c>
      <c r="CF15" s="188">
        <v>3985.6</v>
      </c>
      <c r="CG15" s="188">
        <v>4282.6000000000004</v>
      </c>
      <c r="CH15" s="188">
        <v>4678.3</v>
      </c>
      <c r="CI15" s="188">
        <v>5707.8</v>
      </c>
      <c r="CJ15" s="188">
        <v>6219.5</v>
      </c>
      <c r="CK15" s="188" t="s">
        <v>175</v>
      </c>
      <c r="CL15" s="188">
        <v>8345.6</v>
      </c>
      <c r="CM15" s="188">
        <v>11806.7</v>
      </c>
      <c r="CN15" s="188">
        <v>13277.8</v>
      </c>
      <c r="CO15" s="188">
        <v>14214.4</v>
      </c>
      <c r="CP15" s="188">
        <v>14955.8</v>
      </c>
      <c r="CQ15" s="188">
        <v>14955.8</v>
      </c>
    </row>
    <row r="16" spans="1:95" ht="24" thickTop="1" thickBot="1" x14ac:dyDescent="0.4">
      <c r="A16" s="184">
        <f t="shared" ref="A16:A61" si="5">+A15+1</f>
        <v>3</v>
      </c>
      <c r="B16" s="174" t="s">
        <v>102</v>
      </c>
      <c r="C16" s="175" t="s">
        <v>103</v>
      </c>
      <c r="D16" s="175" t="s">
        <v>106</v>
      </c>
      <c r="E16" s="187" t="s">
        <v>105</v>
      </c>
      <c r="F16" s="176" t="s">
        <v>101</v>
      </c>
      <c r="G16" s="185">
        <f t="shared" si="4"/>
        <v>0.74358974358974372</v>
      </c>
      <c r="H16" s="179" t="s">
        <v>101</v>
      </c>
      <c r="I16" s="179" t="s">
        <v>101</v>
      </c>
      <c r="J16" s="179" t="s">
        <v>101</v>
      </c>
      <c r="K16" s="179" t="s">
        <v>101</v>
      </c>
      <c r="L16" s="179" t="s">
        <v>101</v>
      </c>
      <c r="M16" s="179" t="s">
        <v>101</v>
      </c>
      <c r="N16" s="179" t="s">
        <v>101</v>
      </c>
      <c r="O16" s="179" t="s">
        <v>101</v>
      </c>
      <c r="P16" s="179" t="s">
        <v>101</v>
      </c>
      <c r="Q16" s="179" t="s">
        <v>101</v>
      </c>
      <c r="R16" s="179" t="s">
        <v>101</v>
      </c>
      <c r="S16" s="180">
        <v>2.1999999999999999E-2</v>
      </c>
      <c r="T16" s="180" t="s">
        <v>107</v>
      </c>
      <c r="U16" s="180">
        <v>2.1999999999999999E-2</v>
      </c>
      <c r="V16" s="180">
        <v>3.1E-2</v>
      </c>
      <c r="W16" s="180">
        <v>3.2000000000000001E-2</v>
      </c>
      <c r="X16" s="180">
        <v>6.6000000000000003E-2</v>
      </c>
      <c r="Y16" s="180">
        <v>7.3999999999999996E-2</v>
      </c>
      <c r="Z16" s="180">
        <v>0.03</v>
      </c>
      <c r="AA16" s="180">
        <v>8.5000000000000006E-2</v>
      </c>
      <c r="AB16" s="180">
        <v>9.7000000000000003E-2</v>
      </c>
      <c r="AC16" s="180">
        <v>3.3000000000000002E-2</v>
      </c>
      <c r="AD16" s="180">
        <v>2.5999999999999999E-2</v>
      </c>
      <c r="AE16" s="180">
        <v>1.7000000000000001E-2</v>
      </c>
      <c r="AF16" s="180">
        <v>2.5999999999999999E-2</v>
      </c>
      <c r="AG16" s="180">
        <v>0.03</v>
      </c>
      <c r="AH16" s="180">
        <v>4.9000000000000002E-2</v>
      </c>
      <c r="AI16" s="180">
        <v>3.3000000000000002E-2</v>
      </c>
      <c r="AJ16" s="180">
        <v>2.5000000000000001E-2</v>
      </c>
      <c r="AK16" s="180">
        <v>2.1000000000000001E-2</v>
      </c>
      <c r="AL16" s="180">
        <v>1.2999999999999999E-2</v>
      </c>
      <c r="AM16" s="180">
        <v>0.14899999999999999</v>
      </c>
      <c r="AN16" s="180">
        <v>0.02</v>
      </c>
      <c r="AO16" s="180">
        <v>0.05</v>
      </c>
      <c r="AP16" s="180">
        <v>3.4000000000000002E-2</v>
      </c>
      <c r="AQ16" s="180">
        <v>1.7999999999999999E-2</v>
      </c>
      <c r="AR16" s="180">
        <v>1.7999999999999999E-2</v>
      </c>
      <c r="AS16" s="180">
        <v>2.1999999999999999E-2</v>
      </c>
      <c r="AT16" s="180">
        <v>1.4999999999999999E-2</v>
      </c>
      <c r="AU16" s="180">
        <v>0.02</v>
      </c>
      <c r="AV16" s="180">
        <v>3.7999999999999999E-2</v>
      </c>
      <c r="AW16" s="180">
        <v>2.8000000000000001E-2</v>
      </c>
      <c r="AX16" s="180">
        <v>4.4999999999999998E-2</v>
      </c>
      <c r="AY16" s="180">
        <v>4.2000000000000003E-2</v>
      </c>
      <c r="AZ16" s="180">
        <v>5.6000000000000001E-2</v>
      </c>
      <c r="BA16" s="180">
        <v>8.7999999999999995E-2</v>
      </c>
      <c r="BB16" s="180">
        <v>6.7000000000000004E-2</v>
      </c>
      <c r="BC16" s="180">
        <v>6.2E-2</v>
      </c>
      <c r="BD16" s="180">
        <v>5.8000000000000003E-2</v>
      </c>
      <c r="BE16" s="180">
        <v>5.5E-2</v>
      </c>
      <c r="BF16" s="180">
        <v>4.1000000000000002E-2</v>
      </c>
      <c r="BG16" s="180">
        <v>4.4999999999999998E-2</v>
      </c>
      <c r="BH16" s="180">
        <v>4.4999999999999998E-2</v>
      </c>
      <c r="BI16" s="180">
        <v>3.4000000000000002E-2</v>
      </c>
      <c r="BJ16" s="180">
        <v>3.7999999999999999E-2</v>
      </c>
      <c r="BK16" s="180">
        <v>3.4000000000000002E-2</v>
      </c>
      <c r="BL16" s="180">
        <v>3.6999999999999998E-2</v>
      </c>
      <c r="BM16" s="180">
        <v>3.9E-2</v>
      </c>
      <c r="BN16" s="180">
        <v>3.6999999999999998E-2</v>
      </c>
      <c r="BO16" s="180">
        <v>2.9000000000000001E-2</v>
      </c>
      <c r="BP16" s="180">
        <v>3.9E-2</v>
      </c>
      <c r="BQ16" s="180">
        <v>3.9E-2</v>
      </c>
      <c r="BR16" s="180">
        <v>5.0999999999999997E-2</v>
      </c>
      <c r="BS16" s="180">
        <v>5.2999999999999999E-2</v>
      </c>
      <c r="BT16" s="180">
        <v>5.3999999999999999E-2</v>
      </c>
      <c r="BU16" s="180">
        <v>5.8999999999999997E-2</v>
      </c>
      <c r="BV16" s="180">
        <v>0.1</v>
      </c>
      <c r="BW16" s="212">
        <v>7.0000000000000007E-2</v>
      </c>
      <c r="BX16" s="180">
        <v>6.8000000000000005E-2</v>
      </c>
      <c r="BY16" s="180">
        <v>7.1999999999999995E-2</v>
      </c>
      <c r="BZ16" s="180">
        <v>6.8000000000000005E-2</v>
      </c>
      <c r="CA16" s="180">
        <v>6.8000000000000005E-2</v>
      </c>
      <c r="CB16" s="180">
        <v>6.0999999999999999E-2</v>
      </c>
      <c r="CC16" s="180">
        <v>5.1999999999999998E-2</v>
      </c>
      <c r="CD16" s="207">
        <v>6.3E-2</v>
      </c>
      <c r="CE16" s="212" t="s">
        <v>300</v>
      </c>
      <c r="CF16" s="201">
        <v>6.5000000000000002E-2</v>
      </c>
      <c r="CG16" s="201">
        <v>7.4999999999999997E-2</v>
      </c>
      <c r="CH16" s="201">
        <v>9.1999999999999998E-2</v>
      </c>
      <c r="CI16" s="212">
        <v>0.22</v>
      </c>
      <c r="CJ16" s="212">
        <v>0.09</v>
      </c>
      <c r="CK16" s="188" t="s">
        <v>175</v>
      </c>
      <c r="CL16" s="201">
        <v>0.1719</v>
      </c>
      <c r="CM16" s="201">
        <v>0.41499999999999998</v>
      </c>
      <c r="CN16" s="201">
        <v>0.125</v>
      </c>
      <c r="CO16" s="201">
        <v>7.0999999999999994E-2</v>
      </c>
      <c r="CP16" s="201">
        <v>5.1999999999999998E-2</v>
      </c>
      <c r="CQ16" s="201">
        <v>5.1999999999999998E-2</v>
      </c>
    </row>
    <row r="17" spans="1:95" ht="24" thickTop="1" thickBot="1" x14ac:dyDescent="0.4">
      <c r="A17" s="184">
        <f>+A16+1</f>
        <v>4</v>
      </c>
      <c r="B17" s="174" t="s">
        <v>102</v>
      </c>
      <c r="C17" s="175" t="s">
        <v>108</v>
      </c>
      <c r="D17" s="175" t="s">
        <v>109</v>
      </c>
      <c r="E17" s="187" t="s">
        <v>110</v>
      </c>
      <c r="F17" s="176" t="s">
        <v>101</v>
      </c>
      <c r="G17" s="185">
        <f t="shared" si="4"/>
        <v>0.96875</v>
      </c>
      <c r="H17" s="195">
        <v>2.7E-2</v>
      </c>
      <c r="I17" s="195">
        <v>1.7000000000000001E-2</v>
      </c>
      <c r="J17" s="195">
        <v>1.0999999999999999E-2</v>
      </c>
      <c r="K17" s="195">
        <v>5.5E-2</v>
      </c>
      <c r="L17" s="195">
        <v>1.0999999999999999E-2</v>
      </c>
      <c r="M17" s="195">
        <v>1.0999999999999999E-2</v>
      </c>
      <c r="N17" s="195">
        <v>5.8999999999999997E-2</v>
      </c>
      <c r="O17" s="195">
        <v>1.2999999999999999E-2</v>
      </c>
      <c r="P17" s="195">
        <v>8.0000000000000002E-3</v>
      </c>
      <c r="Q17" s="195">
        <v>8.0000000000000002E-3</v>
      </c>
      <c r="R17" s="195">
        <v>4.0000000000000001E-3</v>
      </c>
      <c r="S17" s="195">
        <v>1.4E-2</v>
      </c>
      <c r="T17" s="195">
        <v>1.0999999999999999E-2</v>
      </c>
      <c r="U17" s="195">
        <v>2.4E-2</v>
      </c>
      <c r="V17" s="195">
        <v>1.6E-2</v>
      </c>
      <c r="W17" s="195">
        <v>5.7000000000000002E-2</v>
      </c>
      <c r="X17" s="195">
        <v>2.8000000000000001E-2</v>
      </c>
      <c r="Y17" s="195">
        <v>2.5000000000000001E-2</v>
      </c>
      <c r="Z17" s="195">
        <v>1.7000000000000001E-2</v>
      </c>
      <c r="AA17" s="195">
        <v>3.6999999999999998E-2</v>
      </c>
      <c r="AB17" s="195">
        <v>7.4999999999999997E-2</v>
      </c>
      <c r="AC17" s="195">
        <v>2.1999999999999999E-2</v>
      </c>
      <c r="AD17" s="195">
        <v>3.5000000000000003E-2</v>
      </c>
      <c r="AE17" s="195">
        <v>3.3000000000000002E-2</v>
      </c>
      <c r="AF17" s="195">
        <v>1.0999999999999999E-2</v>
      </c>
      <c r="AG17" s="195">
        <v>1.2999999999999999E-2</v>
      </c>
      <c r="AH17" s="195">
        <v>3.5000000000000003E-2</v>
      </c>
      <c r="AI17" s="195">
        <v>6.2E-2</v>
      </c>
      <c r="AJ17" s="195">
        <v>3.4000000000000002E-2</v>
      </c>
      <c r="AK17" s="195">
        <v>1.6E-2</v>
      </c>
      <c r="AL17" s="195">
        <v>2.7E-2</v>
      </c>
      <c r="AM17" s="195">
        <v>7.3999999999999996E-2</v>
      </c>
      <c r="AN17" s="195">
        <v>2.4E-2</v>
      </c>
      <c r="AO17" s="195">
        <v>4.5999999999999999E-2</v>
      </c>
      <c r="AP17" s="180">
        <v>4.4999999999999998E-2</v>
      </c>
      <c r="AQ17" s="180">
        <v>1.7000000000000001E-2</v>
      </c>
      <c r="AR17" s="180">
        <v>5.8999999999999997E-2</v>
      </c>
      <c r="AS17" s="180">
        <v>4.2000000000000003E-2</v>
      </c>
      <c r="AT17" s="180">
        <v>0</v>
      </c>
      <c r="AU17" s="180">
        <v>-1.2E-2</v>
      </c>
      <c r="AV17" s="180">
        <v>-4.0000000000000001E-3</v>
      </c>
      <c r="AW17" s="180">
        <v>1.2E-2</v>
      </c>
      <c r="AX17" s="180">
        <v>2.1999999999999999E-2</v>
      </c>
      <c r="AY17" s="180">
        <v>2.5000000000000001E-2</v>
      </c>
      <c r="AZ17" s="180">
        <v>2.9000000000000001E-2</v>
      </c>
      <c r="BA17" s="180">
        <v>3.6999999999999998E-2</v>
      </c>
      <c r="BB17" s="180">
        <v>0.124</v>
      </c>
      <c r="BC17" s="180">
        <v>3.4000000000000002E-2</v>
      </c>
      <c r="BD17" s="180">
        <v>3.1E-2</v>
      </c>
      <c r="BE17" s="180">
        <v>0.05</v>
      </c>
      <c r="BF17" s="180">
        <v>2.1999999999999999E-2</v>
      </c>
      <c r="BG17" s="180">
        <v>6.4000000000000001E-2</v>
      </c>
      <c r="BH17" s="180">
        <v>2.7E-2</v>
      </c>
      <c r="BI17" s="180">
        <v>0.02</v>
      </c>
      <c r="BJ17" s="180">
        <v>0.05</v>
      </c>
      <c r="BK17" s="180">
        <v>2.1000000000000001E-2</v>
      </c>
      <c r="BL17" s="180">
        <v>0.03</v>
      </c>
      <c r="BM17" s="180">
        <v>3.9E-2</v>
      </c>
      <c r="BN17" s="180">
        <v>2.1000000000000001E-2</v>
      </c>
      <c r="BO17" s="180">
        <v>1.4999999999999999E-2</v>
      </c>
      <c r="BP17" s="180">
        <v>3.2000000000000001E-2</v>
      </c>
      <c r="BQ17" s="180">
        <v>3.6999999999999998E-2</v>
      </c>
      <c r="BR17" s="180">
        <v>4.3999999999999997E-2</v>
      </c>
      <c r="BS17" s="180">
        <v>2.5000000000000001E-2</v>
      </c>
      <c r="BT17" s="180">
        <v>6.2E-2</v>
      </c>
      <c r="BU17" s="180">
        <v>6.3E-2</v>
      </c>
      <c r="BV17" s="180">
        <v>6.8000000000000005E-2</v>
      </c>
      <c r="BW17" s="180">
        <v>7.2099999999999997E-2</v>
      </c>
      <c r="BX17" s="180">
        <v>7.0000000000000007E-2</v>
      </c>
      <c r="BY17" s="180">
        <v>6.8000000000000005E-2</v>
      </c>
      <c r="BZ17" s="180">
        <v>6.3E-2</v>
      </c>
      <c r="CA17" s="180">
        <v>5.6000000000000001E-2</v>
      </c>
      <c r="CB17" s="180">
        <v>6.2E-2</v>
      </c>
      <c r="CC17" s="180">
        <v>5.6000000000000001E-2</v>
      </c>
      <c r="CD17" s="180">
        <v>4.4999999999999998E-2</v>
      </c>
      <c r="CE17" s="180">
        <v>7.8E-2</v>
      </c>
      <c r="CF17" s="180">
        <v>7.1999999999999995E-2</v>
      </c>
      <c r="CG17" s="180">
        <v>5.6000000000000001E-2</v>
      </c>
      <c r="CH17" s="182">
        <v>7.9000000000000001E-2</v>
      </c>
      <c r="CI17" s="182">
        <v>0.14699999999999999</v>
      </c>
      <c r="CJ17" s="213">
        <v>0.111</v>
      </c>
      <c r="CK17" s="213">
        <v>7.0999999999999994E-2</v>
      </c>
      <c r="CL17" s="213">
        <v>0.113</v>
      </c>
      <c r="CM17" s="213">
        <v>0.30099999999999999</v>
      </c>
      <c r="CN17" s="213">
        <v>0.155</v>
      </c>
      <c r="CO17" s="213">
        <v>6.4000000000000001E-2</v>
      </c>
      <c r="CP17" s="213">
        <v>8.1000000000000003E-2</v>
      </c>
      <c r="CQ17" s="213">
        <v>8.1000000000000003E-2</v>
      </c>
    </row>
    <row r="18" spans="1:95" ht="24" thickTop="1" thickBot="1" x14ac:dyDescent="0.4">
      <c r="A18" s="184">
        <f t="shared" si="5"/>
        <v>5</v>
      </c>
      <c r="B18" s="174" t="s">
        <v>102</v>
      </c>
      <c r="C18" s="175" t="s">
        <v>108</v>
      </c>
      <c r="D18" s="175" t="s">
        <v>111</v>
      </c>
      <c r="E18" s="187" t="s">
        <v>110</v>
      </c>
      <c r="F18" s="176" t="s">
        <v>112</v>
      </c>
      <c r="G18" s="185">
        <f t="shared" si="4"/>
        <v>0.74243162671295893</v>
      </c>
      <c r="H18" s="181">
        <v>100</v>
      </c>
      <c r="I18" s="287">
        <f>+H18*(I17+1)</f>
        <v>101.69999999999999</v>
      </c>
      <c r="J18" s="287">
        <f>+I18*(J17+1)</f>
        <v>102.81869999999998</v>
      </c>
      <c r="K18" s="287">
        <f t="shared" ref="K18:BV18" si="6">+J18*(K17+1)</f>
        <v>108.47372849999996</v>
      </c>
      <c r="L18" s="287">
        <f t="shared" si="6"/>
        <v>109.66693951349995</v>
      </c>
      <c r="M18" s="287">
        <f t="shared" si="6"/>
        <v>110.87327584814844</v>
      </c>
      <c r="N18" s="287">
        <f t="shared" si="6"/>
        <v>117.41479912318918</v>
      </c>
      <c r="O18" s="287">
        <f t="shared" si="6"/>
        <v>118.94119151179063</v>
      </c>
      <c r="P18" s="287">
        <f t="shared" si="6"/>
        <v>119.89272104388496</v>
      </c>
      <c r="Q18" s="287">
        <f t="shared" si="6"/>
        <v>120.85186281223604</v>
      </c>
      <c r="R18" s="287">
        <f t="shared" si="6"/>
        <v>121.33527026348499</v>
      </c>
      <c r="S18" s="287">
        <f t="shared" si="6"/>
        <v>123.03396404717378</v>
      </c>
      <c r="T18" s="287">
        <f>+S18*(T17+1)</f>
        <v>124.38733765169268</v>
      </c>
      <c r="U18" s="287">
        <f t="shared" si="6"/>
        <v>127.3726337553333</v>
      </c>
      <c r="V18" s="287">
        <f t="shared" si="6"/>
        <v>129.41059589541862</v>
      </c>
      <c r="W18" s="287">
        <f t="shared" si="6"/>
        <v>136.78699986145747</v>
      </c>
      <c r="X18" s="287">
        <f t="shared" si="6"/>
        <v>140.61703585757829</v>
      </c>
      <c r="Y18" s="287">
        <f t="shared" si="6"/>
        <v>144.13246175401773</v>
      </c>
      <c r="Z18" s="287">
        <f t="shared" si="6"/>
        <v>146.58271360383603</v>
      </c>
      <c r="AA18" s="287">
        <f t="shared" si="6"/>
        <v>152.00627400717795</v>
      </c>
      <c r="AB18" s="287">
        <f t="shared" si="6"/>
        <v>163.40674455771628</v>
      </c>
      <c r="AC18" s="287">
        <f t="shared" si="6"/>
        <v>167.00169293798604</v>
      </c>
      <c r="AD18" s="287">
        <f t="shared" si="6"/>
        <v>172.84675219081552</v>
      </c>
      <c r="AE18" s="287">
        <f t="shared" si="6"/>
        <v>178.55069501311243</v>
      </c>
      <c r="AF18" s="287">
        <f t="shared" si="6"/>
        <v>180.51475265825664</v>
      </c>
      <c r="AG18" s="287">
        <f t="shared" si="6"/>
        <v>182.86144444281396</v>
      </c>
      <c r="AH18" s="287">
        <f t="shared" si="6"/>
        <v>189.26159499831243</v>
      </c>
      <c r="AI18" s="287">
        <f t="shared" si="6"/>
        <v>200.99581388820781</v>
      </c>
      <c r="AJ18" s="287">
        <f t="shared" si="6"/>
        <v>207.82967156040687</v>
      </c>
      <c r="AK18" s="287">
        <f t="shared" si="6"/>
        <v>211.15494630537339</v>
      </c>
      <c r="AL18" s="287">
        <f t="shared" si="6"/>
        <v>216.85612985561846</v>
      </c>
      <c r="AM18" s="287">
        <f t="shared" si="6"/>
        <v>232.90348346493425</v>
      </c>
      <c r="AN18" s="287">
        <f t="shared" si="6"/>
        <v>238.49316706809267</v>
      </c>
      <c r="AO18" s="287">
        <f t="shared" si="6"/>
        <v>249.46385275322496</v>
      </c>
      <c r="AP18" s="287">
        <f t="shared" si="6"/>
        <v>260.68972612712008</v>
      </c>
      <c r="AQ18" s="287">
        <f t="shared" si="6"/>
        <v>265.12145147128109</v>
      </c>
      <c r="AR18" s="287">
        <f t="shared" si="6"/>
        <v>280.76361710808663</v>
      </c>
      <c r="AS18" s="287">
        <f t="shared" si="6"/>
        <v>292.55568902662628</v>
      </c>
      <c r="AT18" s="287">
        <f t="shared" si="6"/>
        <v>292.55568902662628</v>
      </c>
      <c r="AU18" s="287">
        <f t="shared" si="6"/>
        <v>289.04502075830675</v>
      </c>
      <c r="AV18" s="287">
        <f t="shared" si="6"/>
        <v>287.88884067527351</v>
      </c>
      <c r="AW18" s="287">
        <f t="shared" si="6"/>
        <v>291.34350676337681</v>
      </c>
      <c r="AX18" s="287">
        <f t="shared" si="6"/>
        <v>297.75306391217111</v>
      </c>
      <c r="AY18" s="287">
        <f t="shared" si="6"/>
        <v>305.19689050997539</v>
      </c>
      <c r="AZ18" s="287">
        <f t="shared" si="6"/>
        <v>314.04760033476464</v>
      </c>
      <c r="BA18" s="287">
        <f t="shared" si="6"/>
        <v>325.6673615471509</v>
      </c>
      <c r="BB18" s="287">
        <f t="shared" si="6"/>
        <v>366.05011437899765</v>
      </c>
      <c r="BC18" s="287">
        <f t="shared" si="6"/>
        <v>378.49581826788358</v>
      </c>
      <c r="BD18" s="287">
        <f t="shared" si="6"/>
        <v>390.22918863418795</v>
      </c>
      <c r="BE18" s="287">
        <f t="shared" si="6"/>
        <v>409.74064806589735</v>
      </c>
      <c r="BF18" s="287">
        <f>+BE18*(BF17+1)</f>
        <v>418.75494232334711</v>
      </c>
      <c r="BG18" s="287">
        <f t="shared" si="6"/>
        <v>445.55525863204133</v>
      </c>
      <c r="BH18" s="287">
        <f t="shared" si="6"/>
        <v>457.58525061510642</v>
      </c>
      <c r="BI18" s="287">
        <f t="shared" si="6"/>
        <v>466.73695562740858</v>
      </c>
      <c r="BJ18" s="287">
        <f t="shared" si="6"/>
        <v>490.07380340877904</v>
      </c>
      <c r="BK18" s="287">
        <f t="shared" si="6"/>
        <v>500.36535328036337</v>
      </c>
      <c r="BL18" s="287">
        <f t="shared" si="6"/>
        <v>515.37631387877423</v>
      </c>
      <c r="BM18" s="287">
        <f t="shared" si="6"/>
        <v>535.47599012004639</v>
      </c>
      <c r="BN18" s="287">
        <f t="shared" si="6"/>
        <v>546.72098591256736</v>
      </c>
      <c r="BO18" s="287">
        <f t="shared" si="6"/>
        <v>554.92180070125585</v>
      </c>
      <c r="BP18" s="287">
        <f t="shared" si="6"/>
        <v>572.679298323696</v>
      </c>
      <c r="BQ18" s="287">
        <f t="shared" si="6"/>
        <v>593.86843236167272</v>
      </c>
      <c r="BR18" s="287">
        <f t="shared" si="6"/>
        <v>619.99864338558632</v>
      </c>
      <c r="BS18" s="287">
        <f t="shared" si="6"/>
        <v>635.49860947022592</v>
      </c>
      <c r="BT18" s="287">
        <f t="shared" si="6"/>
        <v>674.89952325738</v>
      </c>
      <c r="BU18" s="287">
        <f t="shared" si="6"/>
        <v>717.41819322259494</v>
      </c>
      <c r="BV18" s="287">
        <f t="shared" si="6"/>
        <v>766.20263036173139</v>
      </c>
      <c r="BW18" s="287">
        <f t="shared" ref="BW18:CF18" si="7">+BV18*(BW17+1)</f>
        <v>821.44584001081228</v>
      </c>
      <c r="BX18" s="287">
        <f t="shared" si="7"/>
        <v>878.94704881156918</v>
      </c>
      <c r="BY18" s="287">
        <f t="shared" si="7"/>
        <v>938.71544813075593</v>
      </c>
      <c r="BZ18" s="287">
        <f t="shared" si="7"/>
        <v>997.85452136299352</v>
      </c>
      <c r="CA18" s="287">
        <f t="shared" si="7"/>
        <v>1053.7343745593212</v>
      </c>
      <c r="CB18" s="287">
        <f t="shared" si="7"/>
        <v>1119.0659057819992</v>
      </c>
      <c r="CC18" s="287">
        <f t="shared" si="7"/>
        <v>1181.7335965057912</v>
      </c>
      <c r="CD18" s="287">
        <f t="shared" si="7"/>
        <v>1234.9116083485517</v>
      </c>
      <c r="CE18" s="287">
        <f t="shared" si="7"/>
        <v>1331.2347137997388</v>
      </c>
      <c r="CF18" s="287">
        <f t="shared" si="7"/>
        <v>1427.0836131933199</v>
      </c>
      <c r="CG18" s="287">
        <f t="shared" ref="CG18:CL18" si="8">+CF18*(CG17+1)</f>
        <v>1507.0002955321459</v>
      </c>
      <c r="CH18" s="287">
        <f t="shared" si="8"/>
        <v>1626.0533188791853</v>
      </c>
      <c r="CI18" s="287">
        <f t="shared" si="8"/>
        <v>1865.0831567544255</v>
      </c>
      <c r="CJ18" s="287">
        <f t="shared" si="8"/>
        <v>2072.1073871541666</v>
      </c>
      <c r="CK18" s="287">
        <f t="shared" si="8"/>
        <v>2219.2270116421123</v>
      </c>
      <c r="CL18" s="287">
        <f t="shared" si="8"/>
        <v>2469.9996639576711</v>
      </c>
      <c r="CM18" s="287">
        <f t="shared" ref="CM18" si="9">+CL18*(CM17+1)</f>
        <v>3213.4695628089298</v>
      </c>
      <c r="CN18" s="287">
        <f>+CM18*(CN17+1)</f>
        <v>3711.5573450443139</v>
      </c>
      <c r="CO18" s="287">
        <f>+CN18*(CO17+1)</f>
        <v>3949.0970151271504</v>
      </c>
      <c r="CP18" s="287">
        <f>+CN18*(CP17+1)</f>
        <v>4012.1934899929033</v>
      </c>
      <c r="CQ18" s="287">
        <f>+CO18*(CQ17+1)</f>
        <v>4268.9738733524491</v>
      </c>
    </row>
    <row r="19" spans="1:95" ht="35.5" thickTop="1" thickBot="1" x14ac:dyDescent="0.4">
      <c r="A19" s="184">
        <f t="shared" si="5"/>
        <v>6</v>
      </c>
      <c r="B19" s="174" t="s">
        <v>102</v>
      </c>
      <c r="C19" s="175" t="s">
        <v>108</v>
      </c>
      <c r="D19" s="175" t="s">
        <v>113</v>
      </c>
      <c r="E19" s="187" t="s">
        <v>110</v>
      </c>
      <c r="F19" s="176" t="s">
        <v>101</v>
      </c>
      <c r="G19" s="185">
        <f t="shared" si="4"/>
        <v>0.59999999999999987</v>
      </c>
      <c r="H19" s="196">
        <v>1.9E-2</v>
      </c>
      <c r="I19" s="196">
        <v>1.7000000000000001E-2</v>
      </c>
      <c r="J19" s="196">
        <v>0.02</v>
      </c>
      <c r="K19" s="196">
        <v>0.01</v>
      </c>
      <c r="L19" s="196">
        <v>1.7999999999999999E-2</v>
      </c>
      <c r="M19" s="196">
        <v>1.0999999999999999E-2</v>
      </c>
      <c r="N19" s="196">
        <v>1.9E-2</v>
      </c>
      <c r="O19" s="196">
        <v>2.1999999999999999E-2</v>
      </c>
      <c r="P19" s="196">
        <v>1.9E-2</v>
      </c>
      <c r="Q19" s="196">
        <v>1.6E-2</v>
      </c>
      <c r="R19" s="196">
        <v>1.4999999999999999E-2</v>
      </c>
      <c r="S19" s="195">
        <v>1.6E-2</v>
      </c>
      <c r="T19" s="195">
        <v>2.4E-2</v>
      </c>
      <c r="U19" s="195">
        <v>2.8000000000000001E-2</v>
      </c>
      <c r="V19" s="195">
        <v>2.5000000000000001E-2</v>
      </c>
      <c r="W19" s="195">
        <v>1.7000000000000001E-2</v>
      </c>
      <c r="X19" s="195">
        <v>6.2E-2</v>
      </c>
      <c r="Y19" s="195">
        <v>5.6000000000000001E-2</v>
      </c>
      <c r="Z19" s="195">
        <v>0.04</v>
      </c>
      <c r="AA19" s="195">
        <v>3.1E-2</v>
      </c>
      <c r="AB19" s="195">
        <v>0.14099999999999999</v>
      </c>
      <c r="AC19" s="195">
        <v>0.04</v>
      </c>
      <c r="AD19" s="195">
        <v>1.4999999999999999E-2</v>
      </c>
      <c r="AE19" s="195">
        <v>1.6E-2</v>
      </c>
      <c r="AF19" s="195">
        <v>1.2E-2</v>
      </c>
      <c r="AG19" s="195">
        <v>1.7000000000000001E-2</v>
      </c>
      <c r="AH19" s="195">
        <v>2.3E-2</v>
      </c>
      <c r="AI19" s="195">
        <v>4.2000000000000003E-2</v>
      </c>
      <c r="AJ19" s="195">
        <v>2.1000000000000001E-2</v>
      </c>
      <c r="AK19" s="195">
        <v>2.5000000000000001E-2</v>
      </c>
      <c r="AL19" s="195">
        <v>8.9999999999999993E-3</v>
      </c>
      <c r="AM19" s="195">
        <v>0.14000000000000001</v>
      </c>
      <c r="AN19" s="195">
        <v>4.4999999999999998E-2</v>
      </c>
      <c r="AO19" s="195">
        <v>0.02</v>
      </c>
      <c r="AP19" s="180">
        <v>4.4999999999999998E-2</v>
      </c>
      <c r="AQ19" s="180">
        <v>2.4E-2</v>
      </c>
      <c r="AR19" s="180">
        <v>1.7999999999999999E-2</v>
      </c>
      <c r="AS19" s="180">
        <v>1.4E-2</v>
      </c>
      <c r="AT19" s="180">
        <v>1.2E-2</v>
      </c>
      <c r="AU19" s="180">
        <v>2.1999999999999999E-2</v>
      </c>
      <c r="AV19" s="180">
        <v>2.7E-2</v>
      </c>
      <c r="AW19" s="180">
        <v>4.2000000000000003E-2</v>
      </c>
      <c r="AX19" s="180">
        <v>0.05</v>
      </c>
      <c r="AY19" s="180">
        <v>5.5E-2</v>
      </c>
      <c r="AZ19" s="180">
        <v>5.6000000000000001E-2</v>
      </c>
      <c r="BA19" s="180">
        <v>7.8E-2</v>
      </c>
      <c r="BB19" s="180">
        <v>7.4999999999999997E-2</v>
      </c>
      <c r="BC19" s="180">
        <v>6.2E-2</v>
      </c>
      <c r="BD19" s="180">
        <v>5.8999999999999997E-2</v>
      </c>
      <c r="BE19" s="180">
        <v>4.5999999999999999E-2</v>
      </c>
      <c r="BF19" s="180">
        <v>0.04</v>
      </c>
      <c r="BG19" s="180">
        <v>4.1000000000000002E-2</v>
      </c>
      <c r="BH19" s="180">
        <v>4.1000000000000002E-2</v>
      </c>
      <c r="BI19" s="180">
        <v>3.5999999999999997E-2</v>
      </c>
      <c r="BJ19" s="180">
        <v>2.8000000000000001E-2</v>
      </c>
      <c r="BK19" s="180">
        <v>3.3000000000000002E-2</v>
      </c>
      <c r="BL19" s="180">
        <v>2.5999999999999999E-2</v>
      </c>
      <c r="BM19" s="180">
        <v>3.5000000000000003E-2</v>
      </c>
      <c r="BN19" s="180">
        <v>3.9E-2</v>
      </c>
      <c r="BO19" s="180">
        <v>2.5000000000000001E-2</v>
      </c>
      <c r="BP19" s="180">
        <v>3.5000000000000003E-2</v>
      </c>
      <c r="BQ19" s="180">
        <v>3.5000000000000003E-2</v>
      </c>
      <c r="BR19" s="180">
        <v>0.04</v>
      </c>
      <c r="BS19" s="180">
        <v>4.4999999999999998E-2</v>
      </c>
      <c r="BT19" s="180">
        <v>4.3999999999999997E-2</v>
      </c>
      <c r="BU19" s="180">
        <v>5.1999999999999998E-2</v>
      </c>
      <c r="BV19" s="180">
        <v>0.123</v>
      </c>
      <c r="BW19" s="180">
        <v>8.8999999999999996E-2</v>
      </c>
      <c r="BX19" s="180">
        <v>5.8999999999999997E-2</v>
      </c>
      <c r="BY19" s="180">
        <v>5.8999999999999997E-2</v>
      </c>
      <c r="BZ19" s="180">
        <v>5.6000000000000001E-2</v>
      </c>
      <c r="CA19" s="180">
        <v>4.9000000000000002E-2</v>
      </c>
      <c r="CB19" s="180">
        <v>5.6000000000000001E-2</v>
      </c>
      <c r="CC19" s="180">
        <v>5.0999999999999997E-2</v>
      </c>
      <c r="CD19" s="180">
        <v>5.5E-2</v>
      </c>
      <c r="CE19" s="180">
        <v>7.0999999999999994E-2</v>
      </c>
      <c r="CF19" s="180">
        <v>7.8E-2</v>
      </c>
      <c r="CG19" s="180">
        <v>7.0999999999999994E-2</v>
      </c>
      <c r="CH19" s="180">
        <v>7.1999999999999995E-2</v>
      </c>
      <c r="CI19" s="195">
        <v>0.222</v>
      </c>
      <c r="CJ19" s="213">
        <v>9.6000000000000002E-2</v>
      </c>
      <c r="CK19" s="213">
        <v>0.14099999999999999</v>
      </c>
      <c r="CL19" s="213">
        <v>0.128</v>
      </c>
      <c r="CM19" s="213">
        <v>0.48299999999999998</v>
      </c>
      <c r="CN19" s="213">
        <v>0.13200000000000001</v>
      </c>
      <c r="CO19" s="213">
        <v>6.3E-2</v>
      </c>
      <c r="CP19" s="213">
        <v>0.05</v>
      </c>
      <c r="CQ19" s="213">
        <v>0.05</v>
      </c>
    </row>
    <row r="20" spans="1:95" ht="24" thickTop="1" thickBot="1" x14ac:dyDescent="0.4">
      <c r="A20" s="184">
        <f t="shared" si="5"/>
        <v>7</v>
      </c>
      <c r="B20" s="174" t="s">
        <v>102</v>
      </c>
      <c r="C20" s="175" t="s">
        <v>108</v>
      </c>
      <c r="D20" s="175" t="s">
        <v>114</v>
      </c>
      <c r="E20" s="187" t="s">
        <v>110</v>
      </c>
      <c r="F20" s="176" t="s">
        <v>112</v>
      </c>
      <c r="G20" s="185">
        <f t="shared" si="4"/>
        <v>0.78924450639636379</v>
      </c>
      <c r="H20" s="181">
        <v>100</v>
      </c>
      <c r="I20" s="287">
        <f>+H20*(I19+1)</f>
        <v>101.69999999999999</v>
      </c>
      <c r="J20" s="287">
        <f t="shared" ref="J20:BU20" si="10">+I20*(J19+1)</f>
        <v>103.73399999999999</v>
      </c>
      <c r="K20" s="287">
        <f t="shared" si="10"/>
        <v>104.77134</v>
      </c>
      <c r="L20" s="287">
        <f t="shared" si="10"/>
        <v>106.65722412</v>
      </c>
      <c r="M20" s="287">
        <f t="shared" si="10"/>
        <v>107.83045358531999</v>
      </c>
      <c r="N20" s="287">
        <f t="shared" si="10"/>
        <v>109.87923220344106</v>
      </c>
      <c r="O20" s="287">
        <f t="shared" si="10"/>
        <v>112.29657531191677</v>
      </c>
      <c r="P20" s="287">
        <f t="shared" si="10"/>
        <v>114.43021024284317</v>
      </c>
      <c r="Q20" s="287">
        <f t="shared" si="10"/>
        <v>116.26109360672866</v>
      </c>
      <c r="R20" s="287">
        <f t="shared" si="10"/>
        <v>118.00501001082958</v>
      </c>
      <c r="S20" s="287">
        <f t="shared" si="10"/>
        <v>119.89309017100285</v>
      </c>
      <c r="T20" s="287">
        <f>+S20*(T19+1)</f>
        <v>122.77052433510693</v>
      </c>
      <c r="U20" s="287">
        <f t="shared" si="10"/>
        <v>126.20809901648992</v>
      </c>
      <c r="V20" s="287">
        <f t="shared" si="10"/>
        <v>129.36330149190215</v>
      </c>
      <c r="W20" s="287">
        <f t="shared" si="10"/>
        <v>131.56247761726448</v>
      </c>
      <c r="X20" s="287">
        <f t="shared" si="10"/>
        <v>139.71935122953488</v>
      </c>
      <c r="Y20" s="287">
        <f t="shared" si="10"/>
        <v>147.54363489838883</v>
      </c>
      <c r="Z20" s="287">
        <f t="shared" si="10"/>
        <v>153.44538029432439</v>
      </c>
      <c r="AA20" s="287">
        <f t="shared" si="10"/>
        <v>158.20218708344845</v>
      </c>
      <c r="AB20" s="287">
        <f t="shared" si="10"/>
        <v>180.50869546221469</v>
      </c>
      <c r="AC20" s="287">
        <f t="shared" si="10"/>
        <v>187.72904328070328</v>
      </c>
      <c r="AD20" s="287">
        <f t="shared" si="10"/>
        <v>190.54497892991381</v>
      </c>
      <c r="AE20" s="287">
        <f t="shared" si="10"/>
        <v>193.59369859279244</v>
      </c>
      <c r="AF20" s="287">
        <f t="shared" si="10"/>
        <v>195.91682297590594</v>
      </c>
      <c r="AG20" s="287">
        <f t="shared" si="10"/>
        <v>199.24740896649632</v>
      </c>
      <c r="AH20" s="287">
        <f t="shared" si="10"/>
        <v>203.83009937272573</v>
      </c>
      <c r="AI20" s="287">
        <f t="shared" si="10"/>
        <v>212.39096354638022</v>
      </c>
      <c r="AJ20" s="287">
        <f t="shared" si="10"/>
        <v>216.8511737808542</v>
      </c>
      <c r="AK20" s="287">
        <f t="shared" si="10"/>
        <v>222.27245312537553</v>
      </c>
      <c r="AL20" s="287">
        <f t="shared" si="10"/>
        <v>224.27290520350388</v>
      </c>
      <c r="AM20" s="287">
        <f t="shared" si="10"/>
        <v>255.67111193199446</v>
      </c>
      <c r="AN20" s="287">
        <f t="shared" si="10"/>
        <v>267.17631196893421</v>
      </c>
      <c r="AO20" s="287">
        <f t="shared" si="10"/>
        <v>272.51983820831288</v>
      </c>
      <c r="AP20" s="287">
        <f t="shared" si="10"/>
        <v>284.78323092768693</v>
      </c>
      <c r="AQ20" s="287">
        <f t="shared" si="10"/>
        <v>291.61802846995141</v>
      </c>
      <c r="AR20" s="287">
        <f t="shared" si="10"/>
        <v>296.86715298241052</v>
      </c>
      <c r="AS20" s="287">
        <f t="shared" si="10"/>
        <v>301.02329312416424</v>
      </c>
      <c r="AT20" s="287">
        <f t="shared" si="10"/>
        <v>304.63557264165422</v>
      </c>
      <c r="AU20" s="287">
        <f t="shared" si="10"/>
        <v>311.33755523977061</v>
      </c>
      <c r="AV20" s="287">
        <f t="shared" si="10"/>
        <v>319.74366923124438</v>
      </c>
      <c r="AW20" s="287">
        <f t="shared" si="10"/>
        <v>333.17290333895664</v>
      </c>
      <c r="AX20" s="287">
        <f t="shared" si="10"/>
        <v>349.83154850590449</v>
      </c>
      <c r="AY20" s="287">
        <f t="shared" si="10"/>
        <v>369.0722836737292</v>
      </c>
      <c r="AZ20" s="287">
        <f t="shared" si="10"/>
        <v>389.74033155945807</v>
      </c>
      <c r="BA20" s="287">
        <f t="shared" si="10"/>
        <v>420.14007742109584</v>
      </c>
      <c r="BB20" s="287">
        <f t="shared" si="10"/>
        <v>451.650583227678</v>
      </c>
      <c r="BC20" s="287">
        <f t="shared" si="10"/>
        <v>479.65291938779404</v>
      </c>
      <c r="BD20" s="287">
        <f t="shared" si="10"/>
        <v>507.95244163167388</v>
      </c>
      <c r="BE20" s="287">
        <f t="shared" si="10"/>
        <v>531.31825394673092</v>
      </c>
      <c r="BF20" s="287">
        <f t="shared" si="10"/>
        <v>552.57098410460014</v>
      </c>
      <c r="BG20" s="287">
        <f t="shared" si="10"/>
        <v>575.22639445288871</v>
      </c>
      <c r="BH20" s="287">
        <f t="shared" si="10"/>
        <v>598.81067662545706</v>
      </c>
      <c r="BI20" s="287">
        <f t="shared" si="10"/>
        <v>620.36786098397351</v>
      </c>
      <c r="BJ20" s="287">
        <f t="shared" si="10"/>
        <v>637.73816109152483</v>
      </c>
      <c r="BK20" s="287">
        <f t="shared" si="10"/>
        <v>658.7835204075451</v>
      </c>
      <c r="BL20" s="287">
        <f t="shared" si="10"/>
        <v>675.91189193814125</v>
      </c>
      <c r="BM20" s="287">
        <f t="shared" si="10"/>
        <v>699.56880815597617</v>
      </c>
      <c r="BN20" s="287">
        <f t="shared" si="10"/>
        <v>726.85199167405915</v>
      </c>
      <c r="BO20" s="287">
        <f t="shared" si="10"/>
        <v>745.02329146591057</v>
      </c>
      <c r="BP20" s="287">
        <f t="shared" si="10"/>
        <v>771.09910666721737</v>
      </c>
      <c r="BQ20" s="287">
        <f t="shared" si="10"/>
        <v>798.0875754005699</v>
      </c>
      <c r="BR20" s="287">
        <f t="shared" si="10"/>
        <v>830.01107841659268</v>
      </c>
      <c r="BS20" s="287">
        <f t="shared" si="10"/>
        <v>867.36157694533927</v>
      </c>
      <c r="BT20" s="287">
        <f t="shared" si="10"/>
        <v>905.5254863309342</v>
      </c>
      <c r="BU20" s="287">
        <f t="shared" si="10"/>
        <v>952.61281162014279</v>
      </c>
      <c r="BV20" s="287">
        <f t="shared" ref="BV20:CG20" si="11">+BU20*(BV19+1)</f>
        <v>1069.7841874494204</v>
      </c>
      <c r="BW20" s="287">
        <f t="shared" si="11"/>
        <v>1164.9949801324187</v>
      </c>
      <c r="BX20" s="287">
        <f t="shared" si="11"/>
        <v>1233.7296839602313</v>
      </c>
      <c r="BY20" s="287">
        <f t="shared" si="11"/>
        <v>1306.5197353138849</v>
      </c>
      <c r="BZ20" s="287">
        <f t="shared" si="11"/>
        <v>1379.6848404914624</v>
      </c>
      <c r="CA20" s="287">
        <f t="shared" si="11"/>
        <v>1447.289397675544</v>
      </c>
      <c r="CB20" s="287">
        <f t="shared" si="11"/>
        <v>1528.3376039453747</v>
      </c>
      <c r="CC20" s="287">
        <f t="shared" si="11"/>
        <v>1606.2828217465888</v>
      </c>
      <c r="CD20" s="287">
        <f t="shared" si="11"/>
        <v>1694.6283769426511</v>
      </c>
      <c r="CE20" s="287">
        <f t="shared" si="11"/>
        <v>1814.9469917055792</v>
      </c>
      <c r="CF20" s="287">
        <f t="shared" si="11"/>
        <v>1956.5128570586146</v>
      </c>
      <c r="CG20" s="287">
        <f t="shared" si="11"/>
        <v>2095.425269909776</v>
      </c>
      <c r="CH20" s="287">
        <f>+CG20*(CH19+1)</f>
        <v>2246.2958893432801</v>
      </c>
      <c r="CI20" s="287">
        <f>+CH20*(CI19+1)</f>
        <v>2744.9735767774882</v>
      </c>
      <c r="CJ20" s="287">
        <f>+CI20*(CJ19+1)</f>
        <v>3008.4910401481275</v>
      </c>
      <c r="CK20" s="287">
        <f>+CJ20*(CK19+1)</f>
        <v>3432.6882768090136</v>
      </c>
      <c r="CL20" s="287">
        <f t="shared" ref="CL20:CM20" si="12">+CK20*(CL19+1)</f>
        <v>3872.0723762405678</v>
      </c>
      <c r="CM20" s="287">
        <f t="shared" si="12"/>
        <v>5742.2833339647623</v>
      </c>
      <c r="CN20" s="287">
        <f>+CM20*(CN19+1)</f>
        <v>6500.2647340481117</v>
      </c>
      <c r="CO20" s="287">
        <f>+CN20*(CO19+1)</f>
        <v>6909.7814122931422</v>
      </c>
      <c r="CP20" s="287">
        <f>+CN20*(CP19+1)</f>
        <v>6825.2779707505179</v>
      </c>
      <c r="CQ20" s="287">
        <f>+CO20*(CQ19+1)</f>
        <v>7255.2704829077993</v>
      </c>
    </row>
    <row r="21" spans="1:95" ht="81.5" thickTop="1" thickBot="1" x14ac:dyDescent="0.4">
      <c r="A21" s="184">
        <f t="shared" si="5"/>
        <v>8</v>
      </c>
      <c r="B21" s="174" t="s">
        <v>102</v>
      </c>
      <c r="C21" s="175" t="s">
        <v>108</v>
      </c>
      <c r="D21" s="175" t="s">
        <v>115</v>
      </c>
      <c r="E21" s="187" t="s">
        <v>110</v>
      </c>
      <c r="F21" s="176" t="s">
        <v>116</v>
      </c>
      <c r="G21" s="185">
        <f t="shared" si="4"/>
        <v>0.91536488692002804</v>
      </c>
      <c r="H21" s="288">
        <v>137.37947411839073</v>
      </c>
      <c r="I21" s="288">
        <v>143.5836129114341</v>
      </c>
      <c r="J21" s="288">
        <v>145.1062018339457</v>
      </c>
      <c r="K21" s="288">
        <v>146.90909624974555</v>
      </c>
      <c r="L21" s="288">
        <v>149.87545674612107</v>
      </c>
      <c r="M21" s="288">
        <v>155.37073979446689</v>
      </c>
      <c r="N21" s="288">
        <v>159.62312051963673</v>
      </c>
      <c r="O21" s="288">
        <v>167.73488547613425</v>
      </c>
      <c r="P21" s="288">
        <v>171.87921487939323</v>
      </c>
      <c r="Q21" s="288">
        <v>176.44055532160331</v>
      </c>
      <c r="R21" s="288">
        <v>181.36877180040506</v>
      </c>
      <c r="S21" s="288">
        <v>187.28351551506626</v>
      </c>
      <c r="T21" s="288">
        <v>192</v>
      </c>
      <c r="U21" s="288">
        <v>200.5</v>
      </c>
      <c r="V21" s="288">
        <v>204</v>
      </c>
      <c r="W21" s="288">
        <v>210.7</v>
      </c>
      <c r="X21" s="288">
        <v>211.6</v>
      </c>
      <c r="Y21" s="288">
        <v>224.7</v>
      </c>
      <c r="Z21" s="288">
        <v>229</v>
      </c>
      <c r="AA21" s="288">
        <v>237.5</v>
      </c>
      <c r="AB21" s="288">
        <v>247.6</v>
      </c>
      <c r="AC21" s="288">
        <v>264.2</v>
      </c>
      <c r="AD21" s="288">
        <v>273.2</v>
      </c>
      <c r="AE21" s="288">
        <v>282.2</v>
      </c>
      <c r="AF21" s="288">
        <v>296.5</v>
      </c>
      <c r="AG21" s="288">
        <v>303.10000000000002</v>
      </c>
      <c r="AH21" s="288">
        <v>312.3</v>
      </c>
      <c r="AI21" s="288">
        <v>325.3</v>
      </c>
      <c r="AJ21" s="288">
        <v>331.5</v>
      </c>
      <c r="AK21" s="288">
        <v>344.9</v>
      </c>
      <c r="AL21" s="288">
        <v>349</v>
      </c>
      <c r="AM21" s="288">
        <v>359.5</v>
      </c>
      <c r="AN21" s="288">
        <v>384.8</v>
      </c>
      <c r="AO21" s="288">
        <v>403.5</v>
      </c>
      <c r="AP21" s="288">
        <v>419.6</v>
      </c>
      <c r="AQ21" s="288">
        <v>441.4</v>
      </c>
      <c r="AR21" s="288">
        <v>451.4</v>
      </c>
      <c r="AS21" s="288">
        <v>455.8</v>
      </c>
      <c r="AT21" s="288">
        <v>455.8</v>
      </c>
      <c r="AU21" s="288">
        <v>457.9</v>
      </c>
      <c r="AV21" s="288">
        <v>459.2</v>
      </c>
      <c r="AW21" s="288">
        <v>460.3</v>
      </c>
      <c r="AX21" s="288">
        <v>480.7</v>
      </c>
      <c r="AY21" s="288">
        <v>482.2</v>
      </c>
      <c r="AZ21" s="288">
        <v>495.4</v>
      </c>
      <c r="BA21" s="288">
        <v>509.3</v>
      </c>
      <c r="BB21" s="288">
        <v>531.4</v>
      </c>
      <c r="BC21" s="288">
        <v>544.20000000000005</v>
      </c>
      <c r="BD21" s="288">
        <v>556.70132361701496</v>
      </c>
      <c r="BE21" s="288">
        <v>582.70000000000005</v>
      </c>
      <c r="BF21" s="204">
        <v>592.9</v>
      </c>
      <c r="BG21" s="204">
        <v>618.29999999999995</v>
      </c>
      <c r="BH21" s="204">
        <v>641.83000000000004</v>
      </c>
      <c r="BI21" s="204">
        <v>660.1</v>
      </c>
      <c r="BJ21" s="204">
        <v>677.04</v>
      </c>
      <c r="BK21" s="204">
        <v>706.7</v>
      </c>
      <c r="BL21" s="204">
        <v>732.7</v>
      </c>
      <c r="BM21" s="204">
        <v>753.5</v>
      </c>
      <c r="BN21" s="204">
        <v>782.9</v>
      </c>
      <c r="BO21" s="204">
        <v>820</v>
      </c>
      <c r="BP21" s="204">
        <v>857.8</v>
      </c>
      <c r="BQ21" s="204">
        <v>897.5</v>
      </c>
      <c r="BR21" s="204" t="s">
        <v>117</v>
      </c>
      <c r="BS21" s="204">
        <v>1002.3</v>
      </c>
      <c r="BT21" s="204">
        <v>1068.0999999999999</v>
      </c>
      <c r="BU21" s="204">
        <v>1124.5</v>
      </c>
      <c r="BV21" s="204">
        <v>1222.0999999999999</v>
      </c>
      <c r="BW21" s="204">
        <v>1303.0999999999999</v>
      </c>
      <c r="BX21" s="204">
        <v>1437.5</v>
      </c>
      <c r="BY21" s="204">
        <v>1537.1</v>
      </c>
      <c r="BZ21" s="204">
        <v>1643</v>
      </c>
      <c r="CA21" s="204">
        <v>1731.3</v>
      </c>
      <c r="CB21" s="204">
        <v>1862.7</v>
      </c>
      <c r="CC21" s="204">
        <v>1976.4</v>
      </c>
      <c r="CD21" s="204">
        <v>2108.6</v>
      </c>
      <c r="CE21" s="204">
        <v>2274.1999999999998</v>
      </c>
      <c r="CF21" s="204">
        <v>2450</v>
      </c>
      <c r="CG21" s="204">
        <v>2636.1</v>
      </c>
      <c r="CH21" s="204">
        <v>2843.7</v>
      </c>
      <c r="CI21" s="204">
        <v>3098.9</v>
      </c>
      <c r="CJ21" s="204">
        <v>3578.8</v>
      </c>
      <c r="CK21" s="204">
        <v>3921.5</v>
      </c>
      <c r="CL21" s="204">
        <v>4309.7</v>
      </c>
      <c r="CM21" s="188">
        <v>5368.4</v>
      </c>
      <c r="CN21" s="188">
        <v>6975.7</v>
      </c>
      <c r="CO21" s="188">
        <v>8106</v>
      </c>
      <c r="CP21" s="188">
        <v>8920.7000000000007</v>
      </c>
      <c r="CQ21" s="188">
        <v>8920.7000000000007</v>
      </c>
    </row>
    <row r="22" spans="1:95" ht="24" thickTop="1" thickBot="1" x14ac:dyDescent="0.4">
      <c r="A22" s="184">
        <f t="shared" si="5"/>
        <v>9</v>
      </c>
      <c r="B22" s="174" t="s">
        <v>118</v>
      </c>
      <c r="C22" s="175" t="s">
        <v>119</v>
      </c>
      <c r="D22" s="210" t="s">
        <v>120</v>
      </c>
      <c r="E22" s="187" t="s">
        <v>121</v>
      </c>
      <c r="F22" s="176" t="s">
        <v>101</v>
      </c>
      <c r="G22" s="185">
        <f t="shared" si="4"/>
        <v>1.0760323711780178</v>
      </c>
      <c r="H22" s="179" t="s">
        <v>101</v>
      </c>
      <c r="I22" s="179" t="s">
        <v>101</v>
      </c>
      <c r="J22" s="179" t="s">
        <v>101</v>
      </c>
      <c r="K22" s="179" t="s">
        <v>101</v>
      </c>
      <c r="L22" s="179" t="s">
        <v>101</v>
      </c>
      <c r="M22" s="179" t="s">
        <v>101</v>
      </c>
      <c r="N22" s="179" t="s">
        <v>101</v>
      </c>
      <c r="O22" s="179" t="s">
        <v>101</v>
      </c>
      <c r="P22" s="179" t="s">
        <v>101</v>
      </c>
      <c r="Q22" s="179" t="s">
        <v>101</v>
      </c>
      <c r="R22" s="179" t="s">
        <v>101</v>
      </c>
      <c r="S22" s="179">
        <v>123.92</v>
      </c>
      <c r="T22" s="179">
        <v>102.61</v>
      </c>
      <c r="U22" s="179">
        <v>104.51</v>
      </c>
      <c r="V22" s="179">
        <v>108.67</v>
      </c>
      <c r="W22" s="179">
        <v>110.07</v>
      </c>
      <c r="X22" s="179">
        <v>111.57</v>
      </c>
      <c r="Y22" s="179">
        <v>115.83</v>
      </c>
      <c r="Z22" s="179">
        <v>124.13</v>
      </c>
      <c r="AA22" s="179">
        <v>128.88</v>
      </c>
      <c r="AB22" s="179">
        <v>145.26</v>
      </c>
      <c r="AC22" s="179">
        <v>149.57</v>
      </c>
      <c r="AD22" s="179">
        <v>157.78</v>
      </c>
      <c r="AE22" s="179">
        <v>161.53</v>
      </c>
      <c r="AF22" s="181">
        <f>+AE22*1.0311</f>
        <v>166.55358299999997</v>
      </c>
      <c r="AG22" s="181">
        <f>+AF22*(1-0.0022)</f>
        <v>166.18716511739999</v>
      </c>
      <c r="AH22" s="181">
        <f>+AG22*1.0863</f>
        <v>180.52911746703163</v>
      </c>
      <c r="AI22" s="181">
        <f>+AH22*1.024</f>
        <v>184.86181628624038</v>
      </c>
      <c r="AJ22" s="181">
        <f>+AI22*1.0281</f>
        <v>190.05643332388374</v>
      </c>
      <c r="AK22" s="181">
        <f>+AJ22*1.0056</f>
        <v>191.1207493504975</v>
      </c>
      <c r="AL22" s="181">
        <f>+AK22*1.0368</f>
        <v>198.15399292659581</v>
      </c>
      <c r="AM22" s="181">
        <f>+AL22*1.0555</f>
        <v>209.15153953402191</v>
      </c>
      <c r="AN22" s="181">
        <f>+AM22*1.043</f>
        <v>218.14505573398483</v>
      </c>
      <c r="AO22" s="181">
        <f>+AN22*1.0288</f>
        <v>224.42763333912359</v>
      </c>
      <c r="AP22" s="181">
        <f>+AO22*1.0349</f>
        <v>232.26015774265898</v>
      </c>
      <c r="AQ22" s="181">
        <f>+AP22*1.0217</f>
        <v>237.30020316567467</v>
      </c>
      <c r="AR22" s="181">
        <f>+AQ22*1.0215</f>
        <v>242.4021575337367</v>
      </c>
      <c r="AS22" s="181">
        <f>+AR22*1.0357</f>
        <v>251.05591455769112</v>
      </c>
      <c r="AT22" s="181">
        <f>+AS22*1.0005</f>
        <v>251.18144251496994</v>
      </c>
      <c r="AU22" s="181">
        <f>+AT22*1.0171</f>
        <v>255.4766451819759</v>
      </c>
      <c r="AV22" s="181">
        <f>+AU22*1.0126</f>
        <v>258.69565091126879</v>
      </c>
      <c r="AW22" s="181">
        <f>+AV22*1.0064</f>
        <v>260.35130307710091</v>
      </c>
      <c r="AX22" s="181">
        <f>+AW22*1.0093</f>
        <v>262.77257019571795</v>
      </c>
      <c r="AY22" s="181">
        <f>+AX22*1.0511</f>
        <v>276.20024853271912</v>
      </c>
      <c r="AZ22" s="181">
        <f>+AY22*1.0355</f>
        <v>286.00535735563068</v>
      </c>
      <c r="BA22" s="181">
        <f>+AZ22*1.0552</f>
        <v>301.79285308166146</v>
      </c>
      <c r="BB22" s="181">
        <f>+BA22*1.0304</f>
        <v>310.96735581534398</v>
      </c>
      <c r="BC22" s="181">
        <f>+BB22*1.0301</f>
        <v>320.32747322538586</v>
      </c>
      <c r="BD22" s="181">
        <f>+BC22*1.047</f>
        <v>335.38286446697896</v>
      </c>
      <c r="BE22" s="181">
        <f>+BD22*1.0629</f>
        <v>356.4784466419519</v>
      </c>
      <c r="BF22" s="181">
        <f>+BE22*1.0386</f>
        <v>370.23851468233124</v>
      </c>
      <c r="BG22" s="181">
        <f>+BF22*1.0541</f>
        <v>390.26841832664536</v>
      </c>
      <c r="BH22" s="181">
        <f>+BG22*1.0316</f>
        <v>402.6009003457674</v>
      </c>
      <c r="BI22" s="181">
        <f>+BH22*1.0001</f>
        <v>402.64116043580196</v>
      </c>
      <c r="BJ22" s="181">
        <f>+BI22*1.0632</f>
        <v>428.08808177534462</v>
      </c>
      <c r="BK22" s="181">
        <f>+BJ22*1.0156</f>
        <v>434.76625585104</v>
      </c>
      <c r="BL22" s="181">
        <f>+BK22*1.019</f>
        <v>443.02681471220973</v>
      </c>
      <c r="BM22" s="181">
        <f>+BL22*1.021</f>
        <v>452.33037782116611</v>
      </c>
      <c r="BN22" s="181">
        <f>+BM22*1.041</f>
        <v>470.8759233118339</v>
      </c>
      <c r="BO22" s="181">
        <f>+BN22*1.0131</f>
        <v>477.04439790721887</v>
      </c>
      <c r="BP22" s="181">
        <f>+BO22*1.0244</f>
        <v>488.684281216155</v>
      </c>
      <c r="BQ22" s="181">
        <f>+BP22*1.0716</f>
        <v>523.67407575123173</v>
      </c>
      <c r="BR22" s="181">
        <f>+BQ22*1.0918</f>
        <v>571.74735590519481</v>
      </c>
      <c r="BS22" s="181">
        <f>+BR22*1.0332</f>
        <v>590.72936812124726</v>
      </c>
      <c r="BT22" s="181">
        <f>+BS22*1.1059</f>
        <v>653.28760820528737</v>
      </c>
      <c r="BU22" s="181">
        <f>+BT22*1.0851</f>
        <v>708.88238366355733</v>
      </c>
      <c r="BV22" s="181">
        <f>+BU22*1.08</f>
        <v>765.592974356642</v>
      </c>
      <c r="BW22" s="181">
        <f>BV22*1.0658</f>
        <v>815.96899206930914</v>
      </c>
      <c r="BX22" s="181">
        <f>BW22*1.0645</f>
        <v>868.59899205777958</v>
      </c>
      <c r="BY22" s="181">
        <f>BX22*1.0552</f>
        <v>916.54565641936892</v>
      </c>
      <c r="BZ22" s="181">
        <f>BY22*1.1069</f>
        <v>1014.5243870905995</v>
      </c>
      <c r="CA22" s="181">
        <f>+BZ22*1.0406</f>
        <v>1055.7140772064779</v>
      </c>
      <c r="CB22" s="181">
        <f>+CA22*1.056</f>
        <v>1114.8340655300408</v>
      </c>
      <c r="CC22" s="287">
        <f>+CB22*1.1002</f>
        <v>1226.540438896151</v>
      </c>
      <c r="CD22" s="287">
        <f>+CC22*1.0334</f>
        <v>1267.5068895552827</v>
      </c>
      <c r="CE22" s="287">
        <f>+CD22*1.0775</f>
        <v>1365.738673495817</v>
      </c>
      <c r="CF22" s="287">
        <f>+CE22*1.1185</f>
        <v>1527.5787063050714</v>
      </c>
      <c r="CG22" s="287">
        <f>CF22*1.0532</f>
        <v>1608.845893480501</v>
      </c>
      <c r="CH22" s="287">
        <f>+CG22*1.0503</f>
        <v>1689.7708419225703</v>
      </c>
      <c r="CI22" s="287">
        <f>+CH22*1.203</f>
        <v>2032.7943228328522</v>
      </c>
      <c r="CJ22" s="287">
        <f>+CI22*1.111</f>
        <v>2258.4344926672989</v>
      </c>
      <c r="CK22" s="287">
        <f>+CJ22*1.1012</f>
        <v>2486.9880633252292</v>
      </c>
      <c r="CL22" s="287">
        <f>+CK22*1.151</f>
        <v>2862.5232608873389</v>
      </c>
      <c r="CM22" s="287">
        <f>+CL22*1.2823</f>
        <v>3670.6135774358345</v>
      </c>
      <c r="CN22" s="287">
        <f>+CM22*1.2064</f>
        <v>4428.2282198185903</v>
      </c>
      <c r="CO22" s="287">
        <f>+CN22*1.0805</f>
        <v>4784.7005915139871</v>
      </c>
      <c r="CP22" s="287">
        <f>+CN22*1.0641</f>
        <v>4712.0776487089624</v>
      </c>
      <c r="CQ22" s="287">
        <f>+CO22*1.0641</f>
        <v>5091.3998994300337</v>
      </c>
    </row>
    <row r="23" spans="1:95" ht="24" thickTop="1" thickBot="1" x14ac:dyDescent="0.4">
      <c r="A23" s="184">
        <f t="shared" si="5"/>
        <v>10</v>
      </c>
      <c r="B23" s="174" t="s">
        <v>118</v>
      </c>
      <c r="C23" s="175" t="s">
        <v>119</v>
      </c>
      <c r="D23" s="210" t="s">
        <v>122</v>
      </c>
      <c r="E23" s="187" t="s">
        <v>121</v>
      </c>
      <c r="F23" s="176" t="s">
        <v>101</v>
      </c>
      <c r="G23" s="185">
        <f t="shared" si="4"/>
        <v>1.0683733210591402</v>
      </c>
      <c r="H23" s="179" t="s">
        <v>101</v>
      </c>
      <c r="I23" s="179" t="s">
        <v>101</v>
      </c>
      <c r="J23" s="179" t="s">
        <v>101</v>
      </c>
      <c r="K23" s="179" t="s">
        <v>101</v>
      </c>
      <c r="L23" s="179" t="s">
        <v>101</v>
      </c>
      <c r="M23" s="179" t="s">
        <v>101</v>
      </c>
      <c r="N23" s="179" t="s">
        <v>101</v>
      </c>
      <c r="O23" s="179" t="s">
        <v>101</v>
      </c>
      <c r="P23" s="179" t="s">
        <v>101</v>
      </c>
      <c r="Q23" s="179" t="s">
        <v>101</v>
      </c>
      <c r="R23" s="179" t="s">
        <v>101</v>
      </c>
      <c r="S23" s="179">
        <v>129.35</v>
      </c>
      <c r="T23" s="179">
        <v>104.8</v>
      </c>
      <c r="U23" s="179">
        <v>108.01</v>
      </c>
      <c r="V23" s="179">
        <v>107.99</v>
      </c>
      <c r="W23" s="179">
        <v>111.45</v>
      </c>
      <c r="X23" s="179">
        <v>111.76</v>
      </c>
      <c r="Y23" s="179">
        <v>116.71</v>
      </c>
      <c r="Z23" s="179">
        <v>125.72</v>
      </c>
      <c r="AA23" s="179">
        <v>133.96</v>
      </c>
      <c r="AB23" s="179">
        <v>164.52</v>
      </c>
      <c r="AC23" s="179">
        <v>166.62</v>
      </c>
      <c r="AD23" s="179">
        <v>172.14</v>
      </c>
      <c r="AE23" s="179">
        <v>176.89</v>
      </c>
      <c r="AF23" s="181">
        <f>+AE23*(1-0.0104)</f>
        <v>175.050344</v>
      </c>
      <c r="AG23" s="181">
        <f>+AF23*(1.0201)</f>
        <v>178.56885591439999</v>
      </c>
      <c r="AH23" s="181">
        <f>+AG23*1.0792</f>
        <v>192.71150930282045</v>
      </c>
      <c r="AI23" s="181">
        <f>+AH23*1.0349</f>
        <v>199.43714097748887</v>
      </c>
      <c r="AJ23" s="181">
        <f>+AI23*1.011</f>
        <v>201.63094952824122</v>
      </c>
      <c r="AK23" s="181">
        <f>+AJ23*1.0154</f>
        <v>204.73606615097614</v>
      </c>
      <c r="AL23" s="181">
        <f>+AK23*1.0162</f>
        <v>208.05279042262197</v>
      </c>
      <c r="AM23" s="181">
        <f>+AL23*1.0008</f>
        <v>208.21923265496005</v>
      </c>
      <c r="AN23" s="181">
        <f>+AM23*1.064</f>
        <v>221.54526354487751</v>
      </c>
      <c r="AO23" s="181">
        <f>+AN23*1.0007</f>
        <v>221.7003452293589</v>
      </c>
      <c r="AP23" s="181">
        <f>+AO23*1.0934</f>
        <v>242.40715747378101</v>
      </c>
      <c r="AQ23" s="181">
        <f>+AP23*1.0622</f>
        <v>257.48488266865019</v>
      </c>
      <c r="AR23" s="181">
        <f>+AQ23*(1-0.001)</f>
        <v>257.22739778598151</v>
      </c>
      <c r="AS23" s="181">
        <f>+AR23*(1-0.0061)</f>
        <v>255.65831065948703</v>
      </c>
      <c r="AT23" s="181">
        <f>+AS23*(1-0.0001)</f>
        <v>255.6327448284211</v>
      </c>
      <c r="AU23" s="181">
        <f>+AT23*(1-0.0004)</f>
        <v>255.53049173048973</v>
      </c>
      <c r="AV23" s="181">
        <f>+AU23*1.0004</f>
        <v>255.63270392718192</v>
      </c>
      <c r="AW23" s="181">
        <f>+AV23*(1-0.0003)</f>
        <v>255.55601411600378</v>
      </c>
      <c r="AX23" s="181">
        <f>+AW23*(1-0.0001)</f>
        <v>255.53045851459217</v>
      </c>
      <c r="AY23" s="181">
        <f>+AX23*1.0444</f>
        <v>266.87601087264005</v>
      </c>
      <c r="AZ23" s="181">
        <f>+AY23*1.0421</f>
        <v>278.11149093037818</v>
      </c>
      <c r="BA23" s="181">
        <f>+AZ23*1.0295</f>
        <v>286.31577991282438</v>
      </c>
      <c r="BB23" s="181">
        <f>+BA23*1.0338</f>
        <v>295.99325327387788</v>
      </c>
      <c r="BC23" s="181">
        <f>+BB23*1.0509</f>
        <v>311.05930986551823</v>
      </c>
      <c r="BD23" s="181">
        <f>+BC23*1.0988</f>
        <v>341.79196968023143</v>
      </c>
      <c r="BE23" s="181">
        <f>+BD23*1.0445</f>
        <v>357.00171233100173</v>
      </c>
      <c r="BF23" s="181">
        <f>+BE23*1.0725</f>
        <v>382.88433647499937</v>
      </c>
      <c r="BG23" s="181">
        <f>+BF23*1.0663</f>
        <v>408.26956798329184</v>
      </c>
      <c r="BH23" s="181">
        <f>+BG23*1.0522</f>
        <v>429.58123943201969</v>
      </c>
      <c r="BI23" s="181">
        <f>+BH23*(1-0.0003)</f>
        <v>429.45236506019012</v>
      </c>
      <c r="BJ23" s="181">
        <f>+BI23*(1-0.0011)</f>
        <v>428.97996745862389</v>
      </c>
      <c r="BK23" s="181">
        <f>+BJ23*1.0013</f>
        <v>429.53764141632013</v>
      </c>
      <c r="BL23" s="181">
        <f>+BK23*1.0033</f>
        <v>430.95511563299402</v>
      </c>
      <c r="BM23" s="181">
        <f>+BL23*1.0032</f>
        <v>432.33417200301966</v>
      </c>
      <c r="BN23" s="181">
        <f>+BM23*1.0023</f>
        <v>433.3285405986266</v>
      </c>
      <c r="BO23" s="181">
        <f>+BN23*(1-0.0008)</f>
        <v>432.9818777661477</v>
      </c>
      <c r="BP23" s="181">
        <f>+BO23*1.0018</f>
        <v>433.76124514612678</v>
      </c>
      <c r="BQ23" s="181">
        <f>+BP23*1.0976</f>
        <v>476.09634267238874</v>
      </c>
      <c r="BR23" s="181">
        <f>+BQ23*1.127</f>
        <v>536.56057819178216</v>
      </c>
      <c r="BS23" s="181">
        <f>+BR23*1.0457</f>
        <v>561.08139661514667</v>
      </c>
      <c r="BT23" s="181">
        <f>+BS23*1.1217</f>
        <v>629.36500258320996</v>
      </c>
      <c r="BU23" s="181">
        <f>+BT23*1.1779</f>
        <v>741.32903654276299</v>
      </c>
      <c r="BV23" s="181">
        <f>+BU23*(1-0.02)</f>
        <v>726.50245581190768</v>
      </c>
      <c r="BW23" s="181">
        <f>BV23*1.0636</f>
        <v>772.70801200154506</v>
      </c>
      <c r="BX23" s="181">
        <f>BW23*1-0.01</f>
        <v>772.69801200154507</v>
      </c>
      <c r="BY23" s="181">
        <f>BX23*1.0739</f>
        <v>829.80039508845925</v>
      </c>
      <c r="BZ23" s="181">
        <f>BY23*1.0812</f>
        <v>897.18018716964207</v>
      </c>
      <c r="CA23" s="181">
        <f>+BZ23*1.0457</f>
        <v>938.18132172329479</v>
      </c>
      <c r="CB23" s="181">
        <f>+CA23*1.0495</f>
        <v>984.62129714859793</v>
      </c>
      <c r="CC23" s="287">
        <f>+CB23*1.05</f>
        <v>1033.8523620060278</v>
      </c>
      <c r="CD23" s="287">
        <f>+CC23*1.0433</f>
        <v>1078.6181692808887</v>
      </c>
      <c r="CE23" s="287">
        <f>+CD23*1.0423</f>
        <v>1124.2437178414702</v>
      </c>
      <c r="CF23" s="287">
        <f>+CE23*1.0486</f>
        <v>1178.8819625285657</v>
      </c>
      <c r="CG23" s="287">
        <f>+CF23*1.0552</f>
        <v>1243.9562468601425</v>
      </c>
      <c r="CH23" s="287">
        <f>+CG23*1.0463</f>
        <v>1301.5514210897672</v>
      </c>
      <c r="CI23" s="287">
        <f>+CH23*1.1798</f>
        <v>1535.5703666017073</v>
      </c>
      <c r="CJ23" s="287">
        <f>+CI23*1.024</f>
        <v>1572.4240554001483</v>
      </c>
      <c r="CK23" s="287">
        <f>+CJ23*1.1567</f>
        <v>1818.8229048813516</v>
      </c>
      <c r="CL23" s="287">
        <f>+CK23*1.1169</f>
        <v>2031.4433024619816</v>
      </c>
      <c r="CM23" s="287">
        <f>+CL23*1.6331</f>
        <v>3317.5500572506621</v>
      </c>
      <c r="CN23" s="287">
        <f>+CM23*1.2259</f>
        <v>4066.9846151835868</v>
      </c>
      <c r="CO23" s="287">
        <f>+CN23*1.0552</f>
        <v>4291.4821659417203</v>
      </c>
      <c r="CP23" s="287">
        <f>+CN23*1.0731</f>
        <v>4364.2811905535063</v>
      </c>
      <c r="CQ23" s="287">
        <f>+CO23*1.0731</f>
        <v>4605.1895122720598</v>
      </c>
    </row>
    <row r="24" spans="1:95" ht="25.25" customHeight="1" thickTop="1" thickBot="1" x14ac:dyDescent="0.4">
      <c r="A24" s="184">
        <f t="shared" si="5"/>
        <v>11</v>
      </c>
      <c r="B24" s="174" t="s">
        <v>118</v>
      </c>
      <c r="C24" s="175" t="s">
        <v>123</v>
      </c>
      <c r="D24" s="210" t="s">
        <v>124</v>
      </c>
      <c r="E24" s="187" t="s">
        <v>123</v>
      </c>
      <c r="F24" s="176" t="s">
        <v>101</v>
      </c>
      <c r="G24" s="185">
        <f t="shared" si="4"/>
        <v>1.0561446997295278</v>
      </c>
      <c r="H24" s="179" t="s">
        <v>101</v>
      </c>
      <c r="I24" s="179" t="s">
        <v>101</v>
      </c>
      <c r="J24" s="179" t="s">
        <v>101</v>
      </c>
      <c r="K24" s="179" t="s">
        <v>101</v>
      </c>
      <c r="L24" s="179" t="s">
        <v>101</v>
      </c>
      <c r="M24" s="179" t="s">
        <v>101</v>
      </c>
      <c r="N24" s="179" t="s">
        <v>101</v>
      </c>
      <c r="O24" s="179" t="s">
        <v>101</v>
      </c>
      <c r="P24" s="179" t="s">
        <v>101</v>
      </c>
      <c r="Q24" s="179" t="s">
        <v>101</v>
      </c>
      <c r="R24" s="179" t="s">
        <v>101</v>
      </c>
      <c r="S24" s="179">
        <v>4588.75</v>
      </c>
      <c r="T24" s="179">
        <v>4691.83</v>
      </c>
      <c r="U24" s="179">
        <v>4763.8999999999996</v>
      </c>
      <c r="V24" s="179">
        <v>4963.5200000000004</v>
      </c>
      <c r="W24" s="179">
        <v>5017.3100000000004</v>
      </c>
      <c r="X24" s="179">
        <v>5112.4399999999996</v>
      </c>
      <c r="Y24" s="179">
        <v>5294.73</v>
      </c>
      <c r="Z24" s="179">
        <v>5661.29</v>
      </c>
      <c r="AA24" s="179">
        <v>5889.21</v>
      </c>
      <c r="AB24" s="179">
        <v>6516.36</v>
      </c>
      <c r="AC24" s="179">
        <v>6694.15</v>
      </c>
      <c r="AD24" s="179">
        <v>7120.02</v>
      </c>
      <c r="AE24" s="179">
        <v>7265.09</v>
      </c>
      <c r="AF24" s="179">
        <v>7454.77</v>
      </c>
      <c r="AG24" s="179">
        <v>7462.28</v>
      </c>
      <c r="AH24" s="179">
        <v>8071.24</v>
      </c>
      <c r="AI24" s="179">
        <v>8241.31</v>
      </c>
      <c r="AJ24" s="179">
        <v>8495.4599999999991</v>
      </c>
      <c r="AK24" s="179">
        <v>8532.24</v>
      </c>
      <c r="AL24" s="179">
        <v>8924.7800000000007</v>
      </c>
      <c r="AM24" s="179">
        <v>9416.41</v>
      </c>
      <c r="AN24" s="179">
        <v>9766.73</v>
      </c>
      <c r="AO24" s="179">
        <v>10149.31</v>
      </c>
      <c r="AP24" s="179">
        <v>10504.7</v>
      </c>
      <c r="AQ24" s="179">
        <v>10709.12</v>
      </c>
      <c r="AR24" s="179">
        <v>11015.43</v>
      </c>
      <c r="AS24" s="179">
        <v>11378.31</v>
      </c>
      <c r="AT24" s="179">
        <v>11617.19</v>
      </c>
      <c r="AU24" s="179">
        <v>11877.89</v>
      </c>
      <c r="AV24" s="179">
        <v>12015.72</v>
      </c>
      <c r="AW24" s="179">
        <v>12083.32</v>
      </c>
      <c r="AX24" s="179">
        <v>12183.03</v>
      </c>
      <c r="AY24" s="179">
        <v>12812.26</v>
      </c>
      <c r="AZ24" s="179">
        <v>13224.57</v>
      </c>
      <c r="BA24" s="179">
        <v>13955.6</v>
      </c>
      <c r="BB24" s="179">
        <v>14344.56</v>
      </c>
      <c r="BC24" s="179">
        <v>14740.71</v>
      </c>
      <c r="BD24" s="179">
        <v>15374.96</v>
      </c>
      <c r="BE24" s="179">
        <v>16394.060000000001</v>
      </c>
      <c r="BF24" s="188">
        <v>16988.919999999998</v>
      </c>
      <c r="BG24" s="188">
        <v>17923.02</v>
      </c>
      <c r="BH24" s="188">
        <v>18441.080000000002</v>
      </c>
      <c r="BI24" s="188">
        <v>18490.88</v>
      </c>
      <c r="BJ24" s="188">
        <v>19714.490000000002</v>
      </c>
      <c r="BK24" s="188">
        <v>20016.080000000002</v>
      </c>
      <c r="BL24" s="188">
        <v>20364.8</v>
      </c>
      <c r="BM24" s="188">
        <v>20761.02</v>
      </c>
      <c r="BN24" s="188">
        <v>21672.62</v>
      </c>
      <c r="BO24" s="188">
        <v>21936.18</v>
      </c>
      <c r="BP24" s="188">
        <v>22445.93</v>
      </c>
      <c r="BQ24" s="188">
        <v>23968.75</v>
      </c>
      <c r="BR24" s="188">
        <v>26147.65</v>
      </c>
      <c r="BS24" s="188">
        <v>26977.81</v>
      </c>
      <c r="BT24" s="188">
        <v>29883.3</v>
      </c>
      <c r="BU24" s="188">
        <v>32279.55</v>
      </c>
      <c r="BV24" s="188">
        <v>34738.800000000003</v>
      </c>
      <c r="BW24" s="188">
        <v>36934.26</v>
      </c>
      <c r="BX24" s="188">
        <v>39404.639999999999</v>
      </c>
      <c r="BY24" s="188">
        <v>41509.68</v>
      </c>
      <c r="BZ24" s="188">
        <v>46152.08</v>
      </c>
      <c r="CA24" s="188">
        <v>47974.94</v>
      </c>
      <c r="CB24" s="188">
        <v>50562.23</v>
      </c>
      <c r="CC24" s="287">
        <v>55800.68</v>
      </c>
      <c r="CD24" s="287">
        <v>57638.65</v>
      </c>
      <c r="CE24" s="287">
        <v>61985.18</v>
      </c>
      <c r="CF24" s="287">
        <v>69416.95</v>
      </c>
      <c r="CG24" s="287">
        <v>73033.5</v>
      </c>
      <c r="CH24" s="287">
        <v>76644.789999999994</v>
      </c>
      <c r="CI24" s="287">
        <v>92107.88</v>
      </c>
      <c r="CJ24" s="287">
        <v>102502.9</v>
      </c>
      <c r="CK24" s="287">
        <v>112687.38</v>
      </c>
      <c r="CL24" s="287">
        <v>129634.32</v>
      </c>
      <c r="CM24" s="287">
        <v>166120.94</v>
      </c>
      <c r="CN24" s="287">
        <v>200424.08</v>
      </c>
      <c r="CO24" s="287">
        <v>216728.58</v>
      </c>
      <c r="CP24" s="287">
        <v>230932.54</v>
      </c>
      <c r="CQ24" s="287">
        <v>230932.54</v>
      </c>
    </row>
    <row r="25" spans="1:95" ht="25.25" customHeight="1" thickTop="1" thickBot="1" x14ac:dyDescent="0.4">
      <c r="A25" s="184">
        <f t="shared" si="5"/>
        <v>12</v>
      </c>
      <c r="B25" s="174" t="s">
        <v>118</v>
      </c>
      <c r="C25" s="175" t="s">
        <v>123</v>
      </c>
      <c r="D25" s="210" t="s">
        <v>125</v>
      </c>
      <c r="E25" s="187" t="s">
        <v>123</v>
      </c>
      <c r="F25" s="176" t="s">
        <v>101</v>
      </c>
      <c r="G25" s="185">
        <f t="shared" si="4"/>
        <v>0.82628531767669411</v>
      </c>
      <c r="H25" s="179" t="s">
        <v>101</v>
      </c>
      <c r="I25" s="179" t="s">
        <v>101</v>
      </c>
      <c r="J25" s="179" t="s">
        <v>101</v>
      </c>
      <c r="K25" s="179" t="s">
        <v>101</v>
      </c>
      <c r="L25" s="179" t="s">
        <v>101</v>
      </c>
      <c r="M25" s="179" t="s">
        <v>101</v>
      </c>
      <c r="N25" s="179" t="s">
        <v>101</v>
      </c>
      <c r="O25" s="179" t="s">
        <v>101</v>
      </c>
      <c r="P25" s="179" t="s">
        <v>101</v>
      </c>
      <c r="Q25" s="179" t="s">
        <v>101</v>
      </c>
      <c r="R25" s="179" t="s">
        <v>101</v>
      </c>
      <c r="S25" s="179">
        <v>4628.67</v>
      </c>
      <c r="T25" s="179">
        <v>4676.75</v>
      </c>
      <c r="U25" s="179">
        <v>4699.0600000000004</v>
      </c>
      <c r="V25" s="179">
        <v>4928.28</v>
      </c>
      <c r="W25" s="179">
        <v>4948.71</v>
      </c>
      <c r="X25" s="179">
        <v>5132.74</v>
      </c>
      <c r="Y25" s="179">
        <v>5268.42</v>
      </c>
      <c r="Z25" s="179">
        <v>5588.58</v>
      </c>
      <c r="AA25" s="179">
        <v>5856.11</v>
      </c>
      <c r="AB25" s="179">
        <v>6029.88</v>
      </c>
      <c r="AC25" s="179">
        <v>6121.91</v>
      </c>
      <c r="AD25" s="179">
        <v>6746.19</v>
      </c>
      <c r="AE25" s="179">
        <v>6774</v>
      </c>
      <c r="AF25" s="179">
        <v>6801.1</v>
      </c>
      <c r="AG25" s="179">
        <v>6899.75</v>
      </c>
      <c r="AH25" s="179">
        <v>7321.87</v>
      </c>
      <c r="AI25" s="179">
        <v>7369.45</v>
      </c>
      <c r="AJ25" s="179">
        <v>7695.6</v>
      </c>
      <c r="AK25" s="179">
        <v>7674.13</v>
      </c>
      <c r="AL25" s="179">
        <v>8391.35</v>
      </c>
      <c r="AM25" s="179">
        <v>8843.7800000000007</v>
      </c>
      <c r="AN25" s="179">
        <v>8884.26</v>
      </c>
      <c r="AO25" s="179">
        <v>9751.7199999999993</v>
      </c>
      <c r="AP25" s="179">
        <v>10099.5</v>
      </c>
      <c r="AQ25" s="179">
        <v>10157.959999999999</v>
      </c>
      <c r="AR25" s="179">
        <v>10880.44</v>
      </c>
      <c r="AS25" s="179">
        <v>11060.38</v>
      </c>
      <c r="AT25" s="179">
        <v>11439.71</v>
      </c>
      <c r="AU25" s="179">
        <v>12085.75</v>
      </c>
      <c r="AV25" s="179">
        <v>12153.45</v>
      </c>
      <c r="AW25" s="179">
        <v>12161.15</v>
      </c>
      <c r="AX25" s="179">
        <v>12174.06</v>
      </c>
      <c r="AY25" s="179">
        <v>12850.07</v>
      </c>
      <c r="AZ25" s="179">
        <v>12971.45</v>
      </c>
      <c r="BA25" s="179">
        <v>13699.43</v>
      </c>
      <c r="BB25" s="179">
        <v>13823.4</v>
      </c>
      <c r="BC25" s="179">
        <v>13943.9</v>
      </c>
      <c r="BD25" s="179">
        <v>14115.91</v>
      </c>
      <c r="BE25" s="179">
        <v>15439.59</v>
      </c>
      <c r="BF25" s="188">
        <v>15692.58</v>
      </c>
      <c r="BG25" s="188">
        <v>16680.259999999998</v>
      </c>
      <c r="BH25" s="188">
        <v>16746.91</v>
      </c>
      <c r="BI25" s="188">
        <v>17194.29</v>
      </c>
      <c r="BJ25" s="188">
        <v>18822.88</v>
      </c>
      <c r="BK25" s="188">
        <v>19053.12</v>
      </c>
      <c r="BL25" s="188">
        <v>19082.18</v>
      </c>
      <c r="BM25" s="188">
        <v>19151.5</v>
      </c>
      <c r="BN25" s="188">
        <v>20576.39</v>
      </c>
      <c r="BO25" s="188">
        <v>20622.2</v>
      </c>
      <c r="BP25" s="188">
        <v>20833.759999999998</v>
      </c>
      <c r="BQ25" s="188">
        <v>21390</v>
      </c>
      <c r="BR25" s="188">
        <v>23123.439999999999</v>
      </c>
      <c r="BS25" s="188">
        <v>23419.45</v>
      </c>
      <c r="BT25" s="188">
        <v>26513.01</v>
      </c>
      <c r="BU25" s="188">
        <v>26781.03</v>
      </c>
      <c r="BV25" s="188">
        <v>27249.7</v>
      </c>
      <c r="BW25" s="188">
        <v>27789.27</v>
      </c>
      <c r="BX25" s="188">
        <v>30816.11</v>
      </c>
      <c r="BY25" s="188">
        <v>31436.41</v>
      </c>
      <c r="BZ25" s="188">
        <v>38048.39</v>
      </c>
      <c r="CA25" s="188">
        <v>38634.83</v>
      </c>
      <c r="CB25" s="188">
        <v>39358.230000000003</v>
      </c>
      <c r="CC25" s="287">
        <v>46621.48</v>
      </c>
      <c r="CD25" s="287">
        <v>47578.2</v>
      </c>
      <c r="CE25" s="287">
        <v>48544.94</v>
      </c>
      <c r="CF25" s="287">
        <v>56333.25</v>
      </c>
      <c r="CG25" s="287">
        <v>57289.34</v>
      </c>
      <c r="CH25" s="287">
        <v>58473.279999999999</v>
      </c>
      <c r="CI25" s="287">
        <v>67831.28</v>
      </c>
      <c r="CJ25" s="287">
        <v>80672.899999999994</v>
      </c>
      <c r="CK25" s="287">
        <v>81841.36</v>
      </c>
      <c r="CL25" s="287">
        <v>91709.31</v>
      </c>
      <c r="CM25" s="287">
        <v>113293.64</v>
      </c>
      <c r="CN25" s="287">
        <v>136932.13</v>
      </c>
      <c r="CO25" s="287">
        <v>158257.81</v>
      </c>
      <c r="CP25" s="287">
        <v>190463.43</v>
      </c>
      <c r="CQ25" s="287">
        <v>190463.43</v>
      </c>
    </row>
    <row r="26" spans="1:95" ht="24" thickTop="1" thickBot="1" x14ac:dyDescent="0.4">
      <c r="A26" s="184">
        <f t="shared" si="5"/>
        <v>13</v>
      </c>
      <c r="B26" s="174" t="s">
        <v>126</v>
      </c>
      <c r="C26" s="175" t="s">
        <v>22</v>
      </c>
      <c r="D26" s="210" t="s">
        <v>127</v>
      </c>
      <c r="E26" s="187" t="s">
        <v>110</v>
      </c>
      <c r="F26" s="176" t="s">
        <v>101</v>
      </c>
      <c r="G26" s="185">
        <f t="shared" si="4"/>
        <v>0.70270270270270285</v>
      </c>
      <c r="H26" s="180" t="s">
        <v>101</v>
      </c>
      <c r="I26" s="180" t="s">
        <v>101</v>
      </c>
      <c r="J26" s="180" t="s">
        <v>101</v>
      </c>
      <c r="K26" s="180" t="s">
        <v>101</v>
      </c>
      <c r="L26" s="180" t="s">
        <v>101</v>
      </c>
      <c r="M26" s="180" t="s">
        <v>101</v>
      </c>
      <c r="N26" s="180" t="s">
        <v>101</v>
      </c>
      <c r="O26" s="180" t="s">
        <v>101</v>
      </c>
      <c r="P26" s="180" t="s">
        <v>101</v>
      </c>
      <c r="Q26" s="180" t="s">
        <v>101</v>
      </c>
      <c r="R26" s="180" t="s">
        <v>101</v>
      </c>
      <c r="S26" s="180" t="s">
        <v>101</v>
      </c>
      <c r="T26" s="182">
        <v>4.5999999999999999E-2</v>
      </c>
      <c r="U26" s="182">
        <v>4.8000000000000001E-2</v>
      </c>
      <c r="V26" s="182">
        <v>1.9E-2</v>
      </c>
      <c r="W26" s="182">
        <v>1.7999999999999999E-2</v>
      </c>
      <c r="X26" s="182">
        <v>7.4999999999999997E-2</v>
      </c>
      <c r="Y26" s="182">
        <v>6.5000000000000002E-2</v>
      </c>
      <c r="Z26" s="182">
        <v>4.7E-2</v>
      </c>
      <c r="AA26" s="182">
        <v>4.9000000000000002E-2</v>
      </c>
      <c r="AB26" s="182">
        <v>0.16</v>
      </c>
      <c r="AC26" s="182">
        <v>0.03</v>
      </c>
      <c r="AD26" s="182">
        <v>1E-3</v>
      </c>
      <c r="AE26" s="182">
        <v>1.2999999999999999E-2</v>
      </c>
      <c r="AF26" s="182">
        <v>6.0000000000000001E-3</v>
      </c>
      <c r="AG26" s="182">
        <v>3.4000000000000002E-2</v>
      </c>
      <c r="AH26" s="182">
        <v>4.1000000000000002E-2</v>
      </c>
      <c r="AI26" s="182">
        <v>4.5999999999999999E-2</v>
      </c>
      <c r="AJ26" s="182">
        <v>4.9000000000000002E-2</v>
      </c>
      <c r="AK26" s="182">
        <v>1.7000000000000001E-2</v>
      </c>
      <c r="AL26" s="182">
        <v>1E-3</v>
      </c>
      <c r="AM26" s="182">
        <v>0.112</v>
      </c>
      <c r="AN26" s="182">
        <v>4.2000000000000003E-2</v>
      </c>
      <c r="AO26" s="182">
        <v>3.5999999999999997E-2</v>
      </c>
      <c r="AP26" s="182">
        <v>5.3999999999999999E-2</v>
      </c>
      <c r="AQ26" s="182">
        <v>3.6999999999999998E-2</v>
      </c>
      <c r="AR26" s="182">
        <v>1.4999999999999999E-2</v>
      </c>
      <c r="AS26" s="182">
        <v>1.0999999999999999E-2</v>
      </c>
      <c r="AT26" s="182">
        <v>0.01</v>
      </c>
      <c r="AU26" s="182">
        <v>-1.2999999999999999E-2</v>
      </c>
      <c r="AV26" s="182">
        <v>4.0000000000000001E-3</v>
      </c>
      <c r="AW26" s="182">
        <v>3.6999999999999998E-2</v>
      </c>
      <c r="AX26" s="182">
        <v>3.5000000000000003E-2</v>
      </c>
      <c r="AY26" s="182">
        <v>4.1000000000000002E-2</v>
      </c>
      <c r="AZ26" s="182">
        <v>3.6999999999999998E-2</v>
      </c>
      <c r="BA26" s="182">
        <v>4.7E-2</v>
      </c>
      <c r="BB26" s="182">
        <v>4.2000000000000003E-2</v>
      </c>
      <c r="BC26" s="182">
        <v>4.3999999999999997E-2</v>
      </c>
      <c r="BD26" s="182">
        <v>5.6000000000000001E-2</v>
      </c>
      <c r="BE26" s="182">
        <v>6.0999999999999999E-2</v>
      </c>
      <c r="BF26" s="182">
        <v>3.9E-2</v>
      </c>
      <c r="BG26" s="182">
        <v>4.8000000000000001E-2</v>
      </c>
      <c r="BH26" s="182">
        <v>3.2000000000000001E-2</v>
      </c>
      <c r="BI26" s="182">
        <v>3.1E-2</v>
      </c>
      <c r="BJ26" s="182">
        <v>2.1999999999999999E-2</v>
      </c>
      <c r="BK26" s="182">
        <v>2.5000000000000001E-2</v>
      </c>
      <c r="BL26" s="182">
        <v>2.8000000000000001E-2</v>
      </c>
      <c r="BM26" s="182">
        <v>2.8000000000000001E-2</v>
      </c>
      <c r="BN26" s="289">
        <v>2.9000000000000001E-2</v>
      </c>
      <c r="BO26" s="289">
        <v>2.3E-2</v>
      </c>
      <c r="BP26" s="290">
        <v>3.6999999999999998E-2</v>
      </c>
      <c r="BQ26" s="290">
        <v>4.7E-2</v>
      </c>
      <c r="BR26" s="290">
        <v>6.3E-2</v>
      </c>
      <c r="BS26" s="290">
        <v>5.8999999999999997E-2</v>
      </c>
      <c r="BT26" s="290">
        <v>5.1999999999999998E-2</v>
      </c>
      <c r="BU26" s="290">
        <v>4.8000000000000001E-2</v>
      </c>
      <c r="BV26" s="290">
        <v>7.0999999999999994E-2</v>
      </c>
      <c r="BW26" s="290">
        <v>8.2000000000000003E-2</v>
      </c>
      <c r="BX26" s="290">
        <v>5.5E-2</v>
      </c>
      <c r="BY26" s="290">
        <v>4.8000000000000001E-2</v>
      </c>
      <c r="BZ26" s="290">
        <v>6.3E-2</v>
      </c>
      <c r="CA26" s="290">
        <v>6.0999999999999999E-2</v>
      </c>
      <c r="CB26" s="290">
        <v>6.5000000000000002E-2</v>
      </c>
      <c r="CC26" s="196">
        <v>7.0000000000000007E-2</v>
      </c>
      <c r="CD26" s="182">
        <v>5.0999999999999997E-2</v>
      </c>
      <c r="CE26" s="182">
        <v>6.9000000000000006E-2</v>
      </c>
      <c r="CF26" s="182">
        <v>7.0999999999999994E-2</v>
      </c>
      <c r="CG26" s="182">
        <v>7.4999999999999997E-2</v>
      </c>
      <c r="CH26" s="182">
        <v>7.0000000000000007E-2</v>
      </c>
      <c r="CI26" s="182">
        <v>0.187</v>
      </c>
      <c r="CJ26" s="182">
        <v>9.1999999999999998E-2</v>
      </c>
      <c r="CK26" s="182">
        <v>7.5499999999999998E-2</v>
      </c>
      <c r="CL26" s="182">
        <v>0.111</v>
      </c>
      <c r="CM26" s="320">
        <v>0.54</v>
      </c>
      <c r="CN26" s="320">
        <v>0.18</v>
      </c>
      <c r="CO26" s="320">
        <v>0.10199999999999999</v>
      </c>
      <c r="CP26" s="320">
        <v>5.3999999999999999E-2</v>
      </c>
      <c r="CQ26" s="320">
        <v>5.3999999999999999E-2</v>
      </c>
    </row>
    <row r="27" spans="1:95" ht="24" thickTop="1" thickBot="1" x14ac:dyDescent="0.4">
      <c r="A27" s="184">
        <f t="shared" si="5"/>
        <v>14</v>
      </c>
      <c r="B27" s="174" t="s">
        <v>126</v>
      </c>
      <c r="C27" s="175" t="s">
        <v>22</v>
      </c>
      <c r="D27" s="350" t="s">
        <v>128</v>
      </c>
      <c r="E27" s="187" t="s">
        <v>110</v>
      </c>
      <c r="F27" s="176" t="s">
        <v>101</v>
      </c>
      <c r="G27" s="185">
        <f t="shared" si="4"/>
        <v>0.76976934079427595</v>
      </c>
      <c r="H27" s="287">
        <v>1435.7724589292081</v>
      </c>
      <c r="I27" s="287">
        <v>1460.1805907309999</v>
      </c>
      <c r="J27" s="287">
        <v>1473.3222160475834</v>
      </c>
      <c r="K27" s="287">
        <v>1480.6888271278212</v>
      </c>
      <c r="L27" s="287">
        <v>1494.0150265719715</v>
      </c>
      <c r="M27" s="287">
        <v>1522.40131207684</v>
      </c>
      <c r="N27" s="287">
        <v>1561.9837461908367</v>
      </c>
      <c r="O27" s="287">
        <v>1591.6614373684624</v>
      </c>
      <c r="P27" s="287">
        <v>1607.5780517421472</v>
      </c>
      <c r="Q27" s="287">
        <v>1631.6917225182799</v>
      </c>
      <c r="R27" s="287">
        <v>1656.1670983560532</v>
      </c>
      <c r="S27" s="287">
        <v>1682.66577192975</v>
      </c>
      <c r="T27" s="181">
        <v>1760.0683974385199</v>
      </c>
      <c r="U27" s="181">
        <f>+T27*(U26+1)</f>
        <v>1844.5516805155689</v>
      </c>
      <c r="V27" s="181">
        <f t="shared" ref="V27:CF27" si="13">+U27*(V26+1)</f>
        <v>1879.5981624453646</v>
      </c>
      <c r="W27" s="181">
        <f t="shared" si="13"/>
        <v>1913.4309293693811</v>
      </c>
      <c r="X27" s="181">
        <f t="shared" si="13"/>
        <v>2056.9382490720845</v>
      </c>
      <c r="Y27" s="181">
        <f t="shared" si="13"/>
        <v>2190.63923526177</v>
      </c>
      <c r="Z27" s="181">
        <f t="shared" si="13"/>
        <v>2293.599279319073</v>
      </c>
      <c r="AA27" s="181">
        <f t="shared" si="13"/>
        <v>2405.9856440057074</v>
      </c>
      <c r="AB27" s="181">
        <f t="shared" si="13"/>
        <v>2790.9433470466206</v>
      </c>
      <c r="AC27" s="181">
        <f t="shared" si="13"/>
        <v>2874.6716474580194</v>
      </c>
      <c r="AD27" s="181">
        <f t="shared" si="13"/>
        <v>2877.5463191054769</v>
      </c>
      <c r="AE27" s="181">
        <f t="shared" si="13"/>
        <v>2914.9544212538476</v>
      </c>
      <c r="AF27" s="181">
        <f t="shared" si="13"/>
        <v>2932.4441477813707</v>
      </c>
      <c r="AG27" s="181">
        <f t="shared" si="13"/>
        <v>3032.1472488059376</v>
      </c>
      <c r="AH27" s="181">
        <f t="shared" si="13"/>
        <v>3156.4652860069809</v>
      </c>
      <c r="AI27" s="181">
        <f t="shared" si="13"/>
        <v>3301.6626891633023</v>
      </c>
      <c r="AJ27" s="181">
        <f t="shared" si="13"/>
        <v>3463.4441609323039</v>
      </c>
      <c r="AK27" s="181">
        <f t="shared" si="13"/>
        <v>3522.3227116681528</v>
      </c>
      <c r="AL27" s="181">
        <f t="shared" si="13"/>
        <v>3525.8450343798204</v>
      </c>
      <c r="AM27" s="181">
        <f t="shared" si="13"/>
        <v>3920.7396782303608</v>
      </c>
      <c r="AN27" s="181">
        <f t="shared" si="13"/>
        <v>4085.4107447160363</v>
      </c>
      <c r="AO27" s="181">
        <f t="shared" si="13"/>
        <v>4232.4855315258137</v>
      </c>
      <c r="AP27" s="181">
        <f t="shared" si="13"/>
        <v>4461.0397502282076</v>
      </c>
      <c r="AQ27" s="181">
        <f t="shared" si="13"/>
        <v>4626.0982209866506</v>
      </c>
      <c r="AR27" s="181">
        <f t="shared" si="13"/>
        <v>4695.4896943014501</v>
      </c>
      <c r="AS27" s="181">
        <f t="shared" si="13"/>
        <v>4747.1400809387651</v>
      </c>
      <c r="AT27" s="181">
        <f t="shared" si="13"/>
        <v>4794.611481748153</v>
      </c>
      <c r="AU27" s="181">
        <f t="shared" si="13"/>
        <v>4732.2815324854273</v>
      </c>
      <c r="AV27" s="181">
        <f t="shared" si="13"/>
        <v>4751.2106586153686</v>
      </c>
      <c r="AW27" s="181">
        <f t="shared" si="13"/>
        <v>4927.0054529841373</v>
      </c>
      <c r="AX27" s="181">
        <f t="shared" si="13"/>
        <v>5099.4506438385815</v>
      </c>
      <c r="AY27" s="181">
        <f t="shared" si="13"/>
        <v>5308.5281202359629</v>
      </c>
      <c r="AZ27" s="181">
        <f t="shared" si="13"/>
        <v>5504.943660684693</v>
      </c>
      <c r="BA27" s="181">
        <f t="shared" si="13"/>
        <v>5763.6760127368734</v>
      </c>
      <c r="BB27" s="181">
        <f t="shared" si="13"/>
        <v>6005.7504052718223</v>
      </c>
      <c r="BC27" s="181">
        <f t="shared" si="13"/>
        <v>6270.0034231037826</v>
      </c>
      <c r="BD27" s="181">
        <f t="shared" si="13"/>
        <v>6621.1236147975951</v>
      </c>
      <c r="BE27" s="181">
        <f t="shared" si="13"/>
        <v>7025.0121553002482</v>
      </c>
      <c r="BF27" s="181">
        <f t="shared" si="13"/>
        <v>7298.9876293569578</v>
      </c>
      <c r="BG27" s="181">
        <f t="shared" si="13"/>
        <v>7649.3390355660922</v>
      </c>
      <c r="BH27" s="181">
        <f t="shared" si="13"/>
        <v>7894.1178847042074</v>
      </c>
      <c r="BI27" s="181">
        <f t="shared" si="13"/>
        <v>8138.8355391300374</v>
      </c>
      <c r="BJ27" s="181">
        <f t="shared" si="13"/>
        <v>8317.8899209908977</v>
      </c>
      <c r="BK27" s="181">
        <f t="shared" si="13"/>
        <v>8525.8371690156691</v>
      </c>
      <c r="BL27" s="181">
        <f t="shared" si="13"/>
        <v>8764.5606097481086</v>
      </c>
      <c r="BM27" s="181">
        <f t="shared" si="13"/>
        <v>9009.9683068210561</v>
      </c>
      <c r="BN27" s="206">
        <f t="shared" si="13"/>
        <v>9271.2573877188661</v>
      </c>
      <c r="BO27" s="206">
        <f t="shared" si="13"/>
        <v>9484.4963076363983</v>
      </c>
      <c r="BP27" s="206">
        <f t="shared" si="13"/>
        <v>9835.422671018945</v>
      </c>
      <c r="BQ27" s="206">
        <f t="shared" si="13"/>
        <v>10297.687536556834</v>
      </c>
      <c r="BR27" s="206">
        <f t="shared" si="13"/>
        <v>10946.441851359914</v>
      </c>
      <c r="BS27" s="206">
        <f t="shared" si="13"/>
        <v>11592.281920590149</v>
      </c>
      <c r="BT27" s="206">
        <f t="shared" si="13"/>
        <v>12195.080580460837</v>
      </c>
      <c r="BU27" s="206">
        <f t="shared" si="13"/>
        <v>12780.444448322958</v>
      </c>
      <c r="BV27" s="206">
        <f t="shared" si="13"/>
        <v>13687.856004153888</v>
      </c>
      <c r="BW27" s="206">
        <f t="shared" si="13"/>
        <v>14810.260196494508</v>
      </c>
      <c r="BX27" s="206">
        <f t="shared" si="13"/>
        <v>15624.824507301704</v>
      </c>
      <c r="BY27" s="287">
        <f t="shared" si="13"/>
        <v>16374.816083652187</v>
      </c>
      <c r="BZ27" s="287">
        <f t="shared" si="13"/>
        <v>17406.429496922276</v>
      </c>
      <c r="CA27" s="287">
        <f t="shared" si="13"/>
        <v>18468.221696234534</v>
      </c>
      <c r="CB27" s="287">
        <f t="shared" si="13"/>
        <v>19668.656106489776</v>
      </c>
      <c r="CC27" s="287">
        <f t="shared" si="13"/>
        <v>21045.462033944063</v>
      </c>
      <c r="CD27" s="287">
        <f t="shared" si="13"/>
        <v>22118.78059767521</v>
      </c>
      <c r="CE27" s="287">
        <f t="shared" si="13"/>
        <v>23644.9764589148</v>
      </c>
      <c r="CF27" s="287">
        <f t="shared" si="13"/>
        <v>25323.769787497749</v>
      </c>
      <c r="CG27" s="287">
        <f t="shared" ref="CG27:CM27" si="14">+CF27*(CG26+1)</f>
        <v>27223.052521560079</v>
      </c>
      <c r="CH27" s="287">
        <f t="shared" si="14"/>
        <v>29128.666198069288</v>
      </c>
      <c r="CI27" s="287">
        <f t="shared" si="14"/>
        <v>34575.726777108248</v>
      </c>
      <c r="CJ27" s="287">
        <f t="shared" si="14"/>
        <v>37756.693640602207</v>
      </c>
      <c r="CK27" s="287">
        <f t="shared" si="14"/>
        <v>40607.324010467673</v>
      </c>
      <c r="CL27" s="287">
        <f t="shared" si="14"/>
        <v>45114.736975629581</v>
      </c>
      <c r="CM27" s="353">
        <f t="shared" si="14"/>
        <v>69476.694942469563</v>
      </c>
      <c r="CN27" s="287">
        <f t="shared" ref="CN27" si="15">+CM27*(CN26+1)</f>
        <v>81982.500032114083</v>
      </c>
      <c r="CO27" s="287">
        <f>+CN27*(CO26+1)</f>
        <v>90344.71503538973</v>
      </c>
      <c r="CP27" s="287">
        <f>+CN27*(CP26+1)</f>
        <v>86409.555033848243</v>
      </c>
      <c r="CQ27" s="287">
        <f>+CO27*(CQ26+1)</f>
        <v>95223.329647300779</v>
      </c>
    </row>
    <row r="28" spans="1:95" ht="24" thickTop="1" thickBot="1" x14ac:dyDescent="0.4">
      <c r="A28" s="184">
        <f t="shared" si="5"/>
        <v>15</v>
      </c>
      <c r="B28" s="174" t="s">
        <v>126</v>
      </c>
      <c r="C28" s="175" t="s">
        <v>22</v>
      </c>
      <c r="D28" s="175" t="s">
        <v>129</v>
      </c>
      <c r="E28" s="187" t="s">
        <v>110</v>
      </c>
      <c r="F28" s="176" t="s">
        <v>130</v>
      </c>
      <c r="G28" s="185">
        <f t="shared" si="4"/>
        <v>0.5641025641025641</v>
      </c>
      <c r="H28" s="180" t="s">
        <v>101</v>
      </c>
      <c r="I28" s="180" t="s">
        <v>101</v>
      </c>
      <c r="J28" s="180" t="s">
        <v>101</v>
      </c>
      <c r="K28" s="180" t="s">
        <v>101</v>
      </c>
      <c r="L28" s="180">
        <v>8.0000000000000002E-3</v>
      </c>
      <c r="M28" s="180">
        <v>1.9E-2</v>
      </c>
      <c r="N28" s="180">
        <v>2.5000000000000001E-2</v>
      </c>
      <c r="O28" s="180">
        <v>1.9E-2</v>
      </c>
      <c r="P28" s="180">
        <v>0.01</v>
      </c>
      <c r="Q28" s="180">
        <v>1.4999999999999999E-2</v>
      </c>
      <c r="R28" s="180">
        <v>1.4999999999999999E-2</v>
      </c>
      <c r="S28" s="180">
        <v>1.7000000000000001E-2</v>
      </c>
      <c r="T28" s="182">
        <v>4.3999999999999997E-2</v>
      </c>
      <c r="U28" s="182">
        <v>4.9000000000000002E-2</v>
      </c>
      <c r="V28" s="182">
        <v>1.7999999999999999E-2</v>
      </c>
      <c r="W28" s="182">
        <v>1.9E-2</v>
      </c>
      <c r="X28" s="182">
        <v>6.9000000000000006E-2</v>
      </c>
      <c r="Y28" s="182">
        <v>6.2E-2</v>
      </c>
      <c r="Z28" s="182">
        <v>4.7E-2</v>
      </c>
      <c r="AA28" s="182">
        <v>4.8000000000000001E-2</v>
      </c>
      <c r="AB28" s="182">
        <v>0.153</v>
      </c>
      <c r="AC28" s="182">
        <v>3.5999999999999997E-2</v>
      </c>
      <c r="AD28" s="182">
        <v>2E-3</v>
      </c>
      <c r="AE28" s="182">
        <v>0.01</v>
      </c>
      <c r="AF28" s="182">
        <v>8.0000000000000002E-3</v>
      </c>
      <c r="AG28" s="182">
        <v>3.4000000000000002E-2</v>
      </c>
      <c r="AH28" s="182">
        <v>4.1000000000000002E-2</v>
      </c>
      <c r="AI28" s="182">
        <v>4.5999999999999999E-2</v>
      </c>
      <c r="AJ28" s="182">
        <v>0.05</v>
      </c>
      <c r="AK28" s="182">
        <v>1.9E-2</v>
      </c>
      <c r="AL28" s="182">
        <v>2E-3</v>
      </c>
      <c r="AM28" s="182">
        <v>9.9000000000000005E-2</v>
      </c>
      <c r="AN28" s="182">
        <v>4.3999999999999997E-2</v>
      </c>
      <c r="AO28" s="182">
        <v>3.5999999999999997E-2</v>
      </c>
      <c r="AP28" s="182">
        <v>5.5E-2</v>
      </c>
      <c r="AQ28" s="182">
        <v>4.1000000000000002E-2</v>
      </c>
      <c r="AR28" s="182">
        <v>1.6E-2</v>
      </c>
      <c r="AS28" s="182">
        <v>1.2E-2</v>
      </c>
      <c r="AT28" s="201">
        <v>8.9999999999999993E-3</v>
      </c>
      <c r="AU28" s="201">
        <v>-1.7000000000000001E-2</v>
      </c>
      <c r="AV28" s="201">
        <v>2E-3</v>
      </c>
      <c r="AW28" s="201">
        <v>3.7999999999999999E-2</v>
      </c>
      <c r="AX28" s="182">
        <v>3.5000000000000003E-2</v>
      </c>
      <c r="AY28" s="182">
        <v>4.1000000000000002E-2</v>
      </c>
      <c r="AZ28" s="182">
        <v>3.6999999999999998E-2</v>
      </c>
      <c r="BA28" s="182">
        <v>4.5999999999999999E-2</v>
      </c>
      <c r="BB28" s="182">
        <v>4.1000000000000002E-2</v>
      </c>
      <c r="BC28" s="182">
        <v>4.3999999999999997E-2</v>
      </c>
      <c r="BD28" s="182">
        <v>5.7000000000000002E-2</v>
      </c>
      <c r="BE28" s="182">
        <v>0.06</v>
      </c>
      <c r="BF28" s="182">
        <v>3.7999999999999999E-2</v>
      </c>
      <c r="BG28" s="182">
        <v>0.05</v>
      </c>
      <c r="BH28" s="182">
        <v>3.3000000000000002E-2</v>
      </c>
      <c r="BI28" s="182">
        <v>3.2000000000000001E-2</v>
      </c>
      <c r="BJ28" s="182">
        <v>2.3E-2</v>
      </c>
      <c r="BK28" s="182">
        <v>2.5999999999999999E-2</v>
      </c>
      <c r="BL28" s="182">
        <v>2.8000000000000001E-2</v>
      </c>
      <c r="BM28" s="182">
        <v>2.9000000000000001E-2</v>
      </c>
      <c r="BN28" s="207">
        <v>2.9000000000000001E-2</v>
      </c>
      <c r="BO28" s="289">
        <v>2.3E-2</v>
      </c>
      <c r="BP28" s="290">
        <v>3.9E-2</v>
      </c>
      <c r="BQ28" s="290">
        <v>4.9000000000000002E-2</v>
      </c>
      <c r="BR28" s="290">
        <v>6.4000000000000001E-2</v>
      </c>
      <c r="BS28" s="290">
        <v>5.8000000000000003E-2</v>
      </c>
      <c r="BT28" s="290">
        <v>5.1999999999999998E-2</v>
      </c>
      <c r="BU28" s="290">
        <v>0.05</v>
      </c>
      <c r="BV28" s="290">
        <v>7.0000000000000007E-2</v>
      </c>
      <c r="BW28" s="290">
        <v>8.1000000000000003E-2</v>
      </c>
      <c r="BX28" s="290">
        <v>5.3999999999999999E-2</v>
      </c>
      <c r="BY28" s="290">
        <v>4.5999999999999999E-2</v>
      </c>
      <c r="BZ28" s="290">
        <v>6.0999999999999999E-2</v>
      </c>
      <c r="CA28" s="290">
        <v>0.06</v>
      </c>
      <c r="CB28" s="290">
        <v>6.3E-2</v>
      </c>
      <c r="CC28" s="290">
        <v>6.8000000000000005E-2</v>
      </c>
      <c r="CD28" s="290">
        <v>4.9000000000000002E-2</v>
      </c>
      <c r="CE28" s="290">
        <v>6.7000000000000004E-2</v>
      </c>
      <c r="CF28" s="290">
        <v>6.9000000000000006E-2</v>
      </c>
      <c r="CG28" s="290">
        <v>7.2999999999999995E-2</v>
      </c>
      <c r="CH28" s="290">
        <v>7.0000000000000007E-2</v>
      </c>
      <c r="CI28" s="290">
        <v>0.17599999999999999</v>
      </c>
      <c r="CJ28" s="290">
        <v>9.6000000000000002E-2</v>
      </c>
      <c r="CK28" s="290">
        <v>7.3999999999999996E-2</v>
      </c>
      <c r="CL28" s="290">
        <v>0.111</v>
      </c>
      <c r="CM28" s="290">
        <v>0.51100000000000001</v>
      </c>
      <c r="CN28" s="290">
        <v>0.19600000000000001</v>
      </c>
      <c r="CO28" s="290">
        <v>0.11</v>
      </c>
      <c r="CP28" s="290">
        <v>6.2E-2</v>
      </c>
      <c r="CQ28" s="290">
        <v>6.2E-2</v>
      </c>
    </row>
    <row r="29" spans="1:95" ht="35.5" thickTop="1" thickBot="1" x14ac:dyDescent="0.4">
      <c r="A29" s="184">
        <f t="shared" si="5"/>
        <v>16</v>
      </c>
      <c r="B29" s="174" t="s">
        <v>126</v>
      </c>
      <c r="C29" s="175" t="s">
        <v>22</v>
      </c>
      <c r="D29" s="175" t="s">
        <v>131</v>
      </c>
      <c r="E29" s="187" t="s">
        <v>110</v>
      </c>
      <c r="F29" s="176" t="s">
        <v>132</v>
      </c>
      <c r="G29" s="185">
        <f t="shared" si="4"/>
        <v>0.76483851764306365</v>
      </c>
      <c r="H29" s="180" t="s">
        <v>101</v>
      </c>
      <c r="I29" s="180" t="s">
        <v>101</v>
      </c>
      <c r="J29" s="180" t="s">
        <v>101</v>
      </c>
      <c r="K29" s="287">
        <v>100</v>
      </c>
      <c r="L29" s="287">
        <f>+K29*(1+L28)</f>
        <v>100.8</v>
      </c>
      <c r="M29" s="287">
        <f>+L29*(1+M28)</f>
        <v>102.71519999999998</v>
      </c>
      <c r="N29" s="287">
        <f>+M29*(1+N28)</f>
        <v>105.28307999999997</v>
      </c>
      <c r="O29" s="287">
        <f t="shared" ref="O29:AV29" si="16">+N29*(1+O28)</f>
        <v>107.28345851999995</v>
      </c>
      <c r="P29" s="287">
        <f t="shared" si="16"/>
        <v>108.35629310519995</v>
      </c>
      <c r="Q29" s="287">
        <f t="shared" si="16"/>
        <v>109.98163750177794</v>
      </c>
      <c r="R29" s="287">
        <f t="shared" si="16"/>
        <v>111.6313620643046</v>
      </c>
      <c r="S29" s="287">
        <f>+R29*(1+S28)</f>
        <v>113.52909521939776</v>
      </c>
      <c r="T29" s="181">
        <f>+S29*(1+T28)</f>
        <v>118.52437540905126</v>
      </c>
      <c r="U29" s="181">
        <f>+T29*(1+U28)</f>
        <v>124.33206980409476</v>
      </c>
      <c r="V29" s="181">
        <f t="shared" si="16"/>
        <v>126.57004706056847</v>
      </c>
      <c r="W29" s="181">
        <f t="shared" si="16"/>
        <v>128.97487795471926</v>
      </c>
      <c r="X29" s="181">
        <f t="shared" si="16"/>
        <v>137.87414453359489</v>
      </c>
      <c r="Y29" s="181">
        <f t="shared" si="16"/>
        <v>146.42234149467777</v>
      </c>
      <c r="Z29" s="181">
        <f t="shared" si="16"/>
        <v>153.30419154492762</v>
      </c>
      <c r="AA29" s="181">
        <f t="shared" si="16"/>
        <v>160.66279273908415</v>
      </c>
      <c r="AB29" s="181">
        <f t="shared" si="16"/>
        <v>185.24420002816404</v>
      </c>
      <c r="AC29" s="181">
        <f t="shared" si="16"/>
        <v>191.91299122917795</v>
      </c>
      <c r="AD29" s="181">
        <f t="shared" si="16"/>
        <v>192.2968172116363</v>
      </c>
      <c r="AE29" s="181">
        <f t="shared" si="16"/>
        <v>194.21978538375265</v>
      </c>
      <c r="AF29" s="181">
        <f t="shared" si="16"/>
        <v>195.77354366682266</v>
      </c>
      <c r="AG29" s="181">
        <f t="shared" si="16"/>
        <v>202.42984415149465</v>
      </c>
      <c r="AH29" s="181">
        <f t="shared" si="16"/>
        <v>210.72946776170591</v>
      </c>
      <c r="AI29" s="181">
        <f t="shared" si="16"/>
        <v>220.42302327874438</v>
      </c>
      <c r="AJ29" s="181">
        <f t="shared" si="16"/>
        <v>231.4441744426816</v>
      </c>
      <c r="AK29" s="181">
        <f t="shared" si="16"/>
        <v>235.84161375709252</v>
      </c>
      <c r="AL29" s="181">
        <f t="shared" si="16"/>
        <v>236.31329698460669</v>
      </c>
      <c r="AM29" s="181">
        <f t="shared" si="16"/>
        <v>259.70831338608275</v>
      </c>
      <c r="AN29" s="181">
        <f t="shared" si="16"/>
        <v>271.13547917507043</v>
      </c>
      <c r="AO29" s="181">
        <f t="shared" si="16"/>
        <v>280.89635642537297</v>
      </c>
      <c r="AP29" s="181">
        <f t="shared" si="16"/>
        <v>296.34565602876847</v>
      </c>
      <c r="AQ29" s="181">
        <f t="shared" si="16"/>
        <v>308.49582792594794</v>
      </c>
      <c r="AR29" s="181">
        <f t="shared" si="16"/>
        <v>313.43176117276312</v>
      </c>
      <c r="AS29" s="181">
        <f t="shared" si="16"/>
        <v>317.1929423068363</v>
      </c>
      <c r="AT29" s="181">
        <f t="shared" si="16"/>
        <v>320.04767878759782</v>
      </c>
      <c r="AU29" s="181">
        <f t="shared" si="16"/>
        <v>314.60686824820863</v>
      </c>
      <c r="AV29" s="181">
        <f t="shared" si="16"/>
        <v>315.23608198470504</v>
      </c>
      <c r="AW29" s="181">
        <f>+AV29*(1+AW28)</f>
        <v>327.21505310012384</v>
      </c>
      <c r="AX29" s="181">
        <f t="shared" ref="AX29:CG29" si="17">+AW29*(AX28+1)</f>
        <v>338.66757995862815</v>
      </c>
      <c r="AY29" s="181">
        <f t="shared" si="17"/>
        <v>352.5529507369319</v>
      </c>
      <c r="AZ29" s="181">
        <f t="shared" si="17"/>
        <v>365.59740991419835</v>
      </c>
      <c r="BA29" s="181">
        <f t="shared" si="17"/>
        <v>382.41489077025147</v>
      </c>
      <c r="BB29" s="181">
        <f t="shared" si="17"/>
        <v>398.09390129183174</v>
      </c>
      <c r="BC29" s="181">
        <f t="shared" si="17"/>
        <v>415.61003294867237</v>
      </c>
      <c r="BD29" s="181">
        <f t="shared" si="17"/>
        <v>439.29980482674665</v>
      </c>
      <c r="BE29" s="181">
        <f t="shared" si="17"/>
        <v>465.65779311635146</v>
      </c>
      <c r="BF29" s="181">
        <f t="shared" si="17"/>
        <v>483.3527892547728</v>
      </c>
      <c r="BG29" s="181">
        <f t="shared" si="17"/>
        <v>507.52042871751144</v>
      </c>
      <c r="BH29" s="181">
        <f t="shared" si="17"/>
        <v>524.26860286518922</v>
      </c>
      <c r="BI29" s="181">
        <f t="shared" si="17"/>
        <v>541.04519815687524</v>
      </c>
      <c r="BJ29" s="181">
        <f t="shared" si="17"/>
        <v>553.48923771448335</v>
      </c>
      <c r="BK29" s="181">
        <f t="shared" si="17"/>
        <v>567.87995789505999</v>
      </c>
      <c r="BL29" s="181">
        <f t="shared" si="17"/>
        <v>583.78059671612164</v>
      </c>
      <c r="BM29" s="181">
        <f t="shared" si="17"/>
        <v>600.71023402088906</v>
      </c>
      <c r="BN29" s="188">
        <f t="shared" si="17"/>
        <v>618.13083080749482</v>
      </c>
      <c r="BO29" s="188">
        <f t="shared" si="17"/>
        <v>632.34783991606719</v>
      </c>
      <c r="BP29" s="188">
        <f t="shared" si="17"/>
        <v>657.00940567279372</v>
      </c>
      <c r="BQ29" s="188">
        <f t="shared" si="17"/>
        <v>689.20286655076052</v>
      </c>
      <c r="BR29" s="188">
        <f t="shared" si="17"/>
        <v>733.31185001000927</v>
      </c>
      <c r="BS29" s="188">
        <f t="shared" si="17"/>
        <v>775.84393731058981</v>
      </c>
      <c r="BT29" s="188">
        <f t="shared" si="17"/>
        <v>816.18782205074046</v>
      </c>
      <c r="BU29" s="188">
        <f t="shared" si="17"/>
        <v>856.99721315327747</v>
      </c>
      <c r="BV29" s="188">
        <f t="shared" si="17"/>
        <v>916.98701807400698</v>
      </c>
      <c r="BW29" s="188">
        <f t="shared" si="17"/>
        <v>991.26296653800148</v>
      </c>
      <c r="BX29" s="188">
        <f t="shared" si="17"/>
        <v>1044.7911667310536</v>
      </c>
      <c r="BY29" s="287">
        <f t="shared" si="17"/>
        <v>1092.851560400682</v>
      </c>
      <c r="BZ29" s="287">
        <f t="shared" si="17"/>
        <v>1159.5155055851235</v>
      </c>
      <c r="CA29" s="287">
        <f t="shared" si="17"/>
        <v>1229.086435920231</v>
      </c>
      <c r="CB29" s="287">
        <f t="shared" si="17"/>
        <v>1306.5188813832056</v>
      </c>
      <c r="CC29" s="287">
        <f t="shared" si="17"/>
        <v>1395.3621653172636</v>
      </c>
      <c r="CD29" s="287">
        <f t="shared" si="17"/>
        <v>1463.7349114178094</v>
      </c>
      <c r="CE29" s="287">
        <f t="shared" si="17"/>
        <v>1561.8051504828024</v>
      </c>
      <c r="CF29" s="287">
        <f t="shared" si="17"/>
        <v>1669.5697058661158</v>
      </c>
      <c r="CG29" s="287">
        <f t="shared" si="17"/>
        <v>1791.4482943943422</v>
      </c>
      <c r="CH29" s="287">
        <f>+CG29*(CH28+1)</f>
        <v>1916.8496750019463</v>
      </c>
      <c r="CI29" s="287">
        <f>+CH29*(CI28+1)</f>
        <v>2254.2152178022889</v>
      </c>
      <c r="CJ29" s="287">
        <f>+CI29*(CJ28+1)</f>
        <v>2470.619878711309</v>
      </c>
      <c r="CK29" s="287">
        <f>+CJ29*(CK28+1)</f>
        <v>2653.4457497359458</v>
      </c>
      <c r="CL29" s="287">
        <f t="shared" ref="CL29:CN29" si="18">+CK29*(CL28+1)</f>
        <v>2947.9782279566357</v>
      </c>
      <c r="CM29" s="287">
        <f t="shared" si="18"/>
        <v>4454.3951024424769</v>
      </c>
      <c r="CN29" s="287">
        <f t="shared" si="18"/>
        <v>5327.4565425212022</v>
      </c>
      <c r="CO29" s="287">
        <f>+CN29*(CO28+1)</f>
        <v>5913.4767621985347</v>
      </c>
      <c r="CP29" s="287">
        <f>+CN29*(CP28+1)</f>
        <v>5657.7588481575167</v>
      </c>
      <c r="CQ29" s="287">
        <f>+CO29*(CQ28+1)</f>
        <v>6280.1123214548443</v>
      </c>
    </row>
    <row r="30" spans="1:95" ht="24" thickTop="1" thickBot="1" x14ac:dyDescent="0.4">
      <c r="A30" s="184">
        <f t="shared" si="5"/>
        <v>17</v>
      </c>
      <c r="B30" s="174" t="s">
        <v>126</v>
      </c>
      <c r="C30" s="175" t="s">
        <v>22</v>
      </c>
      <c r="D30" s="175" t="s">
        <v>133</v>
      </c>
      <c r="E30" s="187" t="s">
        <v>110</v>
      </c>
      <c r="F30" s="176" t="s">
        <v>130</v>
      </c>
      <c r="G30" s="185">
        <f t="shared" si="4"/>
        <v>2.7272727272727275</v>
      </c>
      <c r="H30" s="180" t="s">
        <v>101</v>
      </c>
      <c r="I30" s="180" t="s">
        <v>101</v>
      </c>
      <c r="J30" s="180" t="s">
        <v>101</v>
      </c>
      <c r="K30" s="180" t="s">
        <v>101</v>
      </c>
      <c r="L30" s="180">
        <v>1.0999999999999999E-2</v>
      </c>
      <c r="M30" s="180">
        <v>8.9999999999999993E-3</v>
      </c>
      <c r="N30" s="180">
        <v>3.7999999999999999E-2</v>
      </c>
      <c r="O30" s="180">
        <v>1.7000000000000001E-2</v>
      </c>
      <c r="P30" s="180">
        <v>4.0000000000000001E-3</v>
      </c>
      <c r="Q30" s="180">
        <v>1.4E-2</v>
      </c>
      <c r="R30" s="180">
        <v>0.02</v>
      </c>
      <c r="S30" s="180">
        <v>6.0000000000000001E-3</v>
      </c>
      <c r="T30" s="182">
        <v>7.0999999999999994E-2</v>
      </c>
      <c r="U30" s="182">
        <v>4.2999999999999997E-2</v>
      </c>
      <c r="V30" s="182">
        <v>3.2000000000000001E-2</v>
      </c>
      <c r="W30" s="182">
        <v>1E-3</v>
      </c>
      <c r="X30" s="180">
        <v>0.153</v>
      </c>
      <c r="Y30" s="180">
        <v>0.109</v>
      </c>
      <c r="Z30" s="180">
        <v>5.6000000000000001E-2</v>
      </c>
      <c r="AA30" s="180">
        <v>5.8999999999999997E-2</v>
      </c>
      <c r="AB30" s="180">
        <v>0.24199999999999999</v>
      </c>
      <c r="AC30" s="180">
        <v>-2.9000000000000001E-2</v>
      </c>
      <c r="AD30" s="180">
        <v>-1.2999999999999999E-2</v>
      </c>
      <c r="AE30" s="180">
        <v>4.2999999999999997E-2</v>
      </c>
      <c r="AF30" s="180">
        <v>2.4E-2</v>
      </c>
      <c r="AG30" s="180">
        <v>2.7E-2</v>
      </c>
      <c r="AH30" s="182">
        <v>4.3999999999999997E-2</v>
      </c>
      <c r="AI30" s="182">
        <v>0.04</v>
      </c>
      <c r="AJ30" s="182">
        <v>4.1000000000000002E-2</v>
      </c>
      <c r="AK30" s="182">
        <v>-1.0999999999999999E-2</v>
      </c>
      <c r="AL30" s="182">
        <v>-1.7999999999999999E-2</v>
      </c>
      <c r="AM30" s="182">
        <v>0.28199999999999997</v>
      </c>
      <c r="AN30" s="182">
        <v>1.7000000000000001E-2</v>
      </c>
      <c r="AO30" s="182">
        <v>3.5999999999999997E-2</v>
      </c>
      <c r="AP30" s="182">
        <v>4.2000000000000003E-2</v>
      </c>
      <c r="AQ30" s="182">
        <v>4.0000000000000001E-3</v>
      </c>
      <c r="AR30" s="182">
        <v>1E-3</v>
      </c>
      <c r="AS30" s="182">
        <v>7.0000000000000001E-3</v>
      </c>
      <c r="AT30" s="201">
        <v>1.4E-2</v>
      </c>
      <c r="AU30" s="201">
        <v>0.03</v>
      </c>
      <c r="AV30" s="201">
        <v>2.7E-2</v>
      </c>
      <c r="AW30" s="201">
        <v>2.5999999999999999E-2</v>
      </c>
      <c r="AX30" s="182">
        <v>3.7999999999999999E-2</v>
      </c>
      <c r="AY30" s="182">
        <v>3.9E-2</v>
      </c>
      <c r="AZ30" s="182">
        <v>3.5000000000000003E-2</v>
      </c>
      <c r="BA30" s="182">
        <v>5.6000000000000001E-2</v>
      </c>
      <c r="BB30" s="182">
        <v>5.1999999999999998E-2</v>
      </c>
      <c r="BC30" s="182">
        <v>3.9E-2</v>
      </c>
      <c r="BD30" s="182">
        <v>4.3999999999999997E-2</v>
      </c>
      <c r="BE30" s="182">
        <v>7.3999999999999996E-2</v>
      </c>
      <c r="BF30" s="182">
        <v>0.05</v>
      </c>
      <c r="BG30" s="182">
        <v>2.5000000000000001E-2</v>
      </c>
      <c r="BH30" s="182">
        <v>2.5000000000000001E-2</v>
      </c>
      <c r="BI30" s="182">
        <v>2.5000000000000001E-2</v>
      </c>
      <c r="BJ30" s="182">
        <v>1.6E-2</v>
      </c>
      <c r="BK30" s="182">
        <v>1.2999999999999999E-2</v>
      </c>
      <c r="BL30" s="182">
        <v>3.3000000000000002E-2</v>
      </c>
      <c r="BM30" s="182">
        <v>2.3E-2</v>
      </c>
      <c r="BN30" s="207">
        <v>3.4000000000000002E-2</v>
      </c>
      <c r="BO30" s="207">
        <v>1.2E-2</v>
      </c>
      <c r="BP30" s="207">
        <v>2.1999999999999999E-2</v>
      </c>
      <c r="BQ30" s="207">
        <v>2.8000000000000001E-2</v>
      </c>
      <c r="BR30" s="290">
        <v>6.4000000000000001E-2</v>
      </c>
      <c r="BS30" s="290">
        <v>6.6000000000000003E-2</v>
      </c>
      <c r="BT30" s="290">
        <v>4.7E-2</v>
      </c>
      <c r="BU30" s="290">
        <v>2.5000000000000001E-2</v>
      </c>
      <c r="BV30" s="290">
        <v>8.5999999999999993E-2</v>
      </c>
      <c r="BW30" s="290">
        <v>9.0999999999999998E-2</v>
      </c>
      <c r="BX30" s="290">
        <v>6.2E-2</v>
      </c>
      <c r="BY30" s="290">
        <v>6.6000000000000003E-2</v>
      </c>
      <c r="BZ30" s="290">
        <v>8.2000000000000003E-2</v>
      </c>
      <c r="CA30" s="290">
        <v>0.08</v>
      </c>
      <c r="CB30" s="290">
        <v>8.5000000000000006E-2</v>
      </c>
      <c r="CC30" s="290">
        <v>9.1999999999999998E-2</v>
      </c>
      <c r="CD30" s="290">
        <v>6.9000000000000006E-2</v>
      </c>
      <c r="CE30" s="290">
        <v>9.1999999999999998E-2</v>
      </c>
      <c r="CF30" s="290">
        <v>8.5000000000000006E-2</v>
      </c>
      <c r="CG30" s="290">
        <v>9.7000000000000003E-2</v>
      </c>
      <c r="CH30" s="290">
        <v>7.6999999999999999E-2</v>
      </c>
      <c r="CI30" s="290">
        <v>0.30199999999999999</v>
      </c>
      <c r="CJ30" s="290">
        <v>5.2999999999999999E-2</v>
      </c>
      <c r="CK30" s="290">
        <v>9.2999999999999999E-2</v>
      </c>
      <c r="CL30" s="290">
        <v>0.109</v>
      </c>
      <c r="CM30" s="290">
        <v>0.80600000000000005</v>
      </c>
      <c r="CN30" s="290">
        <v>5.0999999999999997E-2</v>
      </c>
      <c r="CO30" s="290">
        <v>2.7E-2</v>
      </c>
      <c r="CP30" s="290">
        <v>1.7000000000000001E-2</v>
      </c>
      <c r="CQ30" s="290">
        <v>1.7000000000000001E-2</v>
      </c>
    </row>
    <row r="31" spans="1:95" ht="35.5" thickTop="1" thickBot="1" x14ac:dyDescent="0.4">
      <c r="A31" s="184">
        <f t="shared" si="5"/>
        <v>18</v>
      </c>
      <c r="B31" s="174" t="s">
        <v>126</v>
      </c>
      <c r="C31" s="175" t="s">
        <v>22</v>
      </c>
      <c r="D31" s="175" t="s">
        <v>134</v>
      </c>
      <c r="E31" s="187" t="s">
        <v>110</v>
      </c>
      <c r="F31" s="176" t="s">
        <v>132</v>
      </c>
      <c r="G31" s="185">
        <f t="shared" si="4"/>
        <v>0.81604268621022158</v>
      </c>
      <c r="H31" s="180" t="s">
        <v>101</v>
      </c>
      <c r="I31" s="180" t="s">
        <v>101</v>
      </c>
      <c r="J31" s="180" t="s">
        <v>101</v>
      </c>
      <c r="K31" s="287">
        <v>100</v>
      </c>
      <c r="L31" s="287">
        <f>+K31*(1+L30)</f>
        <v>101.1</v>
      </c>
      <c r="M31" s="287">
        <f t="shared" ref="M31:AW31" si="19">+L31*(1+M30)</f>
        <v>102.00989999999999</v>
      </c>
      <c r="N31" s="287">
        <f t="shared" si="19"/>
        <v>105.8862762</v>
      </c>
      <c r="O31" s="287">
        <f t="shared" si="19"/>
        <v>107.68634289539999</v>
      </c>
      <c r="P31" s="287">
        <f t="shared" si="19"/>
        <v>108.11708826698158</v>
      </c>
      <c r="Q31" s="287">
        <f t="shared" si="19"/>
        <v>109.63072750271932</v>
      </c>
      <c r="R31" s="287">
        <f t="shared" si="19"/>
        <v>111.82334205277371</v>
      </c>
      <c r="S31" s="287">
        <f t="shared" si="19"/>
        <v>112.49428210509035</v>
      </c>
      <c r="T31" s="287">
        <f>+S31*(1+T30)</f>
        <v>120.48137613455175</v>
      </c>
      <c r="U31" s="287">
        <f>+T31*(1+U30)</f>
        <v>125.66207530833746</v>
      </c>
      <c r="V31" s="287">
        <f t="shared" si="19"/>
        <v>129.68326171820428</v>
      </c>
      <c r="W31" s="287">
        <f t="shared" si="19"/>
        <v>129.81294497992246</v>
      </c>
      <c r="X31" s="287">
        <f t="shared" si="19"/>
        <v>149.67432556185059</v>
      </c>
      <c r="Y31" s="287">
        <f t="shared" si="19"/>
        <v>165.9888270480923</v>
      </c>
      <c r="Z31" s="287">
        <f t="shared" si="19"/>
        <v>175.2842013627855</v>
      </c>
      <c r="AA31" s="287">
        <f t="shared" si="19"/>
        <v>185.62596924318984</v>
      </c>
      <c r="AB31" s="287">
        <f t="shared" si="19"/>
        <v>230.54745380004178</v>
      </c>
      <c r="AC31" s="287">
        <f t="shared" si="19"/>
        <v>223.86157763984056</v>
      </c>
      <c r="AD31" s="287">
        <f t="shared" si="19"/>
        <v>220.95137713052264</v>
      </c>
      <c r="AE31" s="287">
        <f t="shared" si="19"/>
        <v>230.4522863471351</v>
      </c>
      <c r="AF31" s="287">
        <f t="shared" si="19"/>
        <v>235.98314121946635</v>
      </c>
      <c r="AG31" s="287">
        <f t="shared" si="19"/>
        <v>242.35468603239192</v>
      </c>
      <c r="AH31" s="287">
        <f t="shared" si="19"/>
        <v>253.01829221781719</v>
      </c>
      <c r="AI31" s="287">
        <f t="shared" si="19"/>
        <v>263.13902390652987</v>
      </c>
      <c r="AJ31" s="287">
        <f t="shared" si="19"/>
        <v>273.92772388669755</v>
      </c>
      <c r="AK31" s="287">
        <f t="shared" si="19"/>
        <v>270.91451892394389</v>
      </c>
      <c r="AL31" s="181">
        <f t="shared" si="19"/>
        <v>266.03805758331288</v>
      </c>
      <c r="AM31" s="181">
        <f t="shared" si="19"/>
        <v>341.06078982180713</v>
      </c>
      <c r="AN31" s="181">
        <f t="shared" si="19"/>
        <v>346.85882324877781</v>
      </c>
      <c r="AO31" s="181">
        <f t="shared" si="19"/>
        <v>359.34574088573385</v>
      </c>
      <c r="AP31" s="181">
        <f t="shared" si="19"/>
        <v>374.43826200293466</v>
      </c>
      <c r="AQ31" s="181">
        <f t="shared" si="19"/>
        <v>375.93601505094642</v>
      </c>
      <c r="AR31" s="181">
        <f t="shared" si="19"/>
        <v>376.31195106599733</v>
      </c>
      <c r="AS31" s="181">
        <f t="shared" si="19"/>
        <v>378.94613472345929</v>
      </c>
      <c r="AT31" s="181">
        <f t="shared" si="19"/>
        <v>384.25138060958773</v>
      </c>
      <c r="AU31" s="181">
        <f t="shared" si="19"/>
        <v>395.77892202787535</v>
      </c>
      <c r="AV31" s="181">
        <f t="shared" si="19"/>
        <v>406.46495292262796</v>
      </c>
      <c r="AW31" s="181">
        <f t="shared" si="19"/>
        <v>417.03304169861627</v>
      </c>
      <c r="AX31" s="181">
        <f>+AW31*(1+AX30)</f>
        <v>432.88029728316371</v>
      </c>
      <c r="AY31" s="181">
        <f>+AX31*(1+AY30)</f>
        <v>449.76262887720708</v>
      </c>
      <c r="AZ31" s="181">
        <f>+AY31*(1+AZ30)</f>
        <v>465.50432088790927</v>
      </c>
      <c r="BA31" s="181">
        <f>+AZ31*(1+BA30)</f>
        <v>491.57256285763219</v>
      </c>
      <c r="BB31" s="181">
        <f>+BA31*(1+BB30)</f>
        <v>517.13433612622907</v>
      </c>
      <c r="BC31" s="181">
        <f t="shared" ref="BC31:CG31" si="20">+BB31*(BC30+1)</f>
        <v>537.30257523515195</v>
      </c>
      <c r="BD31" s="181">
        <f t="shared" si="20"/>
        <v>560.94388854549868</v>
      </c>
      <c r="BE31" s="181">
        <f t="shared" si="20"/>
        <v>602.45373629786559</v>
      </c>
      <c r="BF31" s="181">
        <f t="shared" si="20"/>
        <v>632.5764231127589</v>
      </c>
      <c r="BG31" s="181">
        <f t="shared" si="20"/>
        <v>648.39083369057778</v>
      </c>
      <c r="BH31" s="181">
        <f t="shared" si="20"/>
        <v>664.60060453284211</v>
      </c>
      <c r="BI31" s="181">
        <f t="shared" si="20"/>
        <v>681.21561964616308</v>
      </c>
      <c r="BJ31" s="181">
        <f t="shared" si="20"/>
        <v>692.11506956050175</v>
      </c>
      <c r="BK31" s="181">
        <f>+BJ31*(BK30+1)</f>
        <v>701.11256546478819</v>
      </c>
      <c r="BL31" s="181">
        <f t="shared" si="20"/>
        <v>724.24928012512612</v>
      </c>
      <c r="BM31" s="181">
        <f t="shared" si="20"/>
        <v>740.907013568004</v>
      </c>
      <c r="BN31" s="188">
        <f t="shared" si="20"/>
        <v>766.09785202931619</v>
      </c>
      <c r="BO31" s="188">
        <f t="shared" si="20"/>
        <v>775.29102625366795</v>
      </c>
      <c r="BP31" s="188">
        <f t="shared" si="20"/>
        <v>792.34742883124864</v>
      </c>
      <c r="BQ31" s="188">
        <f t="shared" si="20"/>
        <v>814.53315683852361</v>
      </c>
      <c r="BR31" s="188">
        <f t="shared" si="20"/>
        <v>866.66327887618911</v>
      </c>
      <c r="BS31" s="188">
        <f t="shared" si="20"/>
        <v>923.86305528201763</v>
      </c>
      <c r="BT31" s="188">
        <f t="shared" si="20"/>
        <v>967.28461888027243</v>
      </c>
      <c r="BU31" s="188">
        <f t="shared" si="20"/>
        <v>991.4667343522791</v>
      </c>
      <c r="BV31" s="188">
        <f t="shared" si="20"/>
        <v>1076.7328735065753</v>
      </c>
      <c r="BW31" s="188">
        <f t="shared" si="20"/>
        <v>1174.7155649956735</v>
      </c>
      <c r="BX31" s="188">
        <f t="shared" si="20"/>
        <v>1247.5479300254053</v>
      </c>
      <c r="BY31" s="287">
        <f t="shared" si="20"/>
        <v>1329.8860934070822</v>
      </c>
      <c r="BZ31" s="287">
        <f t="shared" si="20"/>
        <v>1438.9367530664631</v>
      </c>
      <c r="CA31" s="287">
        <f t="shared" si="20"/>
        <v>1554.0516933117804</v>
      </c>
      <c r="CB31" s="287">
        <f t="shared" si="20"/>
        <v>1686.1460872432817</v>
      </c>
      <c r="CC31" s="287">
        <f t="shared" si="20"/>
        <v>1841.2715272696637</v>
      </c>
      <c r="CD31" s="287">
        <f t="shared" si="20"/>
        <v>1968.3192626512705</v>
      </c>
      <c r="CE31" s="287">
        <f t="shared" si="20"/>
        <v>2149.4046348151874</v>
      </c>
      <c r="CF31" s="287">
        <f t="shared" si="20"/>
        <v>2332.1040287744781</v>
      </c>
      <c r="CG31" s="287">
        <f t="shared" si="20"/>
        <v>2558.3181195656025</v>
      </c>
      <c r="CH31" s="287">
        <f>+CG31*(CH30+1)</f>
        <v>2755.3086147721538</v>
      </c>
      <c r="CI31" s="287">
        <f>+CH31*(CI30+1)</f>
        <v>3587.4118164333445</v>
      </c>
      <c r="CJ31" s="287">
        <f>+CI31*(CJ30+1)</f>
        <v>3777.5446427043116</v>
      </c>
      <c r="CK31" s="287">
        <f>+CJ31*(CK30+1)</f>
        <v>4128.8562944758123</v>
      </c>
      <c r="CL31" s="287">
        <f t="shared" ref="CL31:CN31" si="21">+CK31*(CL30+1)</f>
        <v>4578.9016305736759</v>
      </c>
      <c r="CM31" s="287">
        <f t="shared" si="21"/>
        <v>8269.4963448160597</v>
      </c>
      <c r="CN31" s="287">
        <f t="shared" si="21"/>
        <v>8691.240658401679</v>
      </c>
      <c r="CO31" s="287">
        <f>+CN31*(CO30+1)</f>
        <v>8925.9041561785234</v>
      </c>
      <c r="CP31" s="287">
        <f>+CN31*(CP30+1)</f>
        <v>8838.9917495945065</v>
      </c>
      <c r="CQ31" s="287">
        <f>+CO31*(CQ30+1)</f>
        <v>9077.6445268335574</v>
      </c>
    </row>
    <row r="32" spans="1:95" ht="24" thickTop="1" thickBot="1" x14ac:dyDescent="0.4">
      <c r="A32" s="184">
        <f t="shared" si="5"/>
        <v>19</v>
      </c>
      <c r="B32" s="174" t="s">
        <v>135</v>
      </c>
      <c r="C32" s="175" t="s">
        <v>22</v>
      </c>
      <c r="D32" s="175" t="s">
        <v>136</v>
      </c>
      <c r="E32" s="187" t="s">
        <v>110</v>
      </c>
      <c r="F32" s="176" t="s">
        <v>137</v>
      </c>
      <c r="G32" s="185">
        <f t="shared" si="4"/>
        <v>0.51428571428571412</v>
      </c>
      <c r="H32" s="180" t="s">
        <v>101</v>
      </c>
      <c r="I32" s="180" t="s">
        <v>101</v>
      </c>
      <c r="J32" s="180" t="s">
        <v>101</v>
      </c>
      <c r="K32" s="180" t="s">
        <v>101</v>
      </c>
      <c r="L32" s="180">
        <v>1.4E-2</v>
      </c>
      <c r="M32" s="180">
        <v>1.6E-2</v>
      </c>
      <c r="N32" s="180">
        <v>3.2000000000000001E-2</v>
      </c>
      <c r="O32" s="180">
        <v>2.1999999999999999E-2</v>
      </c>
      <c r="P32" s="180">
        <v>1.6E-2</v>
      </c>
      <c r="Q32" s="180">
        <v>-2E-3</v>
      </c>
      <c r="R32" s="180">
        <v>1.0999999999999999E-2</v>
      </c>
      <c r="S32" s="180">
        <v>5.0000000000000001E-3</v>
      </c>
      <c r="T32" s="182">
        <v>2.4E-2</v>
      </c>
      <c r="U32" s="182">
        <v>3.2000000000000001E-2</v>
      </c>
      <c r="V32" s="182">
        <v>1.4999999999999999E-2</v>
      </c>
      <c r="W32" s="182">
        <v>1.2E-2</v>
      </c>
      <c r="X32" s="180">
        <v>7.9000000000000001E-2</v>
      </c>
      <c r="Y32" s="180">
        <v>7.0999999999999994E-2</v>
      </c>
      <c r="Z32" s="180">
        <v>4.1000000000000002E-2</v>
      </c>
      <c r="AA32" s="180">
        <v>4.5999999999999999E-2</v>
      </c>
      <c r="AB32" s="180">
        <v>0.183</v>
      </c>
      <c r="AC32" s="180">
        <v>1.2999999999999999E-2</v>
      </c>
      <c r="AD32" s="180">
        <v>0.01</v>
      </c>
      <c r="AE32" s="180">
        <v>1.0999999999999999E-2</v>
      </c>
      <c r="AF32" s="180">
        <v>2.4E-2</v>
      </c>
      <c r="AG32" s="180">
        <v>2.3E-2</v>
      </c>
      <c r="AH32" s="180">
        <v>2.9000000000000001E-2</v>
      </c>
      <c r="AI32" s="180">
        <v>4.2000000000000003E-2</v>
      </c>
      <c r="AJ32" s="180">
        <v>2.8000000000000001E-2</v>
      </c>
      <c r="AK32" s="180">
        <v>2.4E-2</v>
      </c>
      <c r="AL32" s="182">
        <v>1.6E-2</v>
      </c>
      <c r="AM32" s="182">
        <v>0.158</v>
      </c>
      <c r="AN32" s="182">
        <v>4.8000000000000001E-2</v>
      </c>
      <c r="AO32" s="182">
        <v>2.5000000000000001E-2</v>
      </c>
      <c r="AP32" s="180">
        <v>4.1000000000000002E-2</v>
      </c>
      <c r="AQ32" s="180">
        <v>1.4E-2</v>
      </c>
      <c r="AR32" s="180">
        <v>2.4E-2</v>
      </c>
      <c r="AS32" s="180">
        <v>1.7999999999999999E-2</v>
      </c>
      <c r="AT32" s="180">
        <v>1.7999999999999999E-2</v>
      </c>
      <c r="AU32" s="180">
        <v>1.4999999999999999E-2</v>
      </c>
      <c r="AV32" s="180">
        <v>4.4999999999999998E-2</v>
      </c>
      <c r="AW32" s="180">
        <v>4.9000000000000002E-2</v>
      </c>
      <c r="AX32" s="182">
        <v>3.4000000000000002E-2</v>
      </c>
      <c r="AY32" s="182">
        <v>5.8000000000000003E-2</v>
      </c>
      <c r="AZ32" s="182">
        <v>3.5000000000000003E-2</v>
      </c>
      <c r="BA32" s="182">
        <v>5.2999999999999999E-2</v>
      </c>
      <c r="BB32" s="182">
        <v>3.6999999999999998E-2</v>
      </c>
      <c r="BC32" s="182">
        <v>3.7999999999999999E-2</v>
      </c>
      <c r="BD32" s="182">
        <v>5.6000000000000001E-2</v>
      </c>
      <c r="BE32" s="182">
        <v>3.9E-2</v>
      </c>
      <c r="BF32" s="182">
        <v>3.1E-2</v>
      </c>
      <c r="BG32" s="182">
        <v>3.1E-2</v>
      </c>
      <c r="BH32" s="182">
        <v>5.0999999999999997E-2</v>
      </c>
      <c r="BI32" s="182">
        <v>2.7E-2</v>
      </c>
      <c r="BJ32" s="182">
        <v>3.4000000000000002E-2</v>
      </c>
      <c r="BK32" s="182">
        <v>2.5999999999999999E-2</v>
      </c>
      <c r="BL32" s="182">
        <v>3.2000000000000001E-2</v>
      </c>
      <c r="BM32" s="182">
        <v>3.2000000000000001E-2</v>
      </c>
      <c r="BN32" s="207">
        <v>3.3000000000000002E-2</v>
      </c>
      <c r="BO32" s="207">
        <v>2.8000000000000001E-2</v>
      </c>
      <c r="BP32" s="207">
        <v>3.5000000000000003E-2</v>
      </c>
      <c r="BQ32" s="207">
        <v>3.4000000000000002E-2</v>
      </c>
      <c r="BR32" s="207">
        <v>3.4000000000000002E-2</v>
      </c>
      <c r="BS32" s="290">
        <v>5.6000000000000001E-2</v>
      </c>
      <c r="BT32" s="290">
        <v>4.4999999999999998E-2</v>
      </c>
      <c r="BU32" s="290">
        <v>5.3999999999999999E-2</v>
      </c>
      <c r="BV32" s="290">
        <v>0.112</v>
      </c>
      <c r="BW32" s="290">
        <v>9.8000000000000004E-2</v>
      </c>
      <c r="BX32" s="290">
        <v>6.0999999999999999E-2</v>
      </c>
      <c r="BY32" s="290">
        <v>6.6000000000000003E-2</v>
      </c>
      <c r="BZ32" s="290">
        <v>5.2999999999999999E-2</v>
      </c>
      <c r="CA32" s="290">
        <v>6.4000000000000001E-2</v>
      </c>
      <c r="CB32" s="290">
        <v>7.0000000000000007E-2</v>
      </c>
      <c r="CC32" s="290">
        <v>6.2E-2</v>
      </c>
      <c r="CD32" s="290">
        <v>5.5E-2</v>
      </c>
      <c r="CE32" s="290">
        <v>7.1999999999999995E-2</v>
      </c>
      <c r="CF32" s="290">
        <v>9.9000000000000005E-2</v>
      </c>
      <c r="CG32" s="290">
        <v>8.1000000000000003E-2</v>
      </c>
      <c r="CH32" s="290">
        <v>8.4000000000000005E-2</v>
      </c>
      <c r="CI32" s="290">
        <v>0.23799999999999999</v>
      </c>
      <c r="CJ32" s="290">
        <v>0.112</v>
      </c>
      <c r="CK32" s="290">
        <v>7.9000000000000001E-2</v>
      </c>
      <c r="CL32" s="290">
        <v>0.113</v>
      </c>
      <c r="CM32" s="290">
        <v>0.502</v>
      </c>
      <c r="CN32" s="290">
        <v>0.14099999999999999</v>
      </c>
      <c r="CO32" s="290">
        <v>0.246</v>
      </c>
      <c r="CP32" s="290">
        <v>2.29E-2</v>
      </c>
      <c r="CQ32" s="290">
        <v>2.29E-2</v>
      </c>
    </row>
    <row r="33" spans="1:95" ht="35.5" thickTop="1" thickBot="1" x14ac:dyDescent="0.4">
      <c r="A33" s="184">
        <f t="shared" si="5"/>
        <v>20</v>
      </c>
      <c r="B33" s="174" t="s">
        <v>135</v>
      </c>
      <c r="C33" s="175" t="s">
        <v>22</v>
      </c>
      <c r="D33" s="175" t="s">
        <v>138</v>
      </c>
      <c r="E33" s="187" t="s">
        <v>110</v>
      </c>
      <c r="F33" s="176" t="s">
        <v>132</v>
      </c>
      <c r="G33" s="185">
        <f t="shared" si="4"/>
        <v>0.80829792592947869</v>
      </c>
      <c r="H33" s="180" t="s">
        <v>101</v>
      </c>
      <c r="I33" s="180" t="s">
        <v>101</v>
      </c>
      <c r="J33" s="180" t="s">
        <v>101</v>
      </c>
      <c r="K33" s="287">
        <v>100</v>
      </c>
      <c r="L33" s="287">
        <f>+K33*(1+L32)</f>
        <v>101.4</v>
      </c>
      <c r="M33" s="287">
        <f t="shared" ref="M33:BV33" si="22">+L33*(1+M32)</f>
        <v>103.0224</v>
      </c>
      <c r="N33" s="287">
        <f t="shared" si="22"/>
        <v>106.3191168</v>
      </c>
      <c r="O33" s="287">
        <f t="shared" si="22"/>
        <v>108.6581373696</v>
      </c>
      <c r="P33" s="287">
        <f t="shared" si="22"/>
        <v>110.3966675675136</v>
      </c>
      <c r="Q33" s="287">
        <f t="shared" si="22"/>
        <v>110.17587423237858</v>
      </c>
      <c r="R33" s="287">
        <f t="shared" si="22"/>
        <v>111.38780884893472</v>
      </c>
      <c r="S33" s="287">
        <f t="shared" si="22"/>
        <v>111.94474789317938</v>
      </c>
      <c r="T33" s="287">
        <f>+S33*(1+T32)</f>
        <v>114.63142184261569</v>
      </c>
      <c r="U33" s="287">
        <f t="shared" si="22"/>
        <v>118.2996273415794</v>
      </c>
      <c r="V33" s="287">
        <f t="shared" si="22"/>
        <v>120.07412175170307</v>
      </c>
      <c r="W33" s="287">
        <f t="shared" si="22"/>
        <v>121.51501121272351</v>
      </c>
      <c r="X33" s="287">
        <f t="shared" si="22"/>
        <v>131.11469709852867</v>
      </c>
      <c r="Y33" s="287">
        <f t="shared" si="22"/>
        <v>140.42384059252419</v>
      </c>
      <c r="Z33" s="287">
        <f t="shared" si="22"/>
        <v>146.18121805681767</v>
      </c>
      <c r="AA33" s="287">
        <f t="shared" si="22"/>
        <v>152.90555408743128</v>
      </c>
      <c r="AB33" s="287">
        <f t="shared" si="22"/>
        <v>180.88727048543123</v>
      </c>
      <c r="AC33" s="287">
        <f t="shared" si="22"/>
        <v>183.23880500174181</v>
      </c>
      <c r="AD33" s="287">
        <f t="shared" si="22"/>
        <v>185.07119305175922</v>
      </c>
      <c r="AE33" s="287">
        <f t="shared" si="22"/>
        <v>187.10697617532855</v>
      </c>
      <c r="AF33" s="287">
        <f t="shared" si="22"/>
        <v>191.59754360353645</v>
      </c>
      <c r="AG33" s="287">
        <f t="shared" si="22"/>
        <v>196.00428710641776</v>
      </c>
      <c r="AH33" s="287">
        <f t="shared" si="22"/>
        <v>201.68841143250387</v>
      </c>
      <c r="AI33" s="287">
        <f t="shared" si="22"/>
        <v>210.15932471266905</v>
      </c>
      <c r="AJ33" s="287">
        <f t="shared" si="22"/>
        <v>216.04378580462378</v>
      </c>
      <c r="AK33" s="287">
        <f t="shared" si="22"/>
        <v>221.22883666393474</v>
      </c>
      <c r="AL33" s="181">
        <f t="shared" si="22"/>
        <v>224.7684980505577</v>
      </c>
      <c r="AM33" s="181">
        <f t="shared" si="22"/>
        <v>260.28192074254582</v>
      </c>
      <c r="AN33" s="181">
        <f t="shared" si="22"/>
        <v>272.77545293818804</v>
      </c>
      <c r="AO33" s="181">
        <f t="shared" si="22"/>
        <v>279.59483926164273</v>
      </c>
      <c r="AP33" s="181">
        <f t="shared" si="22"/>
        <v>291.05822767137005</v>
      </c>
      <c r="AQ33" s="181">
        <f t="shared" si="22"/>
        <v>295.13304285876922</v>
      </c>
      <c r="AR33" s="181">
        <f t="shared" si="22"/>
        <v>302.2162358873797</v>
      </c>
      <c r="AS33" s="181">
        <f t="shared" si="22"/>
        <v>307.65612813335252</v>
      </c>
      <c r="AT33" s="181">
        <f t="shared" si="22"/>
        <v>313.19393843975286</v>
      </c>
      <c r="AU33" s="181">
        <f t="shared" si="22"/>
        <v>317.89184751634912</v>
      </c>
      <c r="AV33" s="181">
        <f t="shared" si="22"/>
        <v>332.19698065458482</v>
      </c>
      <c r="AW33" s="181">
        <f t="shared" si="22"/>
        <v>348.47463270665946</v>
      </c>
      <c r="AX33" s="181">
        <f t="shared" si="22"/>
        <v>360.32277021868589</v>
      </c>
      <c r="AY33" s="181">
        <f t="shared" si="22"/>
        <v>381.22149089136968</v>
      </c>
      <c r="AZ33" s="181">
        <f t="shared" si="22"/>
        <v>394.56424307256759</v>
      </c>
      <c r="BA33" s="181">
        <f t="shared" si="22"/>
        <v>415.47614795541364</v>
      </c>
      <c r="BB33" s="181">
        <f t="shared" si="22"/>
        <v>430.84876542976389</v>
      </c>
      <c r="BC33" s="181">
        <f t="shared" si="22"/>
        <v>447.22101851609494</v>
      </c>
      <c r="BD33" s="181">
        <f t="shared" si="22"/>
        <v>472.26539555299627</v>
      </c>
      <c r="BE33" s="181">
        <f t="shared" si="22"/>
        <v>490.68374597956307</v>
      </c>
      <c r="BF33" s="181">
        <f t="shared" si="22"/>
        <v>505.8949421049295</v>
      </c>
      <c r="BG33" s="181">
        <f t="shared" si="22"/>
        <v>521.57768531018223</v>
      </c>
      <c r="BH33" s="181">
        <f t="shared" si="22"/>
        <v>548.17814726100153</v>
      </c>
      <c r="BI33" s="181">
        <f t="shared" si="22"/>
        <v>562.97895723704858</v>
      </c>
      <c r="BJ33" s="181">
        <f t="shared" si="22"/>
        <v>582.12024178310821</v>
      </c>
      <c r="BK33" s="181">
        <f t="shared" si="22"/>
        <v>597.255368069469</v>
      </c>
      <c r="BL33" s="181">
        <f t="shared" si="22"/>
        <v>616.367539847692</v>
      </c>
      <c r="BM33" s="181">
        <f t="shared" si="22"/>
        <v>636.09130112281821</v>
      </c>
      <c r="BN33" s="188">
        <f t="shared" si="22"/>
        <v>657.08231405987112</v>
      </c>
      <c r="BO33" s="188">
        <f t="shared" si="22"/>
        <v>675.48061885354753</v>
      </c>
      <c r="BP33" s="188">
        <f t="shared" si="22"/>
        <v>699.12244051342168</v>
      </c>
      <c r="BQ33" s="188">
        <f t="shared" si="22"/>
        <v>722.89260349087806</v>
      </c>
      <c r="BR33" s="188">
        <f t="shared" si="22"/>
        <v>747.4709520095679</v>
      </c>
      <c r="BS33" s="188">
        <f t="shared" si="22"/>
        <v>789.32932532210373</v>
      </c>
      <c r="BT33" s="188">
        <f t="shared" si="22"/>
        <v>824.84914496159831</v>
      </c>
      <c r="BU33" s="188">
        <f t="shared" si="22"/>
        <v>869.3909987895247</v>
      </c>
      <c r="BV33" s="188">
        <f t="shared" si="22"/>
        <v>966.76279065395158</v>
      </c>
      <c r="BW33" s="188">
        <f>+BV33*(1+BW32)</f>
        <v>1061.5055441380389</v>
      </c>
      <c r="BX33" s="188">
        <f>+BW33*(1+BX32)</f>
        <v>1126.2573823304592</v>
      </c>
      <c r="BY33" s="287">
        <f t="shared" ref="BY33:CH33" si="23">+BX33*(BY32+1)</f>
        <v>1200.5903695642696</v>
      </c>
      <c r="BZ33" s="287">
        <f t="shared" si="23"/>
        <v>1264.2216591511758</v>
      </c>
      <c r="CA33" s="287">
        <f t="shared" si="23"/>
        <v>1345.131845336851</v>
      </c>
      <c r="CB33" s="287">
        <f t="shared" si="23"/>
        <v>1439.2910745104307</v>
      </c>
      <c r="CC33" s="287">
        <f t="shared" si="23"/>
        <v>1528.5271211300774</v>
      </c>
      <c r="CD33" s="287">
        <f t="shared" si="23"/>
        <v>1612.5961127922315</v>
      </c>
      <c r="CE33" s="287">
        <f t="shared" si="23"/>
        <v>1728.7030329132722</v>
      </c>
      <c r="CF33" s="287">
        <f t="shared" si="23"/>
        <v>1899.8446331716862</v>
      </c>
      <c r="CG33" s="287">
        <f t="shared" si="23"/>
        <v>2053.7320484585925</v>
      </c>
      <c r="CH33" s="287">
        <f t="shared" si="23"/>
        <v>2226.2455405291144</v>
      </c>
      <c r="CI33" s="287">
        <f>+CH33*(CI32+1)</f>
        <v>2756.0919791750434</v>
      </c>
      <c r="CJ33" s="287">
        <f>+CI33*(CJ32+1)</f>
        <v>3064.7742808426487</v>
      </c>
      <c r="CK33" s="287">
        <f>+CJ33*(CK32+1)</f>
        <v>3306.8914490292177</v>
      </c>
      <c r="CL33" s="287">
        <f t="shared" ref="CL33:CN33" si="24">+CK33*(CL32+1)</f>
        <v>3680.5701827695193</v>
      </c>
      <c r="CM33" s="287">
        <f t="shared" si="24"/>
        <v>5528.2164145198176</v>
      </c>
      <c r="CN33" s="287">
        <f t="shared" si="24"/>
        <v>6307.694928967112</v>
      </c>
      <c r="CO33" s="287">
        <f>+CN33*(CO32+1)</f>
        <v>7859.3878814930213</v>
      </c>
      <c r="CP33" s="287">
        <f>+CN33*(CP32+1)</f>
        <v>6452.1411428404581</v>
      </c>
      <c r="CQ33" s="287">
        <f>+CO33*(CQ32+1)</f>
        <v>8039.3678639792106</v>
      </c>
    </row>
    <row r="34" spans="1:95" ht="35.5" thickTop="1" thickBot="1" x14ac:dyDescent="0.4">
      <c r="A34" s="184">
        <f t="shared" si="5"/>
        <v>21</v>
      </c>
      <c r="B34" s="174" t="s">
        <v>139</v>
      </c>
      <c r="C34" s="175" t="s">
        <v>22</v>
      </c>
      <c r="D34" s="175" t="s">
        <v>140</v>
      </c>
      <c r="E34" s="187" t="s">
        <v>110</v>
      </c>
      <c r="F34" s="176" t="s">
        <v>137</v>
      </c>
      <c r="G34" s="185">
        <f t="shared" si="4"/>
        <v>0.57142857142857129</v>
      </c>
      <c r="H34" s="180" t="s">
        <v>101</v>
      </c>
      <c r="I34" s="180" t="s">
        <v>101</v>
      </c>
      <c r="J34" s="180" t="s">
        <v>101</v>
      </c>
      <c r="K34" s="180" t="s">
        <v>101</v>
      </c>
      <c r="L34" s="180">
        <v>1.4E-2</v>
      </c>
      <c r="M34" s="180">
        <v>1.4999999999999999E-2</v>
      </c>
      <c r="N34" s="180">
        <v>0.03</v>
      </c>
      <c r="O34" s="180">
        <v>1.4999999999999999E-2</v>
      </c>
      <c r="P34" s="180">
        <v>4.0000000000000001E-3</v>
      </c>
      <c r="Q34" s="180">
        <v>1.2999999999999999E-2</v>
      </c>
      <c r="R34" s="180">
        <v>8.0000000000000002E-3</v>
      </c>
      <c r="S34" s="180">
        <v>3.0000000000000001E-3</v>
      </c>
      <c r="T34" s="182">
        <v>5.0999999999999997E-2</v>
      </c>
      <c r="U34" s="182">
        <v>3.5000000000000003E-2</v>
      </c>
      <c r="V34" s="182">
        <v>2.1999999999999999E-2</v>
      </c>
      <c r="W34" s="182">
        <v>0.01</v>
      </c>
      <c r="X34" s="180">
        <v>8.6999999999999994E-2</v>
      </c>
      <c r="Y34" s="180">
        <v>9.5000000000000001E-2</v>
      </c>
      <c r="Z34" s="180">
        <v>3.5999999999999997E-2</v>
      </c>
      <c r="AA34" s="180">
        <v>4.8000000000000001E-2</v>
      </c>
      <c r="AB34" s="180">
        <v>0.23300000000000001</v>
      </c>
      <c r="AC34" s="180">
        <v>2.7E-2</v>
      </c>
      <c r="AD34" s="180">
        <v>8.0000000000000002E-3</v>
      </c>
      <c r="AE34" s="180">
        <v>2.8000000000000001E-2</v>
      </c>
      <c r="AF34" s="180">
        <v>7.0000000000000001E-3</v>
      </c>
      <c r="AG34" s="180">
        <v>2.3E-2</v>
      </c>
      <c r="AH34" s="180">
        <v>4.7E-2</v>
      </c>
      <c r="AI34" s="180">
        <v>3.5999999999999997E-2</v>
      </c>
      <c r="AJ34" s="180">
        <v>5.2999999999999999E-2</v>
      </c>
      <c r="AK34" s="180">
        <v>1.2999999999999999E-2</v>
      </c>
      <c r="AL34" s="180">
        <v>-8.0000000000000002E-3</v>
      </c>
      <c r="AM34" s="180">
        <v>0.21199999999999999</v>
      </c>
      <c r="AN34" s="180">
        <v>0.02</v>
      </c>
      <c r="AO34" s="180">
        <v>3.1E-2</v>
      </c>
      <c r="AP34" s="180">
        <v>4.1000000000000002E-2</v>
      </c>
      <c r="AQ34" s="180">
        <v>3.3000000000000002E-2</v>
      </c>
      <c r="AR34" s="180">
        <v>2.9000000000000001E-2</v>
      </c>
      <c r="AS34" s="180">
        <v>1.2E-2</v>
      </c>
      <c r="AT34" s="180">
        <v>0.01</v>
      </c>
      <c r="AU34" s="180">
        <v>0.02</v>
      </c>
      <c r="AV34" s="180">
        <v>3.4000000000000002E-2</v>
      </c>
      <c r="AW34" s="180">
        <v>1.7999999999999999E-2</v>
      </c>
      <c r="AX34" s="182">
        <v>2.4E-2</v>
      </c>
      <c r="AY34" s="182">
        <v>0.03</v>
      </c>
      <c r="AZ34" s="182">
        <v>3.9E-2</v>
      </c>
      <c r="BA34" s="182">
        <v>3.5000000000000003E-2</v>
      </c>
      <c r="BB34" s="182">
        <v>4.1000000000000002E-2</v>
      </c>
      <c r="BC34" s="182">
        <v>3.9E-2</v>
      </c>
      <c r="BD34" s="182">
        <v>4.1000000000000002E-2</v>
      </c>
      <c r="BE34" s="182">
        <v>4.7E-2</v>
      </c>
      <c r="BF34" s="182">
        <v>4.7E-2</v>
      </c>
      <c r="BG34" s="182">
        <v>4.1000000000000002E-2</v>
      </c>
      <c r="BH34" s="182">
        <v>4.5999999999999999E-2</v>
      </c>
      <c r="BI34" s="182">
        <v>3.7999999999999999E-2</v>
      </c>
      <c r="BJ34" s="182">
        <v>2.5999999999999999E-2</v>
      </c>
      <c r="BK34" s="182">
        <v>0.03</v>
      </c>
      <c r="BL34" s="182">
        <v>3.5000000000000003E-2</v>
      </c>
      <c r="BM34" s="182">
        <v>2.9000000000000001E-2</v>
      </c>
      <c r="BN34" s="207">
        <v>3.6999999999999998E-2</v>
      </c>
      <c r="BO34" s="207">
        <v>3.3000000000000002E-2</v>
      </c>
      <c r="BP34" s="207">
        <v>3.5000000000000003E-2</v>
      </c>
      <c r="BQ34" s="207">
        <v>5.6000000000000001E-2</v>
      </c>
      <c r="BR34" s="207">
        <v>4.2000000000000003E-2</v>
      </c>
      <c r="BS34" s="290">
        <v>5.0999999999999997E-2</v>
      </c>
      <c r="BT34" s="290">
        <v>4.7E-2</v>
      </c>
      <c r="BU34" s="290">
        <v>6.8000000000000005E-2</v>
      </c>
      <c r="BV34" s="290">
        <v>7.8E-2</v>
      </c>
      <c r="BW34" s="290">
        <v>7.2999999999999995E-2</v>
      </c>
      <c r="BX34" s="290">
        <v>4.7E-2</v>
      </c>
      <c r="BY34" s="290">
        <v>6.3E-2</v>
      </c>
      <c r="BZ34" s="290">
        <v>5.5E-2</v>
      </c>
      <c r="CA34" s="290">
        <v>7.0000000000000007E-2</v>
      </c>
      <c r="CB34" s="290">
        <v>6.6000000000000003E-2</v>
      </c>
      <c r="CC34" s="290">
        <v>6.3E-2</v>
      </c>
      <c r="CD34" s="290">
        <v>6.5000000000000002E-2</v>
      </c>
      <c r="CE34" s="290">
        <v>7.2999999999999995E-2</v>
      </c>
      <c r="CF34" s="290">
        <v>6.3E-2</v>
      </c>
      <c r="CG34" s="290">
        <v>0.09</v>
      </c>
      <c r="CH34" s="290">
        <v>7.4999999999999997E-2</v>
      </c>
      <c r="CI34" s="290">
        <v>0.191</v>
      </c>
      <c r="CJ34" s="290">
        <v>0.112</v>
      </c>
      <c r="CK34" s="290">
        <v>5.3999999999999999E-2</v>
      </c>
      <c r="CL34" s="290">
        <v>0.13</v>
      </c>
      <c r="CM34" s="290">
        <v>0.56799999999999995</v>
      </c>
      <c r="CN34" s="290">
        <v>8.5000000000000006E-2</v>
      </c>
      <c r="CO34" s="290">
        <v>0.24099999999999999</v>
      </c>
      <c r="CP34" s="290">
        <v>0.14369999999999999</v>
      </c>
      <c r="CQ34" s="290">
        <v>0.14369999999999999</v>
      </c>
    </row>
    <row r="35" spans="1:95" ht="35.5" thickTop="1" thickBot="1" x14ac:dyDescent="0.4">
      <c r="A35" s="184">
        <f t="shared" si="5"/>
        <v>22</v>
      </c>
      <c r="B35" s="174" t="s">
        <v>139</v>
      </c>
      <c r="C35" s="175" t="s">
        <v>22</v>
      </c>
      <c r="D35" s="175" t="s">
        <v>141</v>
      </c>
      <c r="E35" s="187" t="s">
        <v>110</v>
      </c>
      <c r="F35" s="176" t="s">
        <v>132</v>
      </c>
      <c r="G35" s="185">
        <f t="shared" si="4"/>
        <v>0.75631809666159167</v>
      </c>
      <c r="H35" s="181" t="s">
        <v>101</v>
      </c>
      <c r="I35" s="181" t="s">
        <v>101</v>
      </c>
      <c r="J35" s="181" t="s">
        <v>101</v>
      </c>
      <c r="K35" s="287">
        <v>100</v>
      </c>
      <c r="L35" s="287">
        <f t="shared" ref="L35:BU35" si="25">+K35*(1+L34)</f>
        <v>101.4</v>
      </c>
      <c r="M35" s="287">
        <f t="shared" si="25"/>
        <v>102.92099999999999</v>
      </c>
      <c r="N35" s="287">
        <f t="shared" si="25"/>
        <v>106.00863</v>
      </c>
      <c r="O35" s="287">
        <f t="shared" si="25"/>
        <v>107.59875944999999</v>
      </c>
      <c r="P35" s="287">
        <f t="shared" si="25"/>
        <v>108.02915448779999</v>
      </c>
      <c r="Q35" s="287">
        <f t="shared" si="25"/>
        <v>109.43353349614138</v>
      </c>
      <c r="R35" s="287">
        <f t="shared" si="25"/>
        <v>110.3090017641105</v>
      </c>
      <c r="S35" s="287">
        <f t="shared" si="25"/>
        <v>110.63992876940283</v>
      </c>
      <c r="T35" s="287">
        <f>+S35*(1+T34)</f>
        <v>116.28256513664236</v>
      </c>
      <c r="U35" s="287">
        <f>+T35*(1+U34)</f>
        <v>120.35245491642483</v>
      </c>
      <c r="V35" s="287">
        <f t="shared" si="25"/>
        <v>123.00020892458618</v>
      </c>
      <c r="W35" s="287">
        <f t="shared" si="25"/>
        <v>124.23021101383203</v>
      </c>
      <c r="X35" s="287">
        <f t="shared" si="25"/>
        <v>135.03823937203541</v>
      </c>
      <c r="Y35" s="287">
        <f t="shared" si="25"/>
        <v>147.86687211237876</v>
      </c>
      <c r="Z35" s="287">
        <f t="shared" si="25"/>
        <v>153.19007950842439</v>
      </c>
      <c r="AA35" s="287">
        <f t="shared" si="25"/>
        <v>160.54320332482877</v>
      </c>
      <c r="AB35" s="287">
        <f t="shared" si="25"/>
        <v>197.94976969951389</v>
      </c>
      <c r="AC35" s="287">
        <f t="shared" si="25"/>
        <v>203.29441348140074</v>
      </c>
      <c r="AD35" s="287">
        <f t="shared" si="25"/>
        <v>204.92076878925195</v>
      </c>
      <c r="AE35" s="287">
        <f t="shared" si="25"/>
        <v>210.65855031535102</v>
      </c>
      <c r="AF35" s="287">
        <f t="shared" si="25"/>
        <v>212.13316016755846</v>
      </c>
      <c r="AG35" s="287">
        <f t="shared" si="25"/>
        <v>217.01222285141228</v>
      </c>
      <c r="AH35" s="287">
        <f t="shared" si="25"/>
        <v>227.21179732542865</v>
      </c>
      <c r="AI35" s="287">
        <f t="shared" si="25"/>
        <v>235.39142202914408</v>
      </c>
      <c r="AJ35" s="287">
        <f t="shared" si="25"/>
        <v>247.8671673966887</v>
      </c>
      <c r="AK35" s="287">
        <f t="shared" si="25"/>
        <v>251.08944057284563</v>
      </c>
      <c r="AL35" s="181">
        <f t="shared" si="25"/>
        <v>249.08072504826288</v>
      </c>
      <c r="AM35" s="181">
        <f t="shared" si="25"/>
        <v>301.88583875849457</v>
      </c>
      <c r="AN35" s="181">
        <f t="shared" si="25"/>
        <v>307.92355553366446</v>
      </c>
      <c r="AO35" s="181">
        <f t="shared" si="25"/>
        <v>317.469185755208</v>
      </c>
      <c r="AP35" s="181">
        <f t="shared" si="25"/>
        <v>330.48542237117152</v>
      </c>
      <c r="AQ35" s="181">
        <f t="shared" si="25"/>
        <v>341.39144130942014</v>
      </c>
      <c r="AR35" s="181">
        <f t="shared" si="25"/>
        <v>351.29179310739329</v>
      </c>
      <c r="AS35" s="181">
        <f t="shared" si="25"/>
        <v>355.507294624682</v>
      </c>
      <c r="AT35" s="181">
        <f t="shared" si="25"/>
        <v>359.06236757092881</v>
      </c>
      <c r="AU35" s="181">
        <f t="shared" si="25"/>
        <v>366.24361492234738</v>
      </c>
      <c r="AV35" s="181">
        <f t="shared" si="25"/>
        <v>378.69589782970718</v>
      </c>
      <c r="AW35" s="181">
        <f t="shared" si="25"/>
        <v>385.51242399064193</v>
      </c>
      <c r="AX35" s="181">
        <f t="shared" si="25"/>
        <v>394.76472216641736</v>
      </c>
      <c r="AY35" s="181">
        <f t="shared" si="25"/>
        <v>406.60766383140987</v>
      </c>
      <c r="AZ35" s="181">
        <f t="shared" si="25"/>
        <v>422.46536272083483</v>
      </c>
      <c r="BA35" s="181">
        <f t="shared" si="25"/>
        <v>437.25165041606402</v>
      </c>
      <c r="BB35" s="181">
        <f t="shared" si="25"/>
        <v>455.17896808312264</v>
      </c>
      <c r="BC35" s="181">
        <f t="shared" si="25"/>
        <v>472.93094783836438</v>
      </c>
      <c r="BD35" s="181">
        <f t="shared" si="25"/>
        <v>492.32111669973727</v>
      </c>
      <c r="BE35" s="181">
        <f t="shared" si="25"/>
        <v>515.46020918462489</v>
      </c>
      <c r="BF35" s="181">
        <f t="shared" si="25"/>
        <v>539.6868390163022</v>
      </c>
      <c r="BG35" s="181">
        <f t="shared" si="25"/>
        <v>561.81399941597056</v>
      </c>
      <c r="BH35" s="181">
        <f t="shared" si="25"/>
        <v>587.6574433891052</v>
      </c>
      <c r="BI35" s="181">
        <f t="shared" si="25"/>
        <v>609.98842623789119</v>
      </c>
      <c r="BJ35" s="181">
        <f t="shared" si="25"/>
        <v>625.84812532007641</v>
      </c>
      <c r="BK35" s="181">
        <f t="shared" si="25"/>
        <v>644.62356907967876</v>
      </c>
      <c r="BL35" s="181">
        <f t="shared" si="25"/>
        <v>667.18539399746749</v>
      </c>
      <c r="BM35" s="181">
        <f t="shared" si="25"/>
        <v>686.533770423394</v>
      </c>
      <c r="BN35" s="188">
        <f>+BM35*(1+BN34)</f>
        <v>711.93551992905952</v>
      </c>
      <c r="BO35" s="188">
        <f t="shared" si="25"/>
        <v>735.42939208671839</v>
      </c>
      <c r="BP35" s="188">
        <f t="shared" si="25"/>
        <v>761.16942080975343</v>
      </c>
      <c r="BQ35" s="188">
        <f t="shared" si="25"/>
        <v>803.79490837509968</v>
      </c>
      <c r="BR35" s="188">
        <f t="shared" si="25"/>
        <v>837.55429452685394</v>
      </c>
      <c r="BS35" s="188">
        <f t="shared" si="25"/>
        <v>880.26956354772346</v>
      </c>
      <c r="BT35" s="188">
        <f t="shared" si="25"/>
        <v>921.64223303446636</v>
      </c>
      <c r="BU35" s="188">
        <f t="shared" si="25"/>
        <v>984.31390488081013</v>
      </c>
      <c r="BV35" s="188">
        <f>+BU35*(1+BV34)</f>
        <v>1061.0903894615135</v>
      </c>
      <c r="BW35" s="188">
        <f>+BV35*(1+BW34)</f>
        <v>1138.5499878922039</v>
      </c>
      <c r="BX35" s="188">
        <f>+BW35*(1+BX34)</f>
        <v>1192.0618373231375</v>
      </c>
      <c r="BY35" s="287">
        <f t="shared" ref="BY35:CN35" si="26">+BX35*(BY34+1)</f>
        <v>1267.161733074495</v>
      </c>
      <c r="BZ35" s="287">
        <f t="shared" si="26"/>
        <v>1336.8556283935923</v>
      </c>
      <c r="CA35" s="287">
        <f t="shared" si="26"/>
        <v>1430.4355223811438</v>
      </c>
      <c r="CB35" s="287">
        <f t="shared" si="26"/>
        <v>1524.8442668582993</v>
      </c>
      <c r="CC35" s="287">
        <f t="shared" si="26"/>
        <v>1620.9094556703722</v>
      </c>
      <c r="CD35" s="287">
        <f t="shared" si="26"/>
        <v>1726.2685702889462</v>
      </c>
      <c r="CE35" s="287">
        <f t="shared" si="26"/>
        <v>1852.2861759200391</v>
      </c>
      <c r="CF35" s="287">
        <f t="shared" si="26"/>
        <v>1968.9802050030014</v>
      </c>
      <c r="CG35" s="287">
        <f t="shared" si="26"/>
        <v>2146.1884234532718</v>
      </c>
      <c r="CH35" s="287">
        <f t="shared" si="26"/>
        <v>2307.1525552122671</v>
      </c>
      <c r="CI35" s="287">
        <f t="shared" si="26"/>
        <v>2747.8186932578101</v>
      </c>
      <c r="CJ35" s="287">
        <f t="shared" si="26"/>
        <v>3055.5743869026851</v>
      </c>
      <c r="CK35" s="287">
        <f t="shared" si="26"/>
        <v>3220.5754037954302</v>
      </c>
      <c r="CL35" s="287">
        <f t="shared" si="26"/>
        <v>3639.2502062888357</v>
      </c>
      <c r="CM35" s="287">
        <f t="shared" si="26"/>
        <v>5706.3443234608949</v>
      </c>
      <c r="CN35" s="287">
        <f t="shared" si="26"/>
        <v>6191.3835909550708</v>
      </c>
      <c r="CO35" s="287">
        <f>+CN35*(CO34+1)</f>
        <v>7683.5070363752438</v>
      </c>
      <c r="CP35" s="287">
        <f>+CN35*(CP34+1)</f>
        <v>7081.0854129753143</v>
      </c>
      <c r="CQ35" s="287">
        <f>+CO35*(CQ34+1)</f>
        <v>8787.6269975023661</v>
      </c>
    </row>
    <row r="36" spans="1:95" ht="15.5" thickTop="1" thickBot="1" x14ac:dyDescent="0.4">
      <c r="A36" s="184">
        <f t="shared" si="5"/>
        <v>23</v>
      </c>
      <c r="B36" s="174" t="s">
        <v>126</v>
      </c>
      <c r="C36" s="174" t="s">
        <v>70</v>
      </c>
      <c r="D36" s="210" t="s">
        <v>142</v>
      </c>
      <c r="E36" s="187" t="s">
        <v>110</v>
      </c>
      <c r="F36" s="176" t="s">
        <v>143</v>
      </c>
      <c r="G36" s="185">
        <f t="shared" si="4"/>
        <v>0.78387347307587352</v>
      </c>
      <c r="H36" s="287">
        <v>101.5859</v>
      </c>
      <c r="I36" s="287">
        <v>103.6859</v>
      </c>
      <c r="J36" s="287">
        <v>106.1476</v>
      </c>
      <c r="K36" s="287">
        <v>108.9667</v>
      </c>
      <c r="L36" s="287">
        <v>110.5301</v>
      </c>
      <c r="M36" s="287">
        <v>111.8477</v>
      </c>
      <c r="N36" s="287">
        <v>113.7852</v>
      </c>
      <c r="O36" s="287">
        <v>115.3819</v>
      </c>
      <c r="P36" s="287">
        <v>117.5719</v>
      </c>
      <c r="Q36" s="287">
        <v>119.3528</v>
      </c>
      <c r="R36" s="287">
        <v>120.994</v>
      </c>
      <c r="S36" s="287">
        <v>124.79559999999999</v>
      </c>
      <c r="T36" s="287">
        <v>126.98869999999999</v>
      </c>
      <c r="U36" s="287">
        <v>130.06059999999999</v>
      </c>
      <c r="V36" s="287">
        <v>133.1054</v>
      </c>
      <c r="W36" s="287">
        <v>136.75120000000001</v>
      </c>
      <c r="X36" s="287">
        <v>139.58930000000001</v>
      </c>
      <c r="Y36" s="193">
        <v>144.81</v>
      </c>
      <c r="Z36" s="193">
        <v>149.29660000000001</v>
      </c>
      <c r="AA36" s="193">
        <v>155.10339999999999</v>
      </c>
      <c r="AB36" s="193">
        <v>165.23830000000001</v>
      </c>
      <c r="AC36" s="193">
        <v>174.1473</v>
      </c>
      <c r="AD36" s="193">
        <v>179.6388</v>
      </c>
      <c r="AE36" s="193">
        <v>184.2552</v>
      </c>
      <c r="AF36" s="193">
        <v>189.61009999999999</v>
      </c>
      <c r="AG36" s="193">
        <v>196.7501</v>
      </c>
      <c r="AH36" s="193">
        <v>205.9571</v>
      </c>
      <c r="AI36" s="193">
        <v>213.05170000000001</v>
      </c>
      <c r="AJ36" s="193">
        <v>219.56909999999999</v>
      </c>
      <c r="AK36" s="193">
        <v>225.53700000000001</v>
      </c>
      <c r="AL36" s="193">
        <v>230.494</v>
      </c>
      <c r="AM36" s="193">
        <v>239.60769999999999</v>
      </c>
      <c r="AN36" s="193">
        <v>253.71019999999999</v>
      </c>
      <c r="AO36" s="193">
        <v>262.06610000000001</v>
      </c>
      <c r="AP36" s="193">
        <v>273.2158</v>
      </c>
      <c r="AQ36" s="193">
        <v>283.44420000000002</v>
      </c>
      <c r="AR36" s="193">
        <v>289.82990000000001</v>
      </c>
      <c r="AS36" s="193">
        <v>295.666</v>
      </c>
      <c r="AT36" s="193">
        <v>305.55149999999998</v>
      </c>
      <c r="AU36" s="193">
        <v>310.12430000000001</v>
      </c>
      <c r="AV36" s="193">
        <v>314.90870000000001</v>
      </c>
      <c r="AW36" s="193">
        <v>321.97379999999998</v>
      </c>
      <c r="AX36" s="193">
        <v>328.20139999999998</v>
      </c>
      <c r="AY36" s="193">
        <v>337.06319999999999</v>
      </c>
      <c r="AZ36" s="193">
        <v>346.6207</v>
      </c>
      <c r="BA36" s="193">
        <v>359.65699999999998</v>
      </c>
      <c r="BB36" s="193">
        <v>371.02109999999999</v>
      </c>
      <c r="BC36" s="193">
        <v>385.88260000000002</v>
      </c>
      <c r="BD36" s="193">
        <v>401.50709999999998</v>
      </c>
      <c r="BE36" s="193">
        <v>415.85950000000003</v>
      </c>
      <c r="BF36" s="193">
        <v>435.8657</v>
      </c>
      <c r="BG36" s="193">
        <v>453.65030000000002</v>
      </c>
      <c r="BH36" s="193">
        <v>468.72500000000002</v>
      </c>
      <c r="BI36" s="193">
        <v>483.60489999999999</v>
      </c>
      <c r="BJ36" s="193">
        <v>498.1</v>
      </c>
      <c r="BK36" s="193">
        <v>510.39420000000001</v>
      </c>
      <c r="BL36" s="193">
        <v>528.49680000000001</v>
      </c>
      <c r="BM36" s="193">
        <v>547.08019999999999</v>
      </c>
      <c r="BN36" s="193">
        <v>560.91840000000002</v>
      </c>
      <c r="BO36" s="193">
        <v>582.45749999999998</v>
      </c>
      <c r="BP36" s="193">
        <v>605.0317</v>
      </c>
      <c r="BQ36" s="193">
        <v>633.43409999999994</v>
      </c>
      <c r="BR36" s="193">
        <v>676.0566</v>
      </c>
      <c r="BS36" s="193">
        <v>716.94</v>
      </c>
      <c r="BT36" s="193">
        <v>753.14</v>
      </c>
      <c r="BU36" s="193">
        <v>793.03</v>
      </c>
      <c r="BV36" s="193">
        <v>851.76099999999997</v>
      </c>
      <c r="BW36" s="188">
        <v>911.13160000000005</v>
      </c>
      <c r="BX36" s="188">
        <v>967.30759999999998</v>
      </c>
      <c r="BY36" s="188">
        <v>1028.7059999999999</v>
      </c>
      <c r="BZ36" s="188">
        <v>1079.3</v>
      </c>
      <c r="CA36" s="188">
        <v>1134.5999999999999</v>
      </c>
      <c r="CB36" s="188">
        <v>1203</v>
      </c>
      <c r="CC36" s="287">
        <v>1282.7</v>
      </c>
      <c r="CD36" s="287">
        <v>1381.1601000000001</v>
      </c>
      <c r="CE36" s="287">
        <v>1497.2147</v>
      </c>
      <c r="CF36" s="287">
        <v>1613.5895</v>
      </c>
      <c r="CG36" s="287">
        <v>1709.6115</v>
      </c>
      <c r="CH36" s="287">
        <v>1818.08</v>
      </c>
      <c r="CI36" s="287">
        <v>2044.3</v>
      </c>
      <c r="CJ36" s="287">
        <v>2304.92</v>
      </c>
      <c r="CK36" s="287">
        <v>2496.3000000000002</v>
      </c>
      <c r="CL36" s="287">
        <v>2816.1</v>
      </c>
      <c r="CM36" s="287">
        <v>3533.2</v>
      </c>
      <c r="CN36" s="287">
        <v>4261.5</v>
      </c>
      <c r="CO36" s="287">
        <v>4825.8</v>
      </c>
      <c r="CP36" s="287">
        <v>5357.1</v>
      </c>
      <c r="CQ36" s="287">
        <v>5357.1</v>
      </c>
    </row>
    <row r="37" spans="1:95" ht="15.5" thickTop="1" thickBot="1" x14ac:dyDescent="0.4">
      <c r="A37" s="184">
        <f t="shared" si="5"/>
        <v>24</v>
      </c>
      <c r="B37" s="174" t="s">
        <v>126</v>
      </c>
      <c r="C37" s="174" t="s">
        <v>70</v>
      </c>
      <c r="D37" s="210" t="s">
        <v>144</v>
      </c>
      <c r="E37" s="187" t="s">
        <v>110</v>
      </c>
      <c r="F37" s="176" t="s">
        <v>143</v>
      </c>
      <c r="G37" s="185">
        <f t="shared" si="4"/>
        <v>0.78287963708794073</v>
      </c>
      <c r="H37" s="287">
        <v>101.313</v>
      </c>
      <c r="I37" s="287">
        <v>103.8085</v>
      </c>
      <c r="J37" s="287">
        <v>106.2627</v>
      </c>
      <c r="K37" s="287">
        <v>109.0613</v>
      </c>
      <c r="L37" s="287">
        <v>110.4607</v>
      </c>
      <c r="M37" s="287">
        <v>111.9943</v>
      </c>
      <c r="N37" s="287">
        <v>113.9199</v>
      </c>
      <c r="O37" s="287">
        <v>115.6031</v>
      </c>
      <c r="P37" s="287">
        <v>117.96559999999999</v>
      </c>
      <c r="Q37" s="287">
        <v>119.49850000000001</v>
      </c>
      <c r="R37" s="287">
        <v>120.89409999999999</v>
      </c>
      <c r="S37" s="287">
        <v>125.03919999999999</v>
      </c>
      <c r="T37" s="287">
        <v>127.0147</v>
      </c>
      <c r="U37" s="287">
        <v>130.29130000000001</v>
      </c>
      <c r="V37" s="287">
        <v>133.50280000000001</v>
      </c>
      <c r="W37" s="287">
        <v>136.93799999999999</v>
      </c>
      <c r="X37" s="287">
        <v>139.58000000000001</v>
      </c>
      <c r="Y37" s="193">
        <v>145.0582</v>
      </c>
      <c r="Z37" s="193">
        <v>149.11779999999999</v>
      </c>
      <c r="AA37" s="193">
        <v>155.1747</v>
      </c>
      <c r="AB37" s="193">
        <v>165.49029999999999</v>
      </c>
      <c r="AC37" s="193">
        <v>173.85489999999999</v>
      </c>
      <c r="AD37" s="193">
        <v>178.87700000000001</v>
      </c>
      <c r="AE37" s="193">
        <v>183.93809999999999</v>
      </c>
      <c r="AF37" s="193">
        <v>189.12360000000001</v>
      </c>
      <c r="AG37" s="193">
        <v>196.3597</v>
      </c>
      <c r="AH37" s="193">
        <v>205.7679</v>
      </c>
      <c r="AI37" s="193">
        <v>212.4469</v>
      </c>
      <c r="AJ37" s="193">
        <v>218.8793</v>
      </c>
      <c r="AK37" s="193">
        <v>224.6105</v>
      </c>
      <c r="AL37" s="193">
        <v>229.42859999999999</v>
      </c>
      <c r="AM37" s="193">
        <v>238.30690000000001</v>
      </c>
      <c r="AN37" s="193">
        <v>252.1482</v>
      </c>
      <c r="AO37" s="193">
        <v>260.21010000000001</v>
      </c>
      <c r="AP37" s="193">
        <v>270.80189999999999</v>
      </c>
      <c r="AQ37" s="193">
        <v>281.17750000000001</v>
      </c>
      <c r="AR37" s="193">
        <v>286.49130000000002</v>
      </c>
      <c r="AS37" s="193">
        <v>291.73700000000002</v>
      </c>
      <c r="AT37" s="193">
        <v>302.22739999999999</v>
      </c>
      <c r="AU37" s="193">
        <v>306.44830000000002</v>
      </c>
      <c r="AV37" s="193">
        <v>311.09219999999999</v>
      </c>
      <c r="AW37" s="193">
        <v>317.46609999999998</v>
      </c>
      <c r="AX37" s="193">
        <v>322.67910000000001</v>
      </c>
      <c r="AY37" s="193">
        <v>331.69569999999999</v>
      </c>
      <c r="AZ37" s="193">
        <v>340.90199999999999</v>
      </c>
      <c r="BA37" s="193">
        <v>353.0444</v>
      </c>
      <c r="BB37" s="193">
        <v>363.53809999999999</v>
      </c>
      <c r="BC37" s="193">
        <v>377.05070000000001</v>
      </c>
      <c r="BD37" s="193">
        <v>389.44540000000001</v>
      </c>
      <c r="BE37" s="193">
        <v>403.48540000000003</v>
      </c>
      <c r="BF37" s="193">
        <v>424.45389999999998</v>
      </c>
      <c r="BG37" s="193">
        <v>441.89550000000003</v>
      </c>
      <c r="BH37" s="193">
        <v>456.78559999999999</v>
      </c>
      <c r="BI37" s="193">
        <v>470.78399999999999</v>
      </c>
      <c r="BJ37" s="193">
        <v>485.30360000000002</v>
      </c>
      <c r="BK37" s="193">
        <v>497.93709999999999</v>
      </c>
      <c r="BL37" s="193">
        <v>517.04250000000002</v>
      </c>
      <c r="BM37" s="193">
        <v>536.54229999999995</v>
      </c>
      <c r="BN37" s="193">
        <v>548.70730000000003</v>
      </c>
      <c r="BO37" s="193">
        <v>570.99810000000002</v>
      </c>
      <c r="BP37" s="193">
        <v>593.42200000000003</v>
      </c>
      <c r="BQ37" s="193">
        <v>620.50070000000005</v>
      </c>
      <c r="BR37" s="193">
        <v>661.86879999999996</v>
      </c>
      <c r="BS37" s="193">
        <v>702.83</v>
      </c>
      <c r="BT37" s="193">
        <v>736.4</v>
      </c>
      <c r="BU37" s="193">
        <v>776.7</v>
      </c>
      <c r="BV37" s="193">
        <v>833.88940000000002</v>
      </c>
      <c r="BW37" s="209">
        <v>891.851</v>
      </c>
      <c r="BX37" s="209">
        <v>945.68359999999996</v>
      </c>
      <c r="BY37" s="209">
        <v>1007.6275000000001</v>
      </c>
      <c r="BZ37" s="209">
        <v>1058</v>
      </c>
      <c r="CA37" s="209">
        <v>1114.5</v>
      </c>
      <c r="CB37" s="209">
        <v>1181</v>
      </c>
      <c r="CC37" s="287">
        <v>1260</v>
      </c>
      <c r="CD37" s="287">
        <v>1358.4994999999999</v>
      </c>
      <c r="CE37" s="287">
        <v>1475.1378</v>
      </c>
      <c r="CF37" s="287">
        <v>1592.4495999999999</v>
      </c>
      <c r="CG37" s="287">
        <v>1685.1612</v>
      </c>
      <c r="CH37" s="287">
        <v>1789.42</v>
      </c>
      <c r="CI37" s="287">
        <v>2008.8</v>
      </c>
      <c r="CJ37" s="287">
        <v>2253.4699999999998</v>
      </c>
      <c r="CK37" s="287">
        <v>2447.56</v>
      </c>
      <c r="CL37" s="287">
        <v>2763.4</v>
      </c>
      <c r="CM37" s="287">
        <v>3456.6</v>
      </c>
      <c r="CN37" s="287">
        <v>4132.5</v>
      </c>
      <c r="CO37" s="287">
        <v>4751.3</v>
      </c>
      <c r="CP37" s="287">
        <v>5296.8</v>
      </c>
      <c r="CQ37" s="287">
        <v>5296.8</v>
      </c>
    </row>
    <row r="38" spans="1:95" ht="15.5" thickTop="1" thickBot="1" x14ac:dyDescent="0.4">
      <c r="A38" s="184">
        <f t="shared" si="5"/>
        <v>25</v>
      </c>
      <c r="B38" s="174" t="s">
        <v>126</v>
      </c>
      <c r="C38" s="174" t="s">
        <v>70</v>
      </c>
      <c r="D38" s="210" t="s">
        <v>145</v>
      </c>
      <c r="E38" s="187" t="s">
        <v>110</v>
      </c>
      <c r="F38" s="176" t="s">
        <v>143</v>
      </c>
      <c r="G38" s="185">
        <f t="shared" si="4"/>
        <v>0.78018477222045235</v>
      </c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91"/>
      <c r="V38" s="291"/>
      <c r="W38" s="291"/>
      <c r="X38" s="291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>
        <v>300.10000000000002</v>
      </c>
      <c r="AS38" s="193">
        <v>307.39999999999998</v>
      </c>
      <c r="AT38" s="193">
        <v>319</v>
      </c>
      <c r="AU38" s="193">
        <v>329.3</v>
      </c>
      <c r="AV38" s="193">
        <v>330.1</v>
      </c>
      <c r="AW38" s="193">
        <v>333.9</v>
      </c>
      <c r="AX38" s="193">
        <v>338.4</v>
      </c>
      <c r="AY38" s="193">
        <v>350.9</v>
      </c>
      <c r="AZ38" s="193">
        <v>360.8</v>
      </c>
      <c r="BA38" s="193">
        <v>378.1</v>
      </c>
      <c r="BB38" s="193">
        <v>386.2</v>
      </c>
      <c r="BC38" s="193">
        <v>396.9</v>
      </c>
      <c r="BD38" s="193">
        <v>412.7</v>
      </c>
      <c r="BE38" s="193">
        <v>429.2</v>
      </c>
      <c r="BF38" s="193">
        <v>450.2</v>
      </c>
      <c r="BG38" s="193">
        <v>471.4</v>
      </c>
      <c r="BH38" s="193">
        <v>485.8</v>
      </c>
      <c r="BI38" s="193">
        <v>502.5</v>
      </c>
      <c r="BJ38" s="193">
        <v>520.4</v>
      </c>
      <c r="BK38" s="193">
        <v>527.9</v>
      </c>
      <c r="BL38" s="193">
        <v>545.1</v>
      </c>
      <c r="BM38" s="193">
        <v>564.5</v>
      </c>
      <c r="BN38" s="193">
        <v>574.70000000000005</v>
      </c>
      <c r="BO38" s="193">
        <v>596.9</v>
      </c>
      <c r="BP38" s="193">
        <v>627.79999999999995</v>
      </c>
      <c r="BQ38" s="193">
        <v>681.5</v>
      </c>
      <c r="BR38" s="193">
        <v>722.8</v>
      </c>
      <c r="BS38" s="193">
        <v>765.7</v>
      </c>
      <c r="BT38" s="193">
        <v>799.1</v>
      </c>
      <c r="BU38" s="193">
        <v>838.8</v>
      </c>
      <c r="BV38" s="193">
        <v>888.21220000000005</v>
      </c>
      <c r="BW38" s="193">
        <v>949.15340000000003</v>
      </c>
      <c r="BX38" s="193">
        <v>1016.1594</v>
      </c>
      <c r="BY38" s="193">
        <v>1084.2719</v>
      </c>
      <c r="BZ38" s="193">
        <v>1117.5999999999999</v>
      </c>
      <c r="CA38" s="193">
        <v>1178.8</v>
      </c>
      <c r="CB38" s="193">
        <v>1257.0999999999999</v>
      </c>
      <c r="CC38" s="287">
        <v>1385.7</v>
      </c>
      <c r="CD38" s="287">
        <v>1519.6853000000001</v>
      </c>
      <c r="CE38" s="287">
        <v>1673.9213999999999</v>
      </c>
      <c r="CF38" s="287">
        <v>1769.0365999999999</v>
      </c>
      <c r="CG38" s="287">
        <v>1832.4661000000001</v>
      </c>
      <c r="CH38" s="287">
        <v>1941.66</v>
      </c>
      <c r="CI38" s="287">
        <v>2236.1</v>
      </c>
      <c r="CJ38" s="287">
        <v>2530.5500000000002</v>
      </c>
      <c r="CK38" s="287">
        <v>2750.71</v>
      </c>
      <c r="CL38" s="287">
        <v>3211.6</v>
      </c>
      <c r="CM38" s="287">
        <v>4160.3</v>
      </c>
      <c r="CN38" s="287">
        <v>4976.3999999999996</v>
      </c>
      <c r="CO38" s="287">
        <v>5642.3</v>
      </c>
      <c r="CP38" s="287">
        <v>5296.8</v>
      </c>
      <c r="CQ38" s="287">
        <v>5296.8</v>
      </c>
    </row>
    <row r="39" spans="1:95" ht="35.5" thickTop="1" thickBot="1" x14ac:dyDescent="0.4">
      <c r="A39" s="184">
        <f t="shared" si="5"/>
        <v>26</v>
      </c>
      <c r="B39" s="174" t="s">
        <v>139</v>
      </c>
      <c r="C39" s="175" t="s">
        <v>23</v>
      </c>
      <c r="D39" s="350" t="s">
        <v>23</v>
      </c>
      <c r="E39" s="187" t="s">
        <v>23</v>
      </c>
      <c r="F39" s="176" t="s">
        <v>146</v>
      </c>
      <c r="G39" s="185">
        <f t="shared" si="4"/>
        <v>0.61127537945988564</v>
      </c>
      <c r="H39" s="181">
        <v>591.9</v>
      </c>
      <c r="I39" s="181">
        <v>597.29999999999995</v>
      </c>
      <c r="J39" s="181">
        <v>604.20000000000005</v>
      </c>
      <c r="K39" s="181">
        <v>607.79999999999995</v>
      </c>
      <c r="L39" s="181">
        <v>613.5</v>
      </c>
      <c r="M39" s="181">
        <v>613.5</v>
      </c>
      <c r="N39" s="181">
        <v>617.9</v>
      </c>
      <c r="O39" s="181">
        <v>617.9</v>
      </c>
      <c r="P39" s="181">
        <v>624.70000000000005</v>
      </c>
      <c r="Q39" s="181">
        <v>631.6</v>
      </c>
      <c r="R39" s="181">
        <v>638.79999999999995</v>
      </c>
      <c r="S39" s="181">
        <v>638.79999999999995</v>
      </c>
      <c r="T39" s="181">
        <v>655</v>
      </c>
      <c r="U39" s="194">
        <v>662.8</v>
      </c>
      <c r="V39" s="194">
        <v>673</v>
      </c>
      <c r="W39" s="194">
        <v>686.5</v>
      </c>
      <c r="X39" s="194">
        <v>703.9</v>
      </c>
      <c r="Y39" s="193">
        <v>725.3</v>
      </c>
      <c r="Z39" s="181">
        <v>776.1</v>
      </c>
      <c r="AA39" s="181">
        <v>888.5</v>
      </c>
      <c r="AB39" s="179">
        <v>928.5</v>
      </c>
      <c r="AC39" s="179">
        <v>1112.2</v>
      </c>
      <c r="AD39" s="179">
        <v>1145.5999999999999</v>
      </c>
      <c r="AE39" s="179">
        <v>1145.5999999999999</v>
      </c>
      <c r="AF39" s="179">
        <v>1177.7</v>
      </c>
      <c r="AG39" s="179">
        <v>1223.3</v>
      </c>
      <c r="AH39" s="179">
        <v>1237.4000000000001</v>
      </c>
      <c r="AI39" s="179">
        <v>1237.4000000000001</v>
      </c>
      <c r="AJ39" s="179">
        <v>1267</v>
      </c>
      <c r="AK39" s="199" t="s">
        <v>147</v>
      </c>
      <c r="AL39" s="199" t="s">
        <v>147</v>
      </c>
      <c r="AM39" s="199" t="s">
        <v>147</v>
      </c>
      <c r="AN39" s="199" t="s">
        <v>147</v>
      </c>
      <c r="AO39" s="199" t="s">
        <v>147</v>
      </c>
      <c r="AP39" s="199" t="s">
        <v>147</v>
      </c>
      <c r="AQ39" s="199" t="s">
        <v>147</v>
      </c>
      <c r="AR39" s="199">
        <v>1988.9</v>
      </c>
      <c r="AS39" s="199">
        <v>2016.7</v>
      </c>
      <c r="AT39" s="199">
        <v>2047</v>
      </c>
      <c r="AU39" s="199">
        <v>2077.6999999999998</v>
      </c>
      <c r="AV39" s="199">
        <v>2077.6999999999998</v>
      </c>
      <c r="AW39" s="199">
        <v>2140.3000000000002</v>
      </c>
      <c r="AX39" s="199">
        <v>2186.4</v>
      </c>
      <c r="AY39" s="199">
        <v>2186.4</v>
      </c>
      <c r="AZ39" s="199">
        <v>2323.6</v>
      </c>
      <c r="BA39" s="199">
        <v>2391.3000000000002</v>
      </c>
      <c r="BB39" s="199">
        <v>2463.6999999999998</v>
      </c>
      <c r="BC39" s="199">
        <v>2628.3</v>
      </c>
      <c r="BD39" s="199">
        <v>2812.3</v>
      </c>
      <c r="BE39" s="199">
        <v>3130.1</v>
      </c>
      <c r="BF39" s="199">
        <v>3286.7</v>
      </c>
      <c r="BG39" s="199">
        <v>3451</v>
      </c>
      <c r="BH39" s="199">
        <v>3624</v>
      </c>
      <c r="BI39" s="199">
        <v>3773</v>
      </c>
      <c r="BJ39" s="199">
        <v>3923</v>
      </c>
      <c r="BK39" s="205">
        <v>4081</v>
      </c>
      <c r="BL39" s="205">
        <v>4245</v>
      </c>
      <c r="BM39" s="205">
        <v>4436</v>
      </c>
      <c r="BN39" s="205">
        <v>4636</v>
      </c>
      <c r="BO39" s="205">
        <v>4845</v>
      </c>
      <c r="BP39" s="208">
        <v>5073</v>
      </c>
      <c r="BQ39" s="208">
        <v>5603</v>
      </c>
      <c r="BR39" s="208">
        <v>5603</v>
      </c>
      <c r="BS39" s="208">
        <v>5855</v>
      </c>
      <c r="BT39" s="208">
        <v>6148</v>
      </c>
      <c r="BU39" s="208">
        <v>6455</v>
      </c>
      <c r="BV39" s="208">
        <v>6778</v>
      </c>
      <c r="BW39" s="208">
        <v>7116</v>
      </c>
      <c r="BX39" s="208">
        <v>7507</v>
      </c>
      <c r="BY39" s="208">
        <v>7695</v>
      </c>
      <c r="BZ39" s="208">
        <v>8174</v>
      </c>
      <c r="CA39" s="208">
        <v>8689</v>
      </c>
      <c r="CB39" s="208">
        <v>9115</v>
      </c>
      <c r="CC39" s="208">
        <v>9576</v>
      </c>
      <c r="CD39" s="208">
        <v>10151</v>
      </c>
      <c r="CE39" s="208">
        <v>10740</v>
      </c>
      <c r="CF39" s="208">
        <v>11546</v>
      </c>
      <c r="CG39" s="208">
        <v>12470</v>
      </c>
      <c r="CH39" s="208">
        <v>13443</v>
      </c>
      <c r="CI39" s="208">
        <v>14848</v>
      </c>
      <c r="CJ39" s="208">
        <v>16778</v>
      </c>
      <c r="CK39" s="208">
        <v>18959</v>
      </c>
      <c r="CL39" s="208">
        <v>21367</v>
      </c>
      <c r="CM39" s="349">
        <v>23795</v>
      </c>
      <c r="CN39" s="208">
        <v>36035</v>
      </c>
      <c r="CO39" s="208">
        <v>37837</v>
      </c>
      <c r="CP39" s="208">
        <v>39078</v>
      </c>
      <c r="CQ39" s="208">
        <v>39078</v>
      </c>
    </row>
    <row r="40" spans="1:95" ht="26.25" customHeight="1" thickTop="1" thickBot="1" x14ac:dyDescent="0.4">
      <c r="A40" s="184">
        <f t="shared" si="5"/>
        <v>27</v>
      </c>
      <c r="B40" s="174" t="s">
        <v>139</v>
      </c>
      <c r="C40" s="175" t="s">
        <v>23</v>
      </c>
      <c r="D40" s="175" t="s">
        <v>23</v>
      </c>
      <c r="E40" s="187" t="s">
        <v>23</v>
      </c>
      <c r="F40" s="176" t="s">
        <v>148</v>
      </c>
      <c r="G40" s="185" t="e">
        <f t="shared" si="4"/>
        <v>#VALUE!</v>
      </c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94"/>
      <c r="V40" s="194"/>
      <c r="W40" s="194"/>
      <c r="X40" s="194"/>
      <c r="Y40" s="193"/>
      <c r="Z40" s="181"/>
      <c r="AA40" s="181"/>
      <c r="AB40" s="179"/>
      <c r="AC40" s="179"/>
      <c r="AD40" s="179"/>
      <c r="AE40" s="179"/>
      <c r="AF40" s="179" t="s">
        <v>101</v>
      </c>
      <c r="AG40" s="179" t="s">
        <v>101</v>
      </c>
      <c r="AH40" s="179" t="s">
        <v>101</v>
      </c>
      <c r="AI40" s="179" t="s">
        <v>101</v>
      </c>
      <c r="AJ40" s="179" t="s">
        <v>101</v>
      </c>
      <c r="AK40" s="179">
        <v>1437.4</v>
      </c>
      <c r="AL40" s="179">
        <v>1549.9</v>
      </c>
      <c r="AM40" s="179">
        <v>1591.7</v>
      </c>
      <c r="AN40" s="179">
        <v>1830.5</v>
      </c>
      <c r="AO40" s="200">
        <v>2011.7</v>
      </c>
      <c r="AP40" s="179">
        <v>2101.1</v>
      </c>
      <c r="AQ40" s="179">
        <v>2101.1</v>
      </c>
      <c r="AR40" s="179">
        <v>2101.1</v>
      </c>
      <c r="AS40" s="199" t="s">
        <v>147</v>
      </c>
      <c r="AT40" s="199" t="s">
        <v>147</v>
      </c>
      <c r="AU40" s="199" t="s">
        <v>147</v>
      </c>
      <c r="AV40" s="199" t="s">
        <v>147</v>
      </c>
      <c r="AW40" s="199" t="s">
        <v>147</v>
      </c>
      <c r="AX40" s="199" t="s">
        <v>147</v>
      </c>
      <c r="AY40" s="199" t="s">
        <v>147</v>
      </c>
      <c r="AZ40" s="199" t="s">
        <v>147</v>
      </c>
      <c r="BA40" s="199" t="s">
        <v>147</v>
      </c>
      <c r="BB40" s="199" t="s">
        <v>147</v>
      </c>
      <c r="BC40" s="199" t="s">
        <v>147</v>
      </c>
      <c r="BD40" s="199" t="s">
        <v>147</v>
      </c>
      <c r="BE40" s="199" t="s">
        <v>147</v>
      </c>
      <c r="BF40" s="199" t="s">
        <v>147</v>
      </c>
      <c r="BG40" s="199" t="s">
        <v>147</v>
      </c>
      <c r="BH40" s="199" t="s">
        <v>147</v>
      </c>
      <c r="BI40" s="199" t="s">
        <v>147</v>
      </c>
      <c r="BJ40" s="199" t="s">
        <v>147</v>
      </c>
      <c r="BK40" s="199" t="s">
        <v>147</v>
      </c>
      <c r="BL40" s="199" t="s">
        <v>147</v>
      </c>
      <c r="BM40" s="199" t="s">
        <v>147</v>
      </c>
      <c r="BN40" s="199" t="s">
        <v>147</v>
      </c>
      <c r="BO40" s="199" t="s">
        <v>147</v>
      </c>
      <c r="BP40" s="199" t="s">
        <v>147</v>
      </c>
      <c r="BQ40" s="199" t="s">
        <v>147</v>
      </c>
      <c r="BR40" s="199" t="s">
        <v>147</v>
      </c>
      <c r="BS40" s="199" t="s">
        <v>147</v>
      </c>
      <c r="BT40" s="199" t="s">
        <v>147</v>
      </c>
      <c r="BU40" s="199" t="s">
        <v>147</v>
      </c>
      <c r="BV40" s="199" t="s">
        <v>147</v>
      </c>
      <c r="BW40" s="199" t="s">
        <v>147</v>
      </c>
      <c r="BX40" s="199" t="s">
        <v>147</v>
      </c>
      <c r="BY40" s="199" t="s">
        <v>147</v>
      </c>
      <c r="BZ40" s="199" t="s">
        <v>147</v>
      </c>
      <c r="CA40" s="199" t="s">
        <v>147</v>
      </c>
      <c r="CB40" s="199" t="s">
        <v>147</v>
      </c>
      <c r="CC40" s="199" t="s">
        <v>147</v>
      </c>
      <c r="CD40" s="199" t="s">
        <v>147</v>
      </c>
      <c r="CE40" s="199" t="s">
        <v>147</v>
      </c>
      <c r="CF40" s="199" t="s">
        <v>147</v>
      </c>
      <c r="CG40" s="199" t="s">
        <v>147</v>
      </c>
      <c r="CH40" s="199" t="s">
        <v>147</v>
      </c>
      <c r="CI40" s="199" t="s">
        <v>147</v>
      </c>
      <c r="CJ40" s="199" t="s">
        <v>147</v>
      </c>
      <c r="CK40" s="199" t="s">
        <v>147</v>
      </c>
      <c r="CL40" s="199" t="s">
        <v>147</v>
      </c>
      <c r="CM40" s="199" t="s">
        <v>147</v>
      </c>
      <c r="CN40" s="199" t="s">
        <v>147</v>
      </c>
      <c r="CO40" s="199" t="s">
        <v>147</v>
      </c>
      <c r="CP40" s="199" t="s">
        <v>147</v>
      </c>
      <c r="CQ40" s="199" t="s">
        <v>147</v>
      </c>
    </row>
    <row r="41" spans="1:95" ht="26.25" customHeight="1" thickTop="1" thickBot="1" x14ac:dyDescent="0.4">
      <c r="A41" s="184">
        <f t="shared" si="5"/>
        <v>28</v>
      </c>
      <c r="B41" s="174" t="s">
        <v>139</v>
      </c>
      <c r="C41" s="175" t="s">
        <v>23</v>
      </c>
      <c r="D41" s="175" t="s">
        <v>23</v>
      </c>
      <c r="E41" s="187" t="s">
        <v>23</v>
      </c>
      <c r="F41" s="176" t="s">
        <v>149</v>
      </c>
      <c r="G41" s="185">
        <f t="shared" si="4"/>
        <v>0.60073751257123698</v>
      </c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94"/>
      <c r="V41" s="194"/>
      <c r="W41" s="194"/>
      <c r="X41" s="194"/>
      <c r="Y41" s="193"/>
      <c r="Z41" s="181"/>
      <c r="AA41" s="181"/>
      <c r="AB41" s="179"/>
      <c r="AC41" s="179"/>
      <c r="AD41" s="179"/>
      <c r="AE41" s="179"/>
      <c r="AF41" s="179" t="s">
        <v>101</v>
      </c>
      <c r="AG41" s="179" t="s">
        <v>101</v>
      </c>
      <c r="AH41" s="179" t="s">
        <v>101</v>
      </c>
      <c r="AI41" s="179" t="s">
        <v>101</v>
      </c>
      <c r="AJ41" s="179" t="s">
        <v>101</v>
      </c>
      <c r="AK41" s="179" t="s">
        <v>101</v>
      </c>
      <c r="AL41" s="179" t="s">
        <v>101</v>
      </c>
      <c r="AM41" s="179" t="s">
        <v>101</v>
      </c>
      <c r="AN41" s="179" t="s">
        <v>101</v>
      </c>
      <c r="AO41" s="179" t="s">
        <v>101</v>
      </c>
      <c r="AP41" s="179" t="s">
        <v>101</v>
      </c>
      <c r="AQ41" s="179" t="s">
        <v>101</v>
      </c>
      <c r="AR41" s="179" t="s">
        <v>101</v>
      </c>
      <c r="AS41" s="200">
        <v>2352.3000000000002</v>
      </c>
      <c r="AT41" s="200">
        <v>2352.3000000000002</v>
      </c>
      <c r="AU41" s="200">
        <v>2352.3000000000002</v>
      </c>
      <c r="AV41" s="200">
        <v>2352.3000000000002</v>
      </c>
      <c r="AW41" s="200">
        <v>2483.5</v>
      </c>
      <c r="AX41" s="200">
        <v>2483.5</v>
      </c>
      <c r="AY41" s="200">
        <v>2660.3</v>
      </c>
      <c r="AZ41" s="200">
        <v>2660.3</v>
      </c>
      <c r="BA41" s="203">
        <v>2826.1</v>
      </c>
      <c r="BB41" s="203">
        <v>2967.4</v>
      </c>
      <c r="BC41" s="203">
        <v>3308.4</v>
      </c>
      <c r="BD41" s="203">
        <v>3473.8</v>
      </c>
      <c r="BE41" s="203">
        <v>3682.2</v>
      </c>
      <c r="BF41" s="203">
        <v>3866.3</v>
      </c>
      <c r="BG41" s="203">
        <v>4059</v>
      </c>
      <c r="BH41" s="203">
        <v>4263</v>
      </c>
      <c r="BI41" s="203">
        <v>4438</v>
      </c>
      <c r="BJ41" s="203">
        <v>4616</v>
      </c>
      <c r="BK41" s="203">
        <v>4801</v>
      </c>
      <c r="BL41" s="203">
        <v>4993</v>
      </c>
      <c r="BM41" s="203">
        <v>5218</v>
      </c>
      <c r="BN41" s="203">
        <v>5453</v>
      </c>
      <c r="BO41" s="203">
        <v>5698</v>
      </c>
      <c r="BP41" s="203">
        <v>5966</v>
      </c>
      <c r="BQ41" s="203">
        <v>6243</v>
      </c>
      <c r="BR41" s="203">
        <v>6589</v>
      </c>
      <c r="BS41" s="203">
        <v>6886</v>
      </c>
      <c r="BT41" s="203">
        <v>7230</v>
      </c>
      <c r="BU41" s="203">
        <v>7592</v>
      </c>
      <c r="BV41" s="203">
        <v>7972</v>
      </c>
      <c r="BW41" s="203">
        <v>8371</v>
      </c>
      <c r="BX41" s="203">
        <v>8831</v>
      </c>
      <c r="BY41" s="203">
        <v>9052</v>
      </c>
      <c r="BZ41" s="203">
        <v>9550</v>
      </c>
      <c r="CA41" s="208">
        <v>10152</v>
      </c>
      <c r="CB41" s="208">
        <v>10649</v>
      </c>
      <c r="CC41" s="208">
        <v>11188</v>
      </c>
      <c r="CD41" s="208">
        <v>11859</v>
      </c>
      <c r="CE41" s="208">
        <v>12547</v>
      </c>
      <c r="CF41" s="208">
        <v>13448</v>
      </c>
      <c r="CG41" s="208">
        <v>14567</v>
      </c>
      <c r="CH41" s="208">
        <v>15703</v>
      </c>
      <c r="CI41" s="208">
        <v>17344</v>
      </c>
      <c r="CJ41" s="208">
        <v>19599</v>
      </c>
      <c r="CK41" s="208">
        <v>22147</v>
      </c>
      <c r="CL41" s="208">
        <v>24960</v>
      </c>
      <c r="CM41" s="208">
        <v>27783</v>
      </c>
      <c r="CN41" s="208">
        <v>42074</v>
      </c>
      <c r="CO41" s="208">
        <v>44178</v>
      </c>
      <c r="CP41" s="208">
        <v>44178</v>
      </c>
      <c r="CQ41" s="208">
        <v>44178</v>
      </c>
    </row>
    <row r="42" spans="1:95" ht="58.5" thickTop="1" thickBot="1" x14ac:dyDescent="0.4">
      <c r="A42" s="184">
        <f t="shared" si="5"/>
        <v>29</v>
      </c>
      <c r="B42" s="174" t="s">
        <v>150</v>
      </c>
      <c r="C42" s="175" t="s">
        <v>151</v>
      </c>
      <c r="D42" s="211" t="s">
        <v>152</v>
      </c>
      <c r="E42" s="187" t="s">
        <v>153</v>
      </c>
      <c r="F42" s="176" t="s">
        <v>154</v>
      </c>
      <c r="G42" s="185">
        <f t="shared" si="4"/>
        <v>0.98901183594825193</v>
      </c>
      <c r="H42" s="181" t="s">
        <v>101</v>
      </c>
      <c r="I42" s="181" t="s">
        <v>101</v>
      </c>
      <c r="J42" s="181" t="s">
        <v>101</v>
      </c>
      <c r="K42" s="181" t="s">
        <v>101</v>
      </c>
      <c r="L42" s="181" t="s">
        <v>101</v>
      </c>
      <c r="M42" s="181" t="s">
        <v>101</v>
      </c>
      <c r="N42" s="181" t="s">
        <v>101</v>
      </c>
      <c r="O42" s="181" t="s">
        <v>101</v>
      </c>
      <c r="P42" s="181" t="s">
        <v>101</v>
      </c>
      <c r="Q42" s="181" t="s">
        <v>101</v>
      </c>
      <c r="R42" s="181" t="s">
        <v>101</v>
      </c>
      <c r="S42" s="181">
        <v>22.03</v>
      </c>
      <c r="T42" s="181">
        <v>23.12</v>
      </c>
      <c r="U42" s="181">
        <v>23.77</v>
      </c>
      <c r="V42" s="181">
        <v>23.76</v>
      </c>
      <c r="W42" s="181">
        <v>24.27</v>
      </c>
      <c r="X42" s="181">
        <v>24.3</v>
      </c>
      <c r="Y42" s="181">
        <v>25.42</v>
      </c>
      <c r="Z42" s="181">
        <v>27.89</v>
      </c>
      <c r="AA42" s="181">
        <v>30.26</v>
      </c>
      <c r="AB42" s="179">
        <v>35.65</v>
      </c>
      <c r="AC42" s="179">
        <v>36.82</v>
      </c>
      <c r="AD42" s="179">
        <v>37.99</v>
      </c>
      <c r="AE42" s="181">
        <v>38.796999999999997</v>
      </c>
      <c r="AF42" s="181">
        <v>38.732999999999997</v>
      </c>
      <c r="AG42" s="181">
        <v>39.380000000000003</v>
      </c>
      <c r="AH42" s="181">
        <v>42.064</v>
      </c>
      <c r="AI42" s="181">
        <v>44.081000000000003</v>
      </c>
      <c r="AJ42" s="181">
        <v>44.317</v>
      </c>
      <c r="AK42" s="181">
        <v>45.033999999999999</v>
      </c>
      <c r="AL42" s="181">
        <v>45.752000000000002</v>
      </c>
      <c r="AM42" s="181">
        <v>45.819000000000003</v>
      </c>
      <c r="AN42" s="181">
        <v>47.723999999999997</v>
      </c>
      <c r="AO42" s="181">
        <v>47.942999999999998</v>
      </c>
      <c r="AP42" s="181">
        <v>53.26</v>
      </c>
      <c r="AQ42" s="181">
        <v>56.073</v>
      </c>
      <c r="AR42" s="181">
        <v>56.128999999999998</v>
      </c>
      <c r="AS42" s="181">
        <v>56.085999999999999</v>
      </c>
      <c r="AT42" s="181">
        <v>56.1</v>
      </c>
      <c r="AU42" s="181">
        <v>56.006999999999998</v>
      </c>
      <c r="AV42" s="181">
        <v>56.029000000000003</v>
      </c>
      <c r="AW42" s="181">
        <v>56.04</v>
      </c>
      <c r="AX42" s="181">
        <v>55.978000000000002</v>
      </c>
      <c r="AY42" s="181">
        <v>58.265999999999998</v>
      </c>
      <c r="AZ42" s="181">
        <v>60.082000000000001</v>
      </c>
      <c r="BA42" s="181">
        <v>61.973999999999997</v>
      </c>
      <c r="BB42" s="181">
        <v>64.325999999999993</v>
      </c>
      <c r="BC42" s="181">
        <v>68.031999999999996</v>
      </c>
      <c r="BD42" s="181">
        <v>74.814999999999998</v>
      </c>
      <c r="BE42" s="181">
        <v>77.126999999999995</v>
      </c>
      <c r="BF42" s="188">
        <v>81.983999999999995</v>
      </c>
      <c r="BG42" s="188">
        <v>86.459000000000003</v>
      </c>
      <c r="BH42" s="188">
        <v>90.56</v>
      </c>
      <c r="BI42" s="188">
        <v>90.846000000000004</v>
      </c>
      <c r="BJ42" s="188">
        <v>90.838999999999999</v>
      </c>
      <c r="BK42" s="188">
        <v>90.78</v>
      </c>
      <c r="BL42" s="188">
        <v>90.87</v>
      </c>
      <c r="BM42" s="188">
        <v>91.046999999999997</v>
      </c>
      <c r="BN42" s="188">
        <v>91.111000000000004</v>
      </c>
      <c r="BO42" s="188">
        <v>91.093000000000004</v>
      </c>
      <c r="BP42" s="188">
        <v>90.825000000000003</v>
      </c>
      <c r="BQ42" s="188">
        <v>98.864999999999995</v>
      </c>
      <c r="BR42" s="188">
        <v>110.54600000000001</v>
      </c>
      <c r="BS42" s="188">
        <v>113.52</v>
      </c>
      <c r="BT42" s="188">
        <v>133.881</v>
      </c>
      <c r="BU42" s="188">
        <v>146.72499999999999</v>
      </c>
      <c r="BV42" s="188">
        <v>148.452</v>
      </c>
      <c r="BW42" s="188">
        <v>157.709</v>
      </c>
      <c r="BX42" s="188">
        <v>160.21100000000001</v>
      </c>
      <c r="BY42" s="188">
        <v>170.023</v>
      </c>
      <c r="BZ42" s="188">
        <v>180.65199999999999</v>
      </c>
      <c r="CA42" s="188">
        <v>188.03399999999999</v>
      </c>
      <c r="CB42" s="188">
        <v>194.21</v>
      </c>
      <c r="CC42" s="188">
        <v>208.34200000000001</v>
      </c>
      <c r="CD42" s="188">
        <v>216.804</v>
      </c>
      <c r="CE42" s="188">
        <v>230.524</v>
      </c>
      <c r="CF42" s="188">
        <v>241.15199999999999</v>
      </c>
      <c r="CG42" s="188">
        <v>256.17200000000003</v>
      </c>
      <c r="CH42" s="188">
        <v>269.99</v>
      </c>
      <c r="CI42" s="188">
        <v>328.84800000000001</v>
      </c>
      <c r="CJ42" s="188">
        <v>327.63200000000001</v>
      </c>
      <c r="CK42" s="188">
        <v>354.36399999999998</v>
      </c>
      <c r="CL42" s="188">
        <v>422.983</v>
      </c>
      <c r="CM42" s="188">
        <v>723.05</v>
      </c>
      <c r="CN42" s="188">
        <v>869.8</v>
      </c>
      <c r="CO42" s="188">
        <v>918.625</v>
      </c>
      <c r="CP42" s="188">
        <v>978.25</v>
      </c>
      <c r="CQ42" s="188">
        <v>978.25</v>
      </c>
    </row>
    <row r="43" spans="1:95" ht="58.5" thickTop="1" thickBot="1" x14ac:dyDescent="0.4">
      <c r="A43" s="184">
        <f t="shared" si="5"/>
        <v>30</v>
      </c>
      <c r="B43" s="174" t="s">
        <v>150</v>
      </c>
      <c r="C43" s="175" t="s">
        <v>151</v>
      </c>
      <c r="D43" s="352" t="s">
        <v>155</v>
      </c>
      <c r="E43" s="187" t="s">
        <v>153</v>
      </c>
      <c r="F43" s="176" t="s">
        <v>154</v>
      </c>
      <c r="G43" s="185">
        <f t="shared" si="4"/>
        <v>0.87567585352211552</v>
      </c>
      <c r="H43" s="181" t="s">
        <v>101</v>
      </c>
      <c r="I43" s="181" t="s">
        <v>101</v>
      </c>
      <c r="J43" s="181" t="s">
        <v>101</v>
      </c>
      <c r="K43" s="181" t="s">
        <v>101</v>
      </c>
      <c r="L43" s="181" t="s">
        <v>101</v>
      </c>
      <c r="M43" s="181" t="s">
        <v>101</v>
      </c>
      <c r="N43" s="181" t="s">
        <v>101</v>
      </c>
      <c r="O43" s="181" t="s">
        <v>101</v>
      </c>
      <c r="P43" s="181" t="s">
        <v>101</v>
      </c>
      <c r="Q43" s="181" t="s">
        <v>101</v>
      </c>
      <c r="R43" s="181" t="s">
        <v>101</v>
      </c>
      <c r="S43" s="181">
        <v>19.57</v>
      </c>
      <c r="T43" s="181">
        <v>20.34</v>
      </c>
      <c r="U43" s="181">
        <v>21.06</v>
      </c>
      <c r="V43" s="181">
        <v>21.22</v>
      </c>
      <c r="W43" s="181">
        <v>21.73</v>
      </c>
      <c r="X43" s="181">
        <v>21.71</v>
      </c>
      <c r="Y43" s="181">
        <v>22.83</v>
      </c>
      <c r="Z43" s="181">
        <v>25.09</v>
      </c>
      <c r="AA43" s="181">
        <v>26.83</v>
      </c>
      <c r="AB43" s="181">
        <v>32.036999999999999</v>
      </c>
      <c r="AC43" s="179">
        <v>33.450000000000003</v>
      </c>
      <c r="AD43" s="181">
        <v>34.5</v>
      </c>
      <c r="AE43" s="181">
        <v>35.49</v>
      </c>
      <c r="AF43" s="181">
        <v>35.107999999999997</v>
      </c>
      <c r="AG43" s="181">
        <v>35.850999999999999</v>
      </c>
      <c r="AH43" s="181">
        <v>38.173999999999999</v>
      </c>
      <c r="AI43" s="181">
        <v>40.902000000000001</v>
      </c>
      <c r="AJ43" s="181">
        <v>41.268999999999998</v>
      </c>
      <c r="AK43" s="181">
        <v>42.261000000000003</v>
      </c>
      <c r="AL43" s="181">
        <v>43.030999999999999</v>
      </c>
      <c r="AM43" s="181">
        <v>43.012999999999998</v>
      </c>
      <c r="AN43" s="181">
        <v>44.750999999999998</v>
      </c>
      <c r="AO43" s="181">
        <v>45.02</v>
      </c>
      <c r="AP43" s="181">
        <v>49.563000000000002</v>
      </c>
      <c r="AQ43" s="181">
        <v>52.673999999999999</v>
      </c>
      <c r="AR43" s="181">
        <v>52.84</v>
      </c>
      <c r="AS43" s="181">
        <v>52.835999999999999</v>
      </c>
      <c r="AT43" s="181">
        <v>52.841000000000001</v>
      </c>
      <c r="AU43" s="181">
        <v>52.84</v>
      </c>
      <c r="AV43" s="181">
        <v>52.841000000000001</v>
      </c>
      <c r="AW43" s="181">
        <v>52.84</v>
      </c>
      <c r="AX43" s="181">
        <v>52.84</v>
      </c>
      <c r="AY43" s="181">
        <v>55.219000000000001</v>
      </c>
      <c r="AZ43" s="181">
        <v>56.966000000000001</v>
      </c>
      <c r="BA43" s="181">
        <v>58.886000000000003</v>
      </c>
      <c r="BB43" s="181">
        <v>60.180999999999997</v>
      </c>
      <c r="BC43" s="181">
        <v>64.091999999999999</v>
      </c>
      <c r="BD43" s="181">
        <v>70.328999999999994</v>
      </c>
      <c r="BE43" s="181">
        <v>73.069999999999993</v>
      </c>
      <c r="BF43" s="188">
        <v>78.188000000000002</v>
      </c>
      <c r="BG43" s="188">
        <v>83.245000000000005</v>
      </c>
      <c r="BH43" s="188">
        <v>87.474999999999994</v>
      </c>
      <c r="BI43" s="188">
        <v>87.474999999999994</v>
      </c>
      <c r="BJ43" s="188">
        <v>87.668000000000006</v>
      </c>
      <c r="BK43" s="188">
        <v>87.653999999999996</v>
      </c>
      <c r="BL43" s="188">
        <v>87.796000000000006</v>
      </c>
      <c r="BM43" s="188">
        <v>87.796000000000006</v>
      </c>
      <c r="BN43" s="188">
        <v>87.826999999999998</v>
      </c>
      <c r="BO43" s="188">
        <v>87.731999999999999</v>
      </c>
      <c r="BP43" s="188">
        <v>91.180999999999997</v>
      </c>
      <c r="BQ43" s="188">
        <v>95.796000000000006</v>
      </c>
      <c r="BR43" s="188">
        <v>106.74299999999999</v>
      </c>
      <c r="BS43" s="188">
        <v>107.258</v>
      </c>
      <c r="BT43" s="188">
        <v>118.012</v>
      </c>
      <c r="BU43" s="188">
        <v>133.22800000000001</v>
      </c>
      <c r="BV43" s="188">
        <v>135.90799999999999</v>
      </c>
      <c r="BW43" s="188">
        <v>144.30099999999999</v>
      </c>
      <c r="BX43" s="188">
        <v>147.4</v>
      </c>
      <c r="BY43" s="188">
        <v>158.11699999999999</v>
      </c>
      <c r="BZ43" s="188">
        <v>171.02600000000001</v>
      </c>
      <c r="CA43" s="188">
        <v>179.416</v>
      </c>
      <c r="CB43" s="188">
        <v>184.44499999999999</v>
      </c>
      <c r="CC43" s="188">
        <v>197.99199999999999</v>
      </c>
      <c r="CD43" s="188">
        <v>206.87299999999999</v>
      </c>
      <c r="CE43" s="188">
        <v>217.60599999999999</v>
      </c>
      <c r="CF43" s="188">
        <v>228.84299999999999</v>
      </c>
      <c r="CG43" s="188">
        <v>245.48699999999999</v>
      </c>
      <c r="CH43" s="188">
        <v>254.94300000000001</v>
      </c>
      <c r="CI43" s="188">
        <v>297.90499999999997</v>
      </c>
      <c r="CJ43" s="188">
        <v>292.32100000000003</v>
      </c>
      <c r="CK43" s="188">
        <v>320.32</v>
      </c>
      <c r="CL43" s="188">
        <v>379.57600000000002</v>
      </c>
      <c r="CM43" s="188">
        <v>670.57899999999995</v>
      </c>
      <c r="CN43" s="354">
        <v>828.1</v>
      </c>
      <c r="CO43" s="188">
        <v>859.84199999999998</v>
      </c>
      <c r="CP43" s="188">
        <v>922.9</v>
      </c>
      <c r="CQ43" s="188">
        <v>922.9</v>
      </c>
    </row>
    <row r="44" spans="1:95" ht="58.5" thickTop="1" thickBot="1" x14ac:dyDescent="0.4">
      <c r="A44" s="184">
        <f t="shared" si="5"/>
        <v>31</v>
      </c>
      <c r="B44" s="174" t="s">
        <v>150</v>
      </c>
      <c r="C44" s="175" t="s">
        <v>151</v>
      </c>
      <c r="D44" s="211" t="s">
        <v>156</v>
      </c>
      <c r="E44" s="187" t="s">
        <v>153</v>
      </c>
      <c r="F44" s="176" t="s">
        <v>154</v>
      </c>
      <c r="G44" s="185">
        <f t="shared" si="4"/>
        <v>0.92897395599461163</v>
      </c>
      <c r="H44" s="180" t="s">
        <v>101</v>
      </c>
      <c r="I44" s="180" t="s">
        <v>101</v>
      </c>
      <c r="J44" s="180" t="s">
        <v>101</v>
      </c>
      <c r="K44" s="180" t="s">
        <v>101</v>
      </c>
      <c r="L44" s="180" t="s">
        <v>101</v>
      </c>
      <c r="M44" s="180" t="s">
        <v>101</v>
      </c>
      <c r="N44" s="179">
        <v>15.99</v>
      </c>
      <c r="O44" s="179">
        <v>16.04</v>
      </c>
      <c r="P44" s="179">
        <v>16.04</v>
      </c>
      <c r="Q44" s="179">
        <v>17.46</v>
      </c>
      <c r="R44" s="179">
        <v>17.54</v>
      </c>
      <c r="S44" s="179">
        <v>18.68</v>
      </c>
      <c r="T44" s="179">
        <v>19.71</v>
      </c>
      <c r="U44" s="179">
        <v>20.440000000000001</v>
      </c>
      <c r="V44" s="179">
        <v>20.52</v>
      </c>
      <c r="W44" s="179">
        <v>21.28</v>
      </c>
      <c r="X44" s="181">
        <v>21.5</v>
      </c>
      <c r="Y44" s="181">
        <v>22.24</v>
      </c>
      <c r="Z44" s="179">
        <v>24.56</v>
      </c>
      <c r="AA44" s="179">
        <v>26.79</v>
      </c>
      <c r="AB44" s="181">
        <v>32.622</v>
      </c>
      <c r="AC44" s="179">
        <v>33.119999999999997</v>
      </c>
      <c r="AD44" s="179">
        <v>34.71</v>
      </c>
      <c r="AE44" s="181">
        <v>35.762999999999998</v>
      </c>
      <c r="AF44" s="181">
        <v>35.691000000000003</v>
      </c>
      <c r="AG44" s="181">
        <v>36.186999999999998</v>
      </c>
      <c r="AH44" s="181">
        <v>37.975999999999999</v>
      </c>
      <c r="AI44" s="181">
        <v>41.710999999999999</v>
      </c>
      <c r="AJ44" s="181">
        <v>41.704999999999998</v>
      </c>
      <c r="AK44" s="181">
        <v>42.756999999999998</v>
      </c>
      <c r="AL44" s="181">
        <v>43.828000000000003</v>
      </c>
      <c r="AM44" s="181">
        <v>43.828000000000003</v>
      </c>
      <c r="AN44" s="181">
        <v>45.469000000000001</v>
      </c>
      <c r="AO44" s="181">
        <v>46.29</v>
      </c>
      <c r="AP44" s="181">
        <v>51.122999999999998</v>
      </c>
      <c r="AQ44" s="181">
        <v>54.072000000000003</v>
      </c>
      <c r="AR44" s="181">
        <v>54.072000000000003</v>
      </c>
      <c r="AS44" s="181">
        <v>54.072000000000003</v>
      </c>
      <c r="AT44" s="181">
        <v>54.072000000000003</v>
      </c>
      <c r="AU44" s="181">
        <v>54.072000000000003</v>
      </c>
      <c r="AV44" s="181">
        <v>53.491</v>
      </c>
      <c r="AW44" s="181">
        <v>53.113</v>
      </c>
      <c r="AX44" s="181">
        <v>53.113</v>
      </c>
      <c r="AY44" s="181">
        <v>55.655999999999999</v>
      </c>
      <c r="AZ44" s="181">
        <v>57.369</v>
      </c>
      <c r="BA44" s="181">
        <v>60.134</v>
      </c>
      <c r="BB44" s="181">
        <v>61.768999999999998</v>
      </c>
      <c r="BC44" s="181">
        <v>65.367000000000004</v>
      </c>
      <c r="BD44" s="181">
        <v>71.653000000000006</v>
      </c>
      <c r="BE44" s="181">
        <v>73.346000000000004</v>
      </c>
      <c r="BF44" s="188">
        <v>78.555999999999997</v>
      </c>
      <c r="BG44" s="188">
        <v>83.563000000000002</v>
      </c>
      <c r="BH44" s="188">
        <v>87.63</v>
      </c>
      <c r="BI44" s="188">
        <v>87.489000000000004</v>
      </c>
      <c r="BJ44" s="188">
        <v>87.486999999999995</v>
      </c>
      <c r="BK44" s="188">
        <v>87.391000000000005</v>
      </c>
      <c r="BL44" s="188">
        <v>87.534999999999997</v>
      </c>
      <c r="BM44" s="188">
        <v>87.4</v>
      </c>
      <c r="BN44" s="188">
        <v>87.287999999999997</v>
      </c>
      <c r="BO44" s="188">
        <v>87.4</v>
      </c>
      <c r="BP44" s="188">
        <v>89.08</v>
      </c>
      <c r="BQ44" s="188">
        <v>96.921999999999997</v>
      </c>
      <c r="BR44" s="188">
        <v>108.539</v>
      </c>
      <c r="BS44" s="188">
        <v>109.2</v>
      </c>
      <c r="BT44" s="188">
        <v>120.74299999999999</v>
      </c>
      <c r="BU44" s="188">
        <v>136.935</v>
      </c>
      <c r="BV44" s="188">
        <v>137.947</v>
      </c>
      <c r="BW44" s="188">
        <v>146.25299999999999</v>
      </c>
      <c r="BX44" s="188">
        <v>147.77600000000001</v>
      </c>
      <c r="BY44" s="188">
        <v>158.71899999999999</v>
      </c>
      <c r="BZ44" s="188">
        <v>171.833</v>
      </c>
      <c r="CA44" s="188">
        <v>179.31800000000001</v>
      </c>
      <c r="CB44" s="188">
        <v>185.76599999999999</v>
      </c>
      <c r="CC44" s="188">
        <v>199.01300000000001</v>
      </c>
      <c r="CD44" s="188">
        <v>210.459</v>
      </c>
      <c r="CE44" s="188">
        <v>223.869</v>
      </c>
      <c r="CF44" s="188">
        <v>234.96700000000001</v>
      </c>
      <c r="CG44" s="188">
        <v>248.47800000000001</v>
      </c>
      <c r="CH44" s="188">
        <v>261.36</v>
      </c>
      <c r="CI44" s="188">
        <v>301.649</v>
      </c>
      <c r="CJ44" s="188">
        <v>312.06</v>
      </c>
      <c r="CK44" s="188">
        <v>321.49599999999998</v>
      </c>
      <c r="CL44" s="188">
        <v>391.99900000000002</v>
      </c>
      <c r="CM44" s="188">
        <v>664.06299999999999</v>
      </c>
      <c r="CN44" s="188">
        <v>826</v>
      </c>
      <c r="CO44" s="188">
        <v>875.38900000000001</v>
      </c>
      <c r="CP44" s="188">
        <v>936.21100000000001</v>
      </c>
      <c r="CQ44" s="188">
        <v>936.21100000000001</v>
      </c>
    </row>
    <row r="45" spans="1:95" ht="58.5" thickTop="1" thickBot="1" x14ac:dyDescent="0.4">
      <c r="A45" s="184">
        <f t="shared" si="5"/>
        <v>32</v>
      </c>
      <c r="B45" s="174" t="s">
        <v>150</v>
      </c>
      <c r="C45" s="175" t="s">
        <v>151</v>
      </c>
      <c r="D45" s="211" t="s">
        <v>157</v>
      </c>
      <c r="E45" s="187" t="s">
        <v>153</v>
      </c>
      <c r="F45" s="176" t="s">
        <v>154</v>
      </c>
      <c r="G45" s="185">
        <f t="shared" si="4"/>
        <v>0.6967025498015933</v>
      </c>
      <c r="H45" s="180" t="s">
        <v>101</v>
      </c>
      <c r="I45" s="180" t="s">
        <v>101</v>
      </c>
      <c r="J45" s="180" t="s">
        <v>101</v>
      </c>
      <c r="K45" s="180" t="s">
        <v>101</v>
      </c>
      <c r="L45" s="180" t="s">
        <v>101</v>
      </c>
      <c r="M45" s="180" t="s">
        <v>101</v>
      </c>
      <c r="N45" s="180" t="s">
        <v>101</v>
      </c>
      <c r="O45" s="180" t="s">
        <v>101</v>
      </c>
      <c r="P45" s="180" t="s">
        <v>101</v>
      </c>
      <c r="Q45" s="180" t="s">
        <v>101</v>
      </c>
      <c r="R45" s="180" t="s">
        <v>101</v>
      </c>
      <c r="S45" s="179">
        <v>18.75</v>
      </c>
      <c r="T45" s="179">
        <v>20.059999999999999</v>
      </c>
      <c r="U45" s="181">
        <v>20.555</v>
      </c>
      <c r="V45" s="181">
        <v>20.555</v>
      </c>
      <c r="W45" s="179">
        <v>21.36</v>
      </c>
      <c r="X45" s="179">
        <v>21.77</v>
      </c>
      <c r="Y45" s="181">
        <v>22.71</v>
      </c>
      <c r="Z45" s="179">
        <v>24.51</v>
      </c>
      <c r="AA45" s="179">
        <v>26.47</v>
      </c>
      <c r="AB45" s="181">
        <v>32.362000000000002</v>
      </c>
      <c r="AC45" s="179">
        <v>33.04</v>
      </c>
      <c r="AD45" s="179">
        <v>34.33</v>
      </c>
      <c r="AE45" s="181">
        <v>35.590000000000003</v>
      </c>
      <c r="AF45" s="181">
        <v>35.31</v>
      </c>
      <c r="AG45" s="181">
        <v>36.92</v>
      </c>
      <c r="AH45" s="181">
        <v>39.847999999999999</v>
      </c>
      <c r="AI45" s="181">
        <v>42.552</v>
      </c>
      <c r="AJ45" s="181">
        <v>42.874000000000002</v>
      </c>
      <c r="AK45" s="181">
        <v>42.62</v>
      </c>
      <c r="AL45" s="181">
        <v>44.682000000000002</v>
      </c>
      <c r="AM45" s="181">
        <v>43.23</v>
      </c>
      <c r="AN45" s="181">
        <v>46.47</v>
      </c>
      <c r="AO45" s="181">
        <v>46.1</v>
      </c>
      <c r="AP45" s="181">
        <v>51.3</v>
      </c>
      <c r="AQ45" s="181">
        <v>53.19</v>
      </c>
      <c r="AR45" s="181">
        <v>53.19</v>
      </c>
      <c r="AS45" s="181">
        <v>53.19</v>
      </c>
      <c r="AT45" s="181">
        <v>53.19</v>
      </c>
      <c r="AU45" s="181">
        <v>55.69</v>
      </c>
      <c r="AV45" s="181">
        <v>53.19</v>
      </c>
      <c r="AW45" s="181">
        <v>53.19</v>
      </c>
      <c r="AX45" s="181">
        <v>53.19</v>
      </c>
      <c r="AY45" s="181">
        <v>55.74</v>
      </c>
      <c r="AZ45" s="181">
        <v>58.01</v>
      </c>
      <c r="BA45" s="181">
        <v>60.564999999999998</v>
      </c>
      <c r="BB45" s="181">
        <v>62.05</v>
      </c>
      <c r="BC45" s="181">
        <v>64.900000000000006</v>
      </c>
      <c r="BD45" s="181">
        <v>70.935000000000002</v>
      </c>
      <c r="BE45" s="181">
        <v>73.7</v>
      </c>
      <c r="BF45" s="188">
        <v>78.849999999999994</v>
      </c>
      <c r="BG45" s="188">
        <v>83.95</v>
      </c>
      <c r="BH45" s="188">
        <v>87.25</v>
      </c>
      <c r="BI45" s="188">
        <v>87.25</v>
      </c>
      <c r="BJ45" s="188">
        <v>87.25</v>
      </c>
      <c r="BK45" s="188">
        <v>87.68</v>
      </c>
      <c r="BL45" s="188">
        <v>87.25</v>
      </c>
      <c r="BM45" s="188">
        <v>87.25</v>
      </c>
      <c r="BN45" s="188">
        <v>87.25</v>
      </c>
      <c r="BO45" s="188">
        <v>87.25</v>
      </c>
      <c r="BP45" s="188">
        <v>100.047</v>
      </c>
      <c r="BQ45" s="188">
        <v>96.85</v>
      </c>
      <c r="BR45" s="188">
        <v>108.45</v>
      </c>
      <c r="BS45" s="188">
        <v>108.45</v>
      </c>
      <c r="BT45" s="188">
        <v>119.8</v>
      </c>
      <c r="BU45" s="188">
        <v>136.5</v>
      </c>
      <c r="BV45" s="188">
        <v>136.5</v>
      </c>
      <c r="BW45" s="188">
        <v>142.38</v>
      </c>
      <c r="BX45" s="188">
        <v>152.375</v>
      </c>
      <c r="BY45" s="188">
        <v>158.05000000000001</v>
      </c>
      <c r="BZ45" s="188">
        <v>169.75</v>
      </c>
      <c r="CA45" s="188">
        <v>177.4</v>
      </c>
      <c r="CB45" s="188">
        <v>185.35</v>
      </c>
      <c r="CC45" s="188">
        <v>196.75</v>
      </c>
      <c r="CD45" s="188">
        <v>196.75</v>
      </c>
      <c r="CE45" s="188">
        <v>223.35</v>
      </c>
      <c r="CF45" s="188">
        <v>234.35</v>
      </c>
      <c r="CG45" s="188">
        <v>248.4</v>
      </c>
      <c r="CH45" s="188">
        <v>265.64999999999998</v>
      </c>
      <c r="CI45" s="188">
        <v>305.35000000000002</v>
      </c>
      <c r="CJ45" s="188" t="s">
        <v>332</v>
      </c>
      <c r="CK45" s="188">
        <v>320.2</v>
      </c>
      <c r="CL45" s="188">
        <v>391</v>
      </c>
      <c r="CM45" s="188">
        <v>668.5</v>
      </c>
      <c r="CN45" s="188">
        <v>826</v>
      </c>
      <c r="CO45" s="188">
        <v>869.5</v>
      </c>
      <c r="CP45" s="188">
        <v>935</v>
      </c>
      <c r="CQ45" s="188">
        <v>935</v>
      </c>
    </row>
    <row r="46" spans="1:95" ht="58.5" thickTop="1" thickBot="1" x14ac:dyDescent="0.4">
      <c r="A46" s="184">
        <f t="shared" si="5"/>
        <v>33</v>
      </c>
      <c r="B46" s="174" t="s">
        <v>150</v>
      </c>
      <c r="C46" s="175" t="s">
        <v>158</v>
      </c>
      <c r="D46" s="211" t="s">
        <v>159</v>
      </c>
      <c r="E46" s="187" t="s">
        <v>153</v>
      </c>
      <c r="F46" s="176" t="s">
        <v>154</v>
      </c>
      <c r="G46" s="185">
        <f t="shared" si="4"/>
        <v>1.2519045343378405</v>
      </c>
      <c r="H46" s="180" t="s">
        <v>101</v>
      </c>
      <c r="I46" s="180" t="s">
        <v>101</v>
      </c>
      <c r="J46" s="180" t="s">
        <v>101</v>
      </c>
      <c r="K46" s="180" t="s">
        <v>101</v>
      </c>
      <c r="L46" s="180" t="s">
        <v>101</v>
      </c>
      <c r="M46" s="180" t="s">
        <v>101</v>
      </c>
      <c r="N46" s="180" t="s">
        <v>101</v>
      </c>
      <c r="O46" s="180" t="s">
        <v>101</v>
      </c>
      <c r="P46" s="180" t="s">
        <v>101</v>
      </c>
      <c r="Q46" s="180" t="s">
        <v>101</v>
      </c>
      <c r="R46" s="180" t="s">
        <v>101</v>
      </c>
      <c r="S46" s="179">
        <v>24.58</v>
      </c>
      <c r="T46" s="181">
        <v>25.8</v>
      </c>
      <c r="U46" s="179">
        <v>26.61</v>
      </c>
      <c r="V46" s="181">
        <v>26.6</v>
      </c>
      <c r="W46" s="179">
        <v>27.14</v>
      </c>
      <c r="X46" s="179">
        <v>27.19</v>
      </c>
      <c r="Y46" s="181">
        <v>28.52</v>
      </c>
      <c r="Z46" s="179">
        <v>32.46</v>
      </c>
      <c r="AA46" s="179">
        <v>35.299999999999997</v>
      </c>
      <c r="AB46" s="181">
        <v>42.292999999999999</v>
      </c>
      <c r="AC46" s="179">
        <v>43.07</v>
      </c>
      <c r="AD46" s="179">
        <v>44.11</v>
      </c>
      <c r="AE46" s="181">
        <v>45.186999999999998</v>
      </c>
      <c r="AF46" s="181">
        <v>44.356999999999999</v>
      </c>
      <c r="AG46" s="181">
        <v>45.146999999999998</v>
      </c>
      <c r="AH46" s="181">
        <v>48.273000000000003</v>
      </c>
      <c r="AI46" s="181">
        <v>50.295999999999999</v>
      </c>
      <c r="AJ46" s="181">
        <v>50.59</v>
      </c>
      <c r="AK46" s="181">
        <v>51.334000000000003</v>
      </c>
      <c r="AL46" s="181">
        <v>52.140999999999998</v>
      </c>
      <c r="AM46" s="181">
        <v>52.215000000000003</v>
      </c>
      <c r="AN46" s="181">
        <v>54.387</v>
      </c>
      <c r="AO46" s="181">
        <v>54.655000000000001</v>
      </c>
      <c r="AP46" s="181">
        <v>60.76</v>
      </c>
      <c r="AQ46" s="181">
        <v>63.996000000000002</v>
      </c>
      <c r="AR46" s="181">
        <v>63.988999999999997</v>
      </c>
      <c r="AS46" s="181">
        <v>64.001000000000005</v>
      </c>
      <c r="AT46" s="181">
        <v>64.009</v>
      </c>
      <c r="AU46" s="181">
        <v>64.001000000000005</v>
      </c>
      <c r="AV46" s="181">
        <v>63.997999999999998</v>
      </c>
      <c r="AW46" s="181">
        <v>64.001000000000005</v>
      </c>
      <c r="AX46" s="181">
        <v>64.001000000000005</v>
      </c>
      <c r="AY46" s="181">
        <v>66.835999999999999</v>
      </c>
      <c r="AZ46" s="181">
        <v>69.567999999999998</v>
      </c>
      <c r="BA46" s="181">
        <v>71.823999999999998</v>
      </c>
      <c r="BB46" s="181">
        <v>74.638000000000005</v>
      </c>
      <c r="BC46" s="181">
        <v>79.268000000000001</v>
      </c>
      <c r="BD46" s="181">
        <v>87.905000000000001</v>
      </c>
      <c r="BE46" s="181">
        <v>90.581000000000003</v>
      </c>
      <c r="BF46" s="188">
        <v>96.578999999999994</v>
      </c>
      <c r="BG46" s="188">
        <v>101.964</v>
      </c>
      <c r="BH46" s="188">
        <v>106.86</v>
      </c>
      <c r="BI46" s="188">
        <v>107.157</v>
      </c>
      <c r="BJ46" s="188">
        <v>107.104</v>
      </c>
      <c r="BK46" s="188">
        <v>107.077</v>
      </c>
      <c r="BL46" s="188">
        <v>107.176</v>
      </c>
      <c r="BM46" s="188">
        <v>107.167</v>
      </c>
      <c r="BN46" s="188">
        <v>107.223</v>
      </c>
      <c r="BO46" s="188">
        <v>107.20699999999999</v>
      </c>
      <c r="BP46" s="188">
        <v>106.71899999999999</v>
      </c>
      <c r="BQ46" s="188">
        <v>120.64100000000001</v>
      </c>
      <c r="BR46" s="188">
        <v>137.26499999999999</v>
      </c>
      <c r="BS46" s="188">
        <v>139.92099999999999</v>
      </c>
      <c r="BT46" s="188">
        <v>166.45599999999999</v>
      </c>
      <c r="BU46" s="188">
        <v>194.38800000000001</v>
      </c>
      <c r="BV46" s="188">
        <v>195.91300000000001</v>
      </c>
      <c r="BW46" s="188">
        <v>207.131</v>
      </c>
      <c r="BX46" s="188">
        <v>210.233</v>
      </c>
      <c r="BY46" s="188">
        <v>224.233</v>
      </c>
      <c r="BZ46" s="188">
        <v>240.321</v>
      </c>
      <c r="CA46" s="188">
        <v>251.27699999999999</v>
      </c>
      <c r="CB46" s="188">
        <v>268.31099999999998</v>
      </c>
      <c r="CC46" s="188">
        <v>283.92899999999997</v>
      </c>
      <c r="CD46" s="188">
        <v>294.14</v>
      </c>
      <c r="CE46" s="188">
        <v>302.02300000000002</v>
      </c>
      <c r="CF46" s="188">
        <v>312.07799999999997</v>
      </c>
      <c r="CG46" s="188">
        <v>320.21600000000001</v>
      </c>
      <c r="CH46" s="188">
        <v>339.053</v>
      </c>
      <c r="CI46" s="188">
        <v>413.58600000000001</v>
      </c>
      <c r="CJ46" s="188">
        <v>414.7</v>
      </c>
      <c r="CK46" s="188">
        <v>439.483</v>
      </c>
      <c r="CL46" s="188">
        <v>510.32</v>
      </c>
      <c r="CM46" s="188">
        <v>741.91700000000003</v>
      </c>
      <c r="CN46" s="188">
        <v>998.86699999999996</v>
      </c>
      <c r="CO46" s="188">
        <v>1077.2080000000001</v>
      </c>
      <c r="CP46" s="188">
        <v>1155.077</v>
      </c>
      <c r="CQ46" s="188">
        <v>1155.077</v>
      </c>
    </row>
    <row r="47" spans="1:95" ht="58.5" thickTop="1" thickBot="1" x14ac:dyDescent="0.4">
      <c r="A47" s="184">
        <f t="shared" si="5"/>
        <v>34</v>
      </c>
      <c r="B47" s="174" t="s">
        <v>150</v>
      </c>
      <c r="C47" s="175" t="s">
        <v>158</v>
      </c>
      <c r="D47" s="211" t="s">
        <v>160</v>
      </c>
      <c r="E47" s="187" t="s">
        <v>153</v>
      </c>
      <c r="F47" s="176" t="s">
        <v>154</v>
      </c>
      <c r="G47" s="185">
        <f t="shared" si="4"/>
        <v>1.0861190282942297</v>
      </c>
      <c r="H47" s="180" t="s">
        <v>101</v>
      </c>
      <c r="I47" s="180" t="s">
        <v>101</v>
      </c>
      <c r="J47" s="180" t="s">
        <v>101</v>
      </c>
      <c r="K47" s="180" t="s">
        <v>101</v>
      </c>
      <c r="L47" s="180" t="s">
        <v>101</v>
      </c>
      <c r="M47" s="180" t="s">
        <v>101</v>
      </c>
      <c r="N47" s="180" t="s">
        <v>101</v>
      </c>
      <c r="O47" s="180" t="s">
        <v>101</v>
      </c>
      <c r="P47" s="180" t="s">
        <v>101</v>
      </c>
      <c r="Q47" s="180" t="s">
        <v>101</v>
      </c>
      <c r="R47" s="180" t="s">
        <v>101</v>
      </c>
      <c r="S47" s="179">
        <v>22.07</v>
      </c>
      <c r="T47" s="179">
        <v>23.05</v>
      </c>
      <c r="U47" s="179">
        <v>23.82</v>
      </c>
      <c r="V47" s="179">
        <v>24.01</v>
      </c>
      <c r="W47" s="179">
        <v>24.49</v>
      </c>
      <c r="X47" s="179">
        <v>24.45</v>
      </c>
      <c r="Y47" s="181">
        <v>25.9</v>
      </c>
      <c r="Z47" s="179">
        <v>29.81</v>
      </c>
      <c r="AA47" s="179">
        <v>32.25</v>
      </c>
      <c r="AB47" s="181">
        <v>38.170999999999999</v>
      </c>
      <c r="AC47" s="179">
        <v>39.89</v>
      </c>
      <c r="AD47" s="179">
        <v>41.02</v>
      </c>
      <c r="AE47" s="181">
        <v>41.286999999999999</v>
      </c>
      <c r="AF47" s="181">
        <v>41.267000000000003</v>
      </c>
      <c r="AG47" s="181">
        <v>42.05</v>
      </c>
      <c r="AH47" s="181">
        <v>44.825000000000003</v>
      </c>
      <c r="AI47" s="181">
        <v>47.716000000000001</v>
      </c>
      <c r="AJ47" s="181">
        <v>48.167999999999999</v>
      </c>
      <c r="AK47" s="181">
        <v>49.398000000000003</v>
      </c>
      <c r="AL47" s="181">
        <v>49.865000000000002</v>
      </c>
      <c r="AM47" s="181">
        <v>50.192</v>
      </c>
      <c r="AN47" s="181">
        <v>52.247</v>
      </c>
      <c r="AO47" s="181">
        <v>52.523000000000003</v>
      </c>
      <c r="AP47" s="181">
        <v>57.917000000000002</v>
      </c>
      <c r="AQ47" s="181">
        <v>61.552999999999997</v>
      </c>
      <c r="AR47" s="181">
        <v>61.787999999999997</v>
      </c>
      <c r="AS47" s="181">
        <v>61.784999999999997</v>
      </c>
      <c r="AT47" s="181">
        <v>61.787999999999997</v>
      </c>
      <c r="AU47" s="181">
        <v>61.787999999999997</v>
      </c>
      <c r="AV47" s="181">
        <v>61.758000000000003</v>
      </c>
      <c r="AW47" s="181">
        <v>61.872</v>
      </c>
      <c r="AX47" s="181">
        <v>61.758000000000003</v>
      </c>
      <c r="AY47" s="181">
        <v>64.992000000000004</v>
      </c>
      <c r="AZ47" s="181">
        <v>66.12</v>
      </c>
      <c r="BA47" s="181">
        <v>68.287999999999997</v>
      </c>
      <c r="BB47" s="181">
        <v>70.254999999999995</v>
      </c>
      <c r="BC47" s="181">
        <v>75.159000000000006</v>
      </c>
      <c r="BD47" s="181">
        <v>82.888999999999996</v>
      </c>
      <c r="BE47" s="181">
        <v>86.088999999999999</v>
      </c>
      <c r="BF47" s="188">
        <v>92.444000000000003</v>
      </c>
      <c r="BG47" s="188">
        <v>98.108000000000004</v>
      </c>
      <c r="BH47" s="188">
        <v>102.92</v>
      </c>
      <c r="BI47" s="188">
        <v>102.996</v>
      </c>
      <c r="BJ47" s="188">
        <v>103.289</v>
      </c>
      <c r="BK47" s="188">
        <v>103.245</v>
      </c>
      <c r="BL47" s="188">
        <v>103.36499999999999</v>
      </c>
      <c r="BM47" s="188">
        <v>103.36499999999999</v>
      </c>
      <c r="BN47" s="188">
        <v>103.371</v>
      </c>
      <c r="BO47" s="188">
        <v>103.414</v>
      </c>
      <c r="BP47" s="188">
        <v>105.958</v>
      </c>
      <c r="BQ47" s="188">
        <v>116.97199999999999</v>
      </c>
      <c r="BR47" s="188">
        <v>132.53899999999999</v>
      </c>
      <c r="BS47" s="188">
        <v>132.95099999999999</v>
      </c>
      <c r="BT47" s="188">
        <v>150.87700000000001</v>
      </c>
      <c r="BU47" s="188">
        <v>173.43600000000001</v>
      </c>
      <c r="BV47" s="188">
        <v>176.47900000000001</v>
      </c>
      <c r="BW47" s="188">
        <v>187.94499999999999</v>
      </c>
      <c r="BX47" s="188">
        <v>190.58799999999999</v>
      </c>
      <c r="BY47" s="188">
        <v>204.44499999999999</v>
      </c>
      <c r="BZ47" s="188">
        <v>221.041</v>
      </c>
      <c r="CA47" s="188">
        <v>232.09200000000001</v>
      </c>
      <c r="CB47" s="188">
        <v>247.04599999999999</v>
      </c>
      <c r="CC47" s="188">
        <v>266.56599999999997</v>
      </c>
      <c r="CD47" s="188">
        <v>278.31700000000001</v>
      </c>
      <c r="CE47" s="188">
        <v>287.20100000000002</v>
      </c>
      <c r="CF47" s="188">
        <v>296.57600000000002</v>
      </c>
      <c r="CG47" s="188">
        <v>308.86399999999998</v>
      </c>
      <c r="CH47" s="188">
        <v>321.517</v>
      </c>
      <c r="CI47" s="188">
        <v>376.72</v>
      </c>
      <c r="CJ47" s="188">
        <v>404.54300000000001</v>
      </c>
      <c r="CK47" s="188">
        <v>402.39499999999998</v>
      </c>
      <c r="CL47" s="188">
        <v>469.58300000000003</v>
      </c>
      <c r="CM47" s="188">
        <v>790.2</v>
      </c>
      <c r="CN47" s="188">
        <v>974.35299999999995</v>
      </c>
      <c r="CO47" s="188">
        <v>1024</v>
      </c>
      <c r="CP47" s="188">
        <v>1101.095</v>
      </c>
      <c r="CQ47" s="188">
        <v>1101.095</v>
      </c>
    </row>
    <row r="48" spans="1:95" ht="58.5" thickTop="1" thickBot="1" x14ac:dyDescent="0.4">
      <c r="A48" s="184">
        <f t="shared" si="5"/>
        <v>35</v>
      </c>
      <c r="B48" s="174" t="s">
        <v>150</v>
      </c>
      <c r="C48" s="175" t="s">
        <v>158</v>
      </c>
      <c r="D48" s="211" t="s">
        <v>161</v>
      </c>
      <c r="E48" s="187" t="s">
        <v>153</v>
      </c>
      <c r="F48" s="176" t="s">
        <v>154</v>
      </c>
      <c r="G48" s="185">
        <f t="shared" si="4"/>
        <v>1.0924018407911487</v>
      </c>
      <c r="H48" s="180" t="s">
        <v>101</v>
      </c>
      <c r="I48" s="180" t="s">
        <v>101</v>
      </c>
      <c r="J48" s="180" t="s">
        <v>101</v>
      </c>
      <c r="K48" s="180" t="s">
        <v>101</v>
      </c>
      <c r="L48" s="180" t="s">
        <v>101</v>
      </c>
      <c r="M48" s="180" t="s">
        <v>101</v>
      </c>
      <c r="N48" s="179">
        <v>17.23</v>
      </c>
      <c r="O48" s="179">
        <v>17.350000000000001</v>
      </c>
      <c r="P48" s="179">
        <v>17.28</v>
      </c>
      <c r="Q48" s="179">
        <v>18.87</v>
      </c>
      <c r="R48" s="179">
        <v>18.96</v>
      </c>
      <c r="S48" s="179">
        <v>20.309999999999999</v>
      </c>
      <c r="T48" s="179">
        <v>21.35</v>
      </c>
      <c r="U48" s="179">
        <v>22.196000000000002</v>
      </c>
      <c r="V48" s="179">
        <v>22.25</v>
      </c>
      <c r="W48" s="179">
        <v>23.14</v>
      </c>
      <c r="X48" s="179">
        <v>23.23</v>
      </c>
      <c r="Y48" s="181">
        <v>24.28</v>
      </c>
      <c r="Z48" s="179">
        <v>27.98</v>
      </c>
      <c r="AA48" s="179">
        <v>30.78</v>
      </c>
      <c r="AB48" s="181">
        <v>37.494</v>
      </c>
      <c r="AC48" s="179">
        <v>37.92</v>
      </c>
      <c r="AD48" s="179">
        <v>39.270000000000003</v>
      </c>
      <c r="AE48" s="181">
        <v>40.137</v>
      </c>
      <c r="AF48" s="181">
        <v>40.154000000000003</v>
      </c>
      <c r="AG48" s="181">
        <v>40.776000000000003</v>
      </c>
      <c r="AH48" s="181">
        <v>42.975000000000001</v>
      </c>
      <c r="AI48" s="181">
        <v>46.951000000000001</v>
      </c>
      <c r="AJ48" s="181">
        <v>46.887999999999998</v>
      </c>
      <c r="AK48" s="181">
        <v>47.557000000000002</v>
      </c>
      <c r="AL48" s="181">
        <v>49.304000000000002</v>
      </c>
      <c r="AM48" s="181">
        <v>49.304000000000002</v>
      </c>
      <c r="AN48" s="181">
        <v>51.164999999999999</v>
      </c>
      <c r="AO48" s="181">
        <v>51.887</v>
      </c>
      <c r="AP48" s="181">
        <v>57.465000000000003</v>
      </c>
      <c r="AQ48" s="181">
        <v>60.613</v>
      </c>
      <c r="AR48" s="181">
        <v>60.613</v>
      </c>
      <c r="AS48" s="181">
        <v>60.613</v>
      </c>
      <c r="AT48" s="181">
        <v>60.613</v>
      </c>
      <c r="AU48" s="181">
        <v>60.613</v>
      </c>
      <c r="AV48" s="181">
        <v>59.914000000000001</v>
      </c>
      <c r="AW48" s="181">
        <v>59.935000000000002</v>
      </c>
      <c r="AX48" s="181">
        <v>59.935000000000002</v>
      </c>
      <c r="AY48" s="181">
        <v>63.500999999999998</v>
      </c>
      <c r="AZ48" s="181">
        <v>66.08</v>
      </c>
      <c r="BA48" s="181">
        <v>68.120999999999995</v>
      </c>
      <c r="BB48" s="181">
        <v>70.846999999999994</v>
      </c>
      <c r="BC48" s="181">
        <v>75.269000000000005</v>
      </c>
      <c r="BD48" s="181">
        <v>82.92</v>
      </c>
      <c r="BE48" s="181">
        <v>84.747</v>
      </c>
      <c r="BF48" s="188">
        <v>90.908000000000001</v>
      </c>
      <c r="BG48" s="188">
        <v>96.753</v>
      </c>
      <c r="BH48" s="188">
        <v>99.84</v>
      </c>
      <c r="BI48" s="188">
        <v>99.894999999999996</v>
      </c>
      <c r="BJ48" s="188">
        <v>100.003</v>
      </c>
      <c r="BK48" s="188">
        <v>100.169</v>
      </c>
      <c r="BL48" s="188">
        <v>100.43600000000001</v>
      </c>
      <c r="BM48" s="188">
        <v>100.40300000000001</v>
      </c>
      <c r="BN48" s="188">
        <v>100.35899999999999</v>
      </c>
      <c r="BO48" s="188">
        <v>100.40600000000001</v>
      </c>
      <c r="BP48" s="188">
        <v>102.13</v>
      </c>
      <c r="BQ48" s="188">
        <v>113.027</v>
      </c>
      <c r="BR48" s="188">
        <v>128.70099999999999</v>
      </c>
      <c r="BS48" s="188">
        <v>128.75899999999999</v>
      </c>
      <c r="BT48" s="188">
        <v>146.21</v>
      </c>
      <c r="BU48" s="188">
        <v>171.429</v>
      </c>
      <c r="BV48" s="188">
        <v>172.19</v>
      </c>
      <c r="BW48" s="188">
        <v>182.74600000000001</v>
      </c>
      <c r="BX48" s="188">
        <v>183.31100000000001</v>
      </c>
      <c r="BY48" s="188">
        <v>196.94200000000001</v>
      </c>
      <c r="BZ48" s="188">
        <v>213.697</v>
      </c>
      <c r="CA48" s="188">
        <v>226.69200000000001</v>
      </c>
      <c r="CB48" s="188">
        <v>240.49700000000001</v>
      </c>
      <c r="CC48" s="188">
        <v>256.762</v>
      </c>
      <c r="CD48" s="188">
        <v>269.51600000000002</v>
      </c>
      <c r="CE48" s="188">
        <v>278.93599999999998</v>
      </c>
      <c r="CF48" s="188">
        <v>292.68099999999998</v>
      </c>
      <c r="CG48" s="188">
        <v>301.02100000000002</v>
      </c>
      <c r="CH48" s="188">
        <v>315.14</v>
      </c>
      <c r="CI48" s="188">
        <v>359.24700000000001</v>
      </c>
      <c r="CJ48" s="188">
        <v>377.15</v>
      </c>
      <c r="CK48" s="188">
        <v>389.505</v>
      </c>
      <c r="CL48" s="188">
        <v>469.99900000000002</v>
      </c>
      <c r="CM48" s="188">
        <v>780.17600000000004</v>
      </c>
      <c r="CN48" s="188">
        <v>972.17600000000004</v>
      </c>
      <c r="CO48" s="188">
        <v>1041.55</v>
      </c>
      <c r="CP48" s="188">
        <v>1116.952</v>
      </c>
      <c r="CQ48" s="188">
        <v>1116.952</v>
      </c>
    </row>
    <row r="49" spans="1:95" ht="58.5" thickTop="1" thickBot="1" x14ac:dyDescent="0.4">
      <c r="A49" s="184">
        <f t="shared" si="5"/>
        <v>36</v>
      </c>
      <c r="B49" s="174" t="s">
        <v>150</v>
      </c>
      <c r="C49" s="175" t="s">
        <v>158</v>
      </c>
      <c r="D49" s="211" t="s">
        <v>162</v>
      </c>
      <c r="E49" s="187" t="s">
        <v>153</v>
      </c>
      <c r="F49" s="176" t="s">
        <v>154</v>
      </c>
      <c r="G49" s="185">
        <f t="shared" si="4"/>
        <v>0.83042000068683663</v>
      </c>
      <c r="H49" s="180" t="s">
        <v>101</v>
      </c>
      <c r="I49" s="180" t="s">
        <v>101</v>
      </c>
      <c r="J49" s="180" t="s">
        <v>101</v>
      </c>
      <c r="K49" s="180" t="s">
        <v>101</v>
      </c>
      <c r="L49" s="180" t="s">
        <v>101</v>
      </c>
      <c r="M49" s="180" t="s">
        <v>101</v>
      </c>
      <c r="N49" s="180" t="s">
        <v>101</v>
      </c>
      <c r="O49" s="180" t="s">
        <v>101</v>
      </c>
      <c r="P49" s="180" t="s">
        <v>101</v>
      </c>
      <c r="Q49" s="180" t="s">
        <v>101</v>
      </c>
      <c r="R49" s="180" t="s">
        <v>101</v>
      </c>
      <c r="S49" s="179">
        <v>20.89</v>
      </c>
      <c r="T49" s="179">
        <v>21.59</v>
      </c>
      <c r="U49" s="179">
        <v>22.98</v>
      </c>
      <c r="V49" s="179">
        <v>22.98</v>
      </c>
      <c r="W49" s="179">
        <v>23.89</v>
      </c>
      <c r="X49" s="179">
        <v>23.47</v>
      </c>
      <c r="Y49" s="181">
        <v>24.85</v>
      </c>
      <c r="Z49" s="181">
        <v>28.7</v>
      </c>
      <c r="AA49" s="179">
        <v>31.33</v>
      </c>
      <c r="AB49" s="181">
        <v>38.066000000000003</v>
      </c>
      <c r="AC49" s="179">
        <v>38.86</v>
      </c>
      <c r="AD49" s="181">
        <v>40.1</v>
      </c>
      <c r="AE49" s="181">
        <v>41.32</v>
      </c>
      <c r="AF49" s="181">
        <v>41.228000000000002</v>
      </c>
      <c r="AG49" s="181">
        <v>40.299999999999997</v>
      </c>
      <c r="AH49" s="181">
        <v>43.564</v>
      </c>
      <c r="AI49" s="181">
        <v>46.683999999999997</v>
      </c>
      <c r="AJ49" s="181">
        <v>46.776000000000003</v>
      </c>
      <c r="AK49" s="181">
        <v>49.32</v>
      </c>
      <c r="AL49" s="181">
        <v>48.838000000000001</v>
      </c>
      <c r="AM49" s="181">
        <v>45.817</v>
      </c>
      <c r="AN49" s="181">
        <v>50.795999999999999</v>
      </c>
      <c r="AO49" s="181">
        <v>53.414999999999999</v>
      </c>
      <c r="AP49" s="181">
        <v>59.43</v>
      </c>
      <c r="AQ49" s="181">
        <v>61.79</v>
      </c>
      <c r="AR49" s="181">
        <v>61.79</v>
      </c>
      <c r="AS49" s="181">
        <v>61.79</v>
      </c>
      <c r="AT49" s="181">
        <v>61.79</v>
      </c>
      <c r="AU49" s="181">
        <v>61.79</v>
      </c>
      <c r="AV49" s="181">
        <v>61.79</v>
      </c>
      <c r="AW49" s="181">
        <v>61.79</v>
      </c>
      <c r="AX49" s="181">
        <v>61.79</v>
      </c>
      <c r="AY49" s="181">
        <v>65.150000000000006</v>
      </c>
      <c r="AZ49" s="181">
        <v>67.98</v>
      </c>
      <c r="BA49" s="181">
        <v>70.12</v>
      </c>
      <c r="BB49" s="181">
        <v>72.400000000000006</v>
      </c>
      <c r="BC49" s="181">
        <v>76.099999999999994</v>
      </c>
      <c r="BD49" s="181">
        <v>83.99</v>
      </c>
      <c r="BE49" s="181">
        <v>85.75</v>
      </c>
      <c r="BF49" s="188">
        <v>91.6</v>
      </c>
      <c r="BG49" s="188">
        <v>97.1</v>
      </c>
      <c r="BH49" s="188">
        <v>102.25</v>
      </c>
      <c r="BI49" s="188">
        <v>102.25</v>
      </c>
      <c r="BJ49" s="188">
        <v>102.25</v>
      </c>
      <c r="BK49" s="188">
        <v>102.4</v>
      </c>
      <c r="BL49" s="188">
        <v>102.25</v>
      </c>
      <c r="BM49" s="188">
        <v>102.25</v>
      </c>
      <c r="BN49" s="188">
        <v>102.25</v>
      </c>
      <c r="BO49" s="188">
        <v>102.25</v>
      </c>
      <c r="BP49" s="188">
        <v>116.476</v>
      </c>
      <c r="BQ49" s="188">
        <v>115.05</v>
      </c>
      <c r="BR49" s="188">
        <v>131.19999999999999</v>
      </c>
      <c r="BS49" s="188">
        <v>131.19999999999999</v>
      </c>
      <c r="BT49" s="188">
        <v>149.4</v>
      </c>
      <c r="BU49" s="188">
        <v>170.5</v>
      </c>
      <c r="BV49" s="188">
        <v>171.8</v>
      </c>
      <c r="BW49" s="188">
        <v>180.5</v>
      </c>
      <c r="BX49" s="188">
        <v>171.375</v>
      </c>
      <c r="BY49" s="188">
        <v>197.55</v>
      </c>
      <c r="BZ49" s="188">
        <v>213.2</v>
      </c>
      <c r="CA49" s="188">
        <v>226.8</v>
      </c>
      <c r="CB49" s="188">
        <v>241.6</v>
      </c>
      <c r="CC49" s="188">
        <v>255.6</v>
      </c>
      <c r="CD49" s="188">
        <v>269</v>
      </c>
      <c r="CE49" s="188">
        <v>280.60000000000002</v>
      </c>
      <c r="CF49" s="188">
        <v>293.5</v>
      </c>
      <c r="CG49" s="188">
        <v>302.25</v>
      </c>
      <c r="CH49" s="188">
        <v>323</v>
      </c>
      <c r="CI49" s="188">
        <v>371.5</v>
      </c>
      <c r="CJ49" s="188">
        <v>376.2</v>
      </c>
      <c r="CK49" s="188">
        <v>389.6</v>
      </c>
      <c r="CL49" s="188">
        <v>470</v>
      </c>
      <c r="CM49" s="188">
        <v>778.5</v>
      </c>
      <c r="CN49" s="188">
        <v>976.5</v>
      </c>
      <c r="CO49" s="188">
        <v>1028</v>
      </c>
      <c r="CP49" s="188">
        <v>1105.5</v>
      </c>
      <c r="CQ49" s="188">
        <v>1105.5</v>
      </c>
    </row>
    <row r="50" spans="1:95" ht="58.5" thickTop="1" thickBot="1" x14ac:dyDescent="0.4">
      <c r="A50" s="184">
        <f t="shared" si="5"/>
        <v>37</v>
      </c>
      <c r="B50" s="174" t="s">
        <v>150</v>
      </c>
      <c r="C50" s="175" t="s">
        <v>151</v>
      </c>
      <c r="D50" s="211" t="s">
        <v>163</v>
      </c>
      <c r="E50" s="187" t="s">
        <v>153</v>
      </c>
      <c r="F50" s="176" t="s">
        <v>154</v>
      </c>
      <c r="G50" s="185">
        <f t="shared" si="4"/>
        <v>0.99488193921125345</v>
      </c>
      <c r="H50" s="180" t="s">
        <v>101</v>
      </c>
      <c r="I50" s="180" t="s">
        <v>101</v>
      </c>
      <c r="J50" s="180" t="s">
        <v>101</v>
      </c>
      <c r="K50" s="180" t="s">
        <v>101</v>
      </c>
      <c r="L50" s="180" t="s">
        <v>101</v>
      </c>
      <c r="M50" s="180" t="s">
        <v>101</v>
      </c>
      <c r="N50" s="180" t="s">
        <v>101</v>
      </c>
      <c r="O50" s="180" t="s">
        <v>101</v>
      </c>
      <c r="P50" s="180" t="s">
        <v>101</v>
      </c>
      <c r="Q50" s="180" t="s">
        <v>101</v>
      </c>
      <c r="R50" s="180" t="s">
        <v>101</v>
      </c>
      <c r="S50" s="179">
        <v>21.24</v>
      </c>
      <c r="T50" s="179">
        <v>22.17</v>
      </c>
      <c r="U50" s="179">
        <v>23.51</v>
      </c>
      <c r="V50" s="179">
        <v>23.51</v>
      </c>
      <c r="W50" s="181">
        <v>24.6</v>
      </c>
      <c r="X50" s="179">
        <v>24.48</v>
      </c>
      <c r="Y50" s="179">
        <v>25.41</v>
      </c>
      <c r="Z50" s="181">
        <v>27.47</v>
      </c>
      <c r="AA50" s="179">
        <v>29.56</v>
      </c>
      <c r="AB50" s="181">
        <v>35.442999999999998</v>
      </c>
      <c r="AC50" s="179">
        <v>35.57</v>
      </c>
      <c r="AD50" s="179">
        <v>36.99</v>
      </c>
      <c r="AE50" s="181">
        <v>38.159999999999997</v>
      </c>
      <c r="AF50" s="181">
        <v>38.155999999999999</v>
      </c>
      <c r="AG50" s="181">
        <v>38.847000000000001</v>
      </c>
      <c r="AH50" s="181">
        <v>41.249000000000002</v>
      </c>
      <c r="AI50" s="181">
        <v>43.439</v>
      </c>
      <c r="AJ50" s="181">
        <v>43.94</v>
      </c>
      <c r="AK50" s="181">
        <v>44.542999999999999</v>
      </c>
      <c r="AL50" s="181">
        <v>45.323</v>
      </c>
      <c r="AM50" s="181">
        <v>45.290999999999997</v>
      </c>
      <c r="AN50" s="181">
        <v>46.786999999999999</v>
      </c>
      <c r="AO50" s="181">
        <v>47.161000000000001</v>
      </c>
      <c r="AP50" s="181">
        <v>51.558999999999997</v>
      </c>
      <c r="AQ50" s="181">
        <v>54.91</v>
      </c>
      <c r="AR50" s="181">
        <v>54.887</v>
      </c>
      <c r="AS50" s="181">
        <v>54.906999999999996</v>
      </c>
      <c r="AT50" s="181">
        <v>54.906999999999996</v>
      </c>
      <c r="AU50" s="181">
        <v>54.906999999999996</v>
      </c>
      <c r="AV50" s="181">
        <v>54.906999999999996</v>
      </c>
      <c r="AW50" s="181">
        <v>54.906999999999996</v>
      </c>
      <c r="AX50" s="181">
        <v>55.195</v>
      </c>
      <c r="AY50" s="181">
        <v>57.593000000000004</v>
      </c>
      <c r="AZ50" s="181">
        <v>59.902999999999999</v>
      </c>
      <c r="BA50" s="181">
        <v>62.335999999999999</v>
      </c>
      <c r="BB50" s="181">
        <v>63.026000000000003</v>
      </c>
      <c r="BC50" s="181">
        <v>67.894999999999996</v>
      </c>
      <c r="BD50" s="181">
        <v>74.745000000000005</v>
      </c>
      <c r="BE50" s="181">
        <v>78.787000000000006</v>
      </c>
      <c r="BF50" s="188">
        <v>85.143000000000001</v>
      </c>
      <c r="BG50" s="188">
        <v>91.843000000000004</v>
      </c>
      <c r="BH50" s="188">
        <v>95.07</v>
      </c>
      <c r="BI50" s="188">
        <v>96.837999999999994</v>
      </c>
      <c r="BJ50" s="188">
        <v>96.171999999999997</v>
      </c>
      <c r="BK50" s="188">
        <v>95.924000000000007</v>
      </c>
      <c r="BL50" s="188">
        <v>96.46</v>
      </c>
      <c r="BM50" s="188">
        <v>95.867000000000004</v>
      </c>
      <c r="BN50" s="188">
        <v>95.781000000000006</v>
      </c>
      <c r="BO50" s="188">
        <v>95.760999999999996</v>
      </c>
      <c r="BP50" s="188">
        <v>95.543999999999997</v>
      </c>
      <c r="BQ50" s="188">
        <v>104.05500000000001</v>
      </c>
      <c r="BR50" s="188">
        <v>116.39700000000001</v>
      </c>
      <c r="BS50" s="188">
        <v>119.035</v>
      </c>
      <c r="BT50" s="188">
        <v>135.358</v>
      </c>
      <c r="BU50" s="188">
        <v>156.33000000000001</v>
      </c>
      <c r="BV50" s="188">
        <v>158.14500000000001</v>
      </c>
      <c r="BW50" s="188">
        <v>166.59</v>
      </c>
      <c r="BX50" s="188">
        <v>169.01900000000001</v>
      </c>
      <c r="BY50" s="188">
        <v>177.374</v>
      </c>
      <c r="BZ50" s="188">
        <v>190.59899999999999</v>
      </c>
      <c r="CA50" s="188">
        <v>199.98</v>
      </c>
      <c r="CB50" s="188">
        <v>208.88300000000001</v>
      </c>
      <c r="CC50" s="188">
        <v>218.87200000000001</v>
      </c>
      <c r="CD50" s="188">
        <v>225.29900000000001</v>
      </c>
      <c r="CE50" s="188">
        <v>240.93700000000001</v>
      </c>
      <c r="CF50" s="188">
        <v>253.10900000000001</v>
      </c>
      <c r="CG50" s="188">
        <v>266.017</v>
      </c>
      <c r="CH50" s="188">
        <v>278.86399999999998</v>
      </c>
      <c r="CI50" s="188">
        <v>333.02</v>
      </c>
      <c r="CJ50" s="188">
        <v>337.98</v>
      </c>
      <c r="CK50" s="188">
        <v>359.83</v>
      </c>
      <c r="CL50" s="188">
        <v>422.33</v>
      </c>
      <c r="CM50" s="188">
        <v>727.3</v>
      </c>
      <c r="CN50" s="188">
        <v>868.5</v>
      </c>
      <c r="CO50" s="188">
        <v>916</v>
      </c>
      <c r="CP50" s="188">
        <v>971.44399999999996</v>
      </c>
      <c r="CQ50" s="188">
        <v>971.44399999999996</v>
      </c>
    </row>
    <row r="51" spans="1:95" ht="58.5" thickTop="1" thickBot="1" x14ac:dyDescent="0.4">
      <c r="A51" s="184">
        <f t="shared" si="5"/>
        <v>38</v>
      </c>
      <c r="B51" s="174" t="s">
        <v>150</v>
      </c>
      <c r="C51" s="175" t="s">
        <v>158</v>
      </c>
      <c r="D51" s="211" t="s">
        <v>164</v>
      </c>
      <c r="E51" s="187" t="s">
        <v>153</v>
      </c>
      <c r="F51" s="176" t="s">
        <v>154</v>
      </c>
      <c r="G51" s="185">
        <f t="shared" si="4"/>
        <v>1.1041829832680667</v>
      </c>
      <c r="H51" s="180" t="s">
        <v>101</v>
      </c>
      <c r="I51" s="180" t="s">
        <v>101</v>
      </c>
      <c r="J51" s="180" t="s">
        <v>101</v>
      </c>
      <c r="K51" s="180" t="s">
        <v>101</v>
      </c>
      <c r="L51" s="180" t="s">
        <v>101</v>
      </c>
      <c r="M51" s="180" t="s">
        <v>101</v>
      </c>
      <c r="N51" s="180" t="s">
        <v>101</v>
      </c>
      <c r="O51" s="179">
        <v>22.37</v>
      </c>
      <c r="P51" s="179">
        <v>22.38</v>
      </c>
      <c r="Q51" s="179">
        <v>24.61</v>
      </c>
      <c r="R51" s="179">
        <v>24.83</v>
      </c>
      <c r="S51" s="179">
        <v>26.34</v>
      </c>
      <c r="T51" s="181">
        <v>27.5</v>
      </c>
      <c r="U51" s="181">
        <v>28.5</v>
      </c>
      <c r="V51" s="181">
        <v>28.5</v>
      </c>
      <c r="W51" s="179">
        <v>29.37</v>
      </c>
      <c r="X51" s="179">
        <v>29.85</v>
      </c>
      <c r="Y51" s="179">
        <v>30.83</v>
      </c>
      <c r="Z51" s="179">
        <v>34.090000000000003</v>
      </c>
      <c r="AA51" s="179">
        <v>36.89</v>
      </c>
      <c r="AB51" s="181">
        <v>41.496000000000002</v>
      </c>
      <c r="AC51" s="179">
        <v>43.07</v>
      </c>
      <c r="AD51" s="179">
        <v>44.39</v>
      </c>
      <c r="AE51" s="181">
        <v>45.814</v>
      </c>
      <c r="AF51" s="181">
        <v>45.121000000000002</v>
      </c>
      <c r="AG51" s="181">
        <v>45.932000000000002</v>
      </c>
      <c r="AH51" s="181">
        <v>48.517000000000003</v>
      </c>
      <c r="AI51" s="181">
        <v>51.628</v>
      </c>
      <c r="AJ51" s="181">
        <v>51.46</v>
      </c>
      <c r="AK51" s="181">
        <v>51.89</v>
      </c>
      <c r="AL51" s="181">
        <v>53.088999999999999</v>
      </c>
      <c r="AM51" s="181">
        <v>52.972000000000001</v>
      </c>
      <c r="AN51" s="181">
        <v>54.631</v>
      </c>
      <c r="AO51" s="181">
        <v>55.11</v>
      </c>
      <c r="AP51" s="181">
        <v>60.362000000000002</v>
      </c>
      <c r="AQ51" s="181">
        <v>64.307000000000002</v>
      </c>
      <c r="AR51" s="181">
        <v>64.254999999999995</v>
      </c>
      <c r="AS51" s="181">
        <v>64.277000000000001</v>
      </c>
      <c r="AT51" s="181">
        <v>64.277000000000001</v>
      </c>
      <c r="AU51" s="181">
        <v>64.277000000000001</v>
      </c>
      <c r="AV51" s="181">
        <v>64.23</v>
      </c>
      <c r="AW51" s="181">
        <v>64.277000000000001</v>
      </c>
      <c r="AX51" s="181">
        <v>64.983000000000004</v>
      </c>
      <c r="AY51" s="181">
        <v>67.748000000000005</v>
      </c>
      <c r="AZ51" s="181">
        <v>71.126000000000005</v>
      </c>
      <c r="BA51" s="181">
        <v>73.978999999999999</v>
      </c>
      <c r="BB51" s="181">
        <v>76.373999999999995</v>
      </c>
      <c r="BC51" s="181">
        <v>80.625</v>
      </c>
      <c r="BD51" s="181">
        <v>89.224999999999994</v>
      </c>
      <c r="BE51" s="181">
        <v>92.786000000000001</v>
      </c>
      <c r="BF51" s="188">
        <v>100.43300000000001</v>
      </c>
      <c r="BG51" s="188">
        <v>107.325</v>
      </c>
      <c r="BH51" s="188">
        <v>111.13</v>
      </c>
      <c r="BI51" s="188">
        <v>112.143</v>
      </c>
      <c r="BJ51" s="188">
        <v>112.72499999999999</v>
      </c>
      <c r="BK51" s="188">
        <v>112.532</v>
      </c>
      <c r="BL51" s="188">
        <v>112.794</v>
      </c>
      <c r="BM51" s="188">
        <v>112.65</v>
      </c>
      <c r="BN51" s="188">
        <v>112.65</v>
      </c>
      <c r="BO51" s="188">
        <v>112.479</v>
      </c>
      <c r="BP51" s="188">
        <v>112.36</v>
      </c>
      <c r="BQ51" s="188">
        <v>126.48</v>
      </c>
      <c r="BR51" s="188">
        <v>144.04400000000001</v>
      </c>
      <c r="BS51" s="188">
        <v>142.79499999999999</v>
      </c>
      <c r="BT51" s="188">
        <v>173.61600000000001</v>
      </c>
      <c r="BU51" s="188">
        <v>195.511</v>
      </c>
      <c r="BV51" s="188">
        <v>194.57400000000001</v>
      </c>
      <c r="BW51" s="188">
        <v>206.143</v>
      </c>
      <c r="BX51" s="188">
        <v>206.126</v>
      </c>
      <c r="BY51" s="188">
        <v>220.083</v>
      </c>
      <c r="BZ51" s="188">
        <v>236.42599999999999</v>
      </c>
      <c r="CA51" s="188">
        <v>251.03700000000001</v>
      </c>
      <c r="CB51" s="188">
        <v>266.27699999999999</v>
      </c>
      <c r="CC51" s="188">
        <v>280.58499999999998</v>
      </c>
      <c r="CD51" s="188">
        <v>286.637</v>
      </c>
      <c r="CE51" s="188">
        <v>296.06400000000002</v>
      </c>
      <c r="CF51" s="188">
        <v>309.82900000000001</v>
      </c>
      <c r="CG51" s="188">
        <v>318.40699999999998</v>
      </c>
      <c r="CH51" s="188">
        <v>332.596</v>
      </c>
      <c r="CI51" s="188">
        <v>394.245</v>
      </c>
      <c r="CJ51" s="188">
        <v>400.11799999999999</v>
      </c>
      <c r="CK51" s="188">
        <v>425.98200000000003</v>
      </c>
      <c r="CL51" s="188">
        <v>502.63600000000002</v>
      </c>
      <c r="CM51" s="188">
        <v>809.80899999999997</v>
      </c>
      <c r="CN51" s="188">
        <v>998</v>
      </c>
      <c r="CO51" s="188">
        <v>1062</v>
      </c>
      <c r="CP51" s="188">
        <v>1153</v>
      </c>
      <c r="CQ51" s="188">
        <v>1153</v>
      </c>
    </row>
    <row r="52" spans="1:95" ht="58.5" thickTop="1" thickBot="1" x14ac:dyDescent="0.4">
      <c r="A52" s="184">
        <f t="shared" si="5"/>
        <v>39</v>
      </c>
      <c r="B52" s="174" t="s">
        <v>150</v>
      </c>
      <c r="C52" s="175" t="s">
        <v>151</v>
      </c>
      <c r="D52" s="211" t="s">
        <v>165</v>
      </c>
      <c r="E52" s="187" t="s">
        <v>153</v>
      </c>
      <c r="F52" s="176" t="s">
        <v>154</v>
      </c>
      <c r="G52" s="185">
        <f t="shared" si="4"/>
        <v>0.8222565687789799</v>
      </c>
      <c r="H52" s="180" t="s">
        <v>101</v>
      </c>
      <c r="I52" s="180" t="s">
        <v>101</v>
      </c>
      <c r="J52" s="180" t="s">
        <v>101</v>
      </c>
      <c r="K52" s="180" t="s">
        <v>101</v>
      </c>
      <c r="L52" s="180" t="s">
        <v>101</v>
      </c>
      <c r="M52" s="181">
        <v>15.14</v>
      </c>
      <c r="N52" s="181">
        <v>15.99</v>
      </c>
      <c r="O52" s="181">
        <v>15.99</v>
      </c>
      <c r="P52" s="181">
        <v>15.99</v>
      </c>
      <c r="Q52" s="181">
        <v>17.53</v>
      </c>
      <c r="R52" s="181">
        <v>17.53</v>
      </c>
      <c r="S52" s="181">
        <v>18.760000000000002</v>
      </c>
      <c r="T52" s="181">
        <v>19.68</v>
      </c>
      <c r="U52" s="181">
        <v>20.57</v>
      </c>
      <c r="V52" s="181">
        <v>20.57</v>
      </c>
      <c r="W52" s="181">
        <v>21.29</v>
      </c>
      <c r="X52" s="181">
        <v>21.29</v>
      </c>
      <c r="Y52" s="181">
        <v>22.25</v>
      </c>
      <c r="Z52" s="181">
        <v>24.51</v>
      </c>
      <c r="AA52" s="181">
        <v>26.59</v>
      </c>
      <c r="AB52" s="181">
        <v>29.96</v>
      </c>
      <c r="AC52" s="181">
        <v>33.08</v>
      </c>
      <c r="AD52" s="181">
        <v>36.68</v>
      </c>
      <c r="AE52" s="181">
        <v>36.68</v>
      </c>
      <c r="AF52" s="181">
        <v>40.11</v>
      </c>
      <c r="AG52" s="181">
        <v>40.11</v>
      </c>
      <c r="AH52" s="181">
        <v>40.11</v>
      </c>
      <c r="AI52" s="181">
        <v>45.66</v>
      </c>
      <c r="AJ52" s="181">
        <v>45.66</v>
      </c>
      <c r="AK52" s="181">
        <v>45.66</v>
      </c>
      <c r="AL52" s="181">
        <v>53.27</v>
      </c>
      <c r="AM52" s="181">
        <v>53.27</v>
      </c>
      <c r="AN52" s="181">
        <v>53.27</v>
      </c>
      <c r="AO52" s="181">
        <v>67.44</v>
      </c>
      <c r="AP52" s="181">
        <v>68</v>
      </c>
      <c r="AQ52" s="181">
        <v>71.34</v>
      </c>
      <c r="AR52" s="181">
        <v>71.34</v>
      </c>
      <c r="AS52" s="181">
        <v>71.34</v>
      </c>
      <c r="AT52" s="181">
        <v>71.34</v>
      </c>
      <c r="AU52" s="181">
        <v>71.34</v>
      </c>
      <c r="AV52" s="181">
        <v>71.34</v>
      </c>
      <c r="AW52" s="181">
        <v>71.34</v>
      </c>
      <c r="AX52" s="181">
        <v>71.34</v>
      </c>
      <c r="AY52" s="181">
        <v>73.77</v>
      </c>
      <c r="AZ52" s="181">
        <v>76.56</v>
      </c>
      <c r="BA52" s="181">
        <v>79.09</v>
      </c>
      <c r="BB52" s="181">
        <v>79.09</v>
      </c>
      <c r="BC52" s="181">
        <v>83.42</v>
      </c>
      <c r="BD52" s="181">
        <v>89.12</v>
      </c>
      <c r="BE52" s="181">
        <v>89.76</v>
      </c>
      <c r="BF52" s="188">
        <v>100.4</v>
      </c>
      <c r="BG52" s="188">
        <v>107.4</v>
      </c>
      <c r="BH52" s="188">
        <v>112.8</v>
      </c>
      <c r="BI52" s="188">
        <v>112.8</v>
      </c>
      <c r="BJ52" s="188">
        <v>112.8</v>
      </c>
      <c r="BK52" s="188">
        <v>113.9</v>
      </c>
      <c r="BL52" s="188">
        <v>118.2</v>
      </c>
      <c r="BM52" s="188">
        <v>125.2</v>
      </c>
      <c r="BN52" s="188">
        <v>127.8</v>
      </c>
      <c r="BO52" s="188">
        <v>127.8</v>
      </c>
      <c r="BP52" s="188">
        <v>129.4</v>
      </c>
      <c r="BQ52" s="188">
        <v>142.6</v>
      </c>
      <c r="BR52" s="188">
        <v>165.8</v>
      </c>
      <c r="BS52" s="188">
        <v>177.4</v>
      </c>
      <c r="BT52" s="188">
        <v>198.7</v>
      </c>
      <c r="BU52" s="188">
        <v>222.3</v>
      </c>
      <c r="BV52" s="188">
        <v>222.3</v>
      </c>
      <c r="BW52" s="188">
        <v>222.3</v>
      </c>
      <c r="BX52" s="188">
        <v>222.3</v>
      </c>
      <c r="BY52" s="188">
        <v>224.4</v>
      </c>
      <c r="BZ52" s="188">
        <v>235.8</v>
      </c>
      <c r="CA52" s="188">
        <v>245.2</v>
      </c>
      <c r="CB52" s="188">
        <v>258.89999999999998</v>
      </c>
      <c r="CC52" s="188">
        <v>277.10000000000002</v>
      </c>
      <c r="CD52" s="188">
        <v>292.3</v>
      </c>
      <c r="CE52" s="188">
        <v>304.10000000000002</v>
      </c>
      <c r="CF52" s="188">
        <v>317.39999999999998</v>
      </c>
      <c r="CG52" s="188">
        <v>333.3</v>
      </c>
      <c r="CH52" s="188">
        <v>351.7</v>
      </c>
      <c r="CI52" s="188">
        <v>506.6</v>
      </c>
      <c r="CJ52" s="188">
        <v>526.20000000000005</v>
      </c>
      <c r="CK52" s="188">
        <v>598.20000000000005</v>
      </c>
      <c r="CL52" s="188">
        <v>598.20000000000005</v>
      </c>
      <c r="CM52" s="188">
        <v>1129</v>
      </c>
      <c r="CN52" s="188">
        <v>1129</v>
      </c>
      <c r="CO52" s="188">
        <v>1192</v>
      </c>
      <c r="CP52" s="188">
        <v>1273</v>
      </c>
      <c r="CQ52" s="188">
        <v>1273</v>
      </c>
    </row>
    <row r="53" spans="1:95" ht="58.5" thickTop="1" thickBot="1" x14ac:dyDescent="0.4">
      <c r="A53" s="184">
        <f t="shared" si="5"/>
        <v>40</v>
      </c>
      <c r="B53" s="174" t="s">
        <v>150</v>
      </c>
      <c r="C53" s="175" t="s">
        <v>158</v>
      </c>
      <c r="D53" s="211" t="s">
        <v>166</v>
      </c>
      <c r="E53" s="187" t="s">
        <v>153</v>
      </c>
      <c r="F53" s="176" t="s">
        <v>154</v>
      </c>
      <c r="G53" s="185">
        <f t="shared" si="4"/>
        <v>0.88326869466236813</v>
      </c>
      <c r="H53" s="180" t="s">
        <v>101</v>
      </c>
      <c r="I53" s="180" t="s">
        <v>101</v>
      </c>
      <c r="J53" s="180" t="s">
        <v>101</v>
      </c>
      <c r="K53" s="180" t="s">
        <v>101</v>
      </c>
      <c r="L53" s="180" t="s">
        <v>101</v>
      </c>
      <c r="M53" s="181">
        <v>16.27</v>
      </c>
      <c r="N53" s="181">
        <v>17.25</v>
      </c>
      <c r="O53" s="181">
        <v>17.25</v>
      </c>
      <c r="P53" s="181">
        <v>17.25</v>
      </c>
      <c r="Q53" s="181">
        <v>18.96</v>
      </c>
      <c r="R53" s="181">
        <v>18.96</v>
      </c>
      <c r="S53" s="181">
        <v>20.29</v>
      </c>
      <c r="T53" s="181">
        <v>21.38</v>
      </c>
      <c r="U53" s="181">
        <v>22.34</v>
      </c>
      <c r="V53" s="181">
        <v>22.34</v>
      </c>
      <c r="W53" s="181">
        <v>23.12</v>
      </c>
      <c r="X53" s="181">
        <v>23.12</v>
      </c>
      <c r="Y53" s="181">
        <v>24.16</v>
      </c>
      <c r="Z53" s="181">
        <v>27.9</v>
      </c>
      <c r="AA53" s="181">
        <v>30.55</v>
      </c>
      <c r="AB53" s="181">
        <v>34.22</v>
      </c>
      <c r="AC53" s="181">
        <v>37.78</v>
      </c>
      <c r="AD53" s="181">
        <v>39.96</v>
      </c>
      <c r="AE53" s="181">
        <v>39.96</v>
      </c>
      <c r="AF53" s="181">
        <v>41.51</v>
      </c>
      <c r="AG53" s="181">
        <v>41.51</v>
      </c>
      <c r="AH53" s="181">
        <v>41.89</v>
      </c>
      <c r="AI53" s="181">
        <v>49.3</v>
      </c>
      <c r="AJ53" s="181">
        <v>49.3</v>
      </c>
      <c r="AK53" s="181">
        <v>49.82</v>
      </c>
      <c r="AL53" s="181">
        <v>58.12</v>
      </c>
      <c r="AM53" s="181">
        <v>58.12</v>
      </c>
      <c r="AN53" s="181">
        <v>58.12</v>
      </c>
      <c r="AO53" s="181">
        <v>69.28</v>
      </c>
      <c r="AP53" s="181">
        <v>69.89</v>
      </c>
      <c r="AQ53" s="181">
        <v>72.8</v>
      </c>
      <c r="AR53" s="181">
        <v>72.8</v>
      </c>
      <c r="AS53" s="181">
        <v>72.8</v>
      </c>
      <c r="AT53" s="181">
        <v>72.8</v>
      </c>
      <c r="AU53" s="181">
        <v>72.8</v>
      </c>
      <c r="AV53" s="181">
        <v>72.8</v>
      </c>
      <c r="AW53" s="181">
        <v>72.8</v>
      </c>
      <c r="AX53" s="181">
        <v>72.8</v>
      </c>
      <c r="AY53" s="181">
        <v>75.28</v>
      </c>
      <c r="AZ53" s="181">
        <v>78.13</v>
      </c>
      <c r="BA53" s="181">
        <v>80.98</v>
      </c>
      <c r="BB53" s="181">
        <v>80.98</v>
      </c>
      <c r="BC53" s="181">
        <v>88.91</v>
      </c>
      <c r="BD53" s="181">
        <v>95.14</v>
      </c>
      <c r="BE53" s="181">
        <v>95.81</v>
      </c>
      <c r="BF53" s="188">
        <v>107.1</v>
      </c>
      <c r="BG53" s="188">
        <v>114.4</v>
      </c>
      <c r="BH53" s="188" t="s">
        <v>167</v>
      </c>
      <c r="BI53" s="188">
        <v>120.1</v>
      </c>
      <c r="BJ53" s="188">
        <v>120.1</v>
      </c>
      <c r="BK53" s="188">
        <v>123.8</v>
      </c>
      <c r="BL53" s="188">
        <v>128.4</v>
      </c>
      <c r="BM53" s="188">
        <v>136.1</v>
      </c>
      <c r="BN53" s="188">
        <v>145.1</v>
      </c>
      <c r="BO53" s="188">
        <v>145.1</v>
      </c>
      <c r="BP53" s="188">
        <v>146.71299999999999</v>
      </c>
      <c r="BQ53" s="188">
        <v>161.4</v>
      </c>
      <c r="BR53" s="188">
        <v>195.7</v>
      </c>
      <c r="BS53" s="188">
        <v>199.4</v>
      </c>
      <c r="BT53" s="188">
        <v>222.8</v>
      </c>
      <c r="BU53" s="188">
        <v>261.60000000000002</v>
      </c>
      <c r="BV53" s="188">
        <v>261.60000000000002</v>
      </c>
      <c r="BW53" s="188">
        <v>261.60000000000002</v>
      </c>
      <c r="BX53" s="188">
        <v>261.60000000000002</v>
      </c>
      <c r="BY53" s="188">
        <v>263.7</v>
      </c>
      <c r="BZ53" s="188">
        <v>276.3</v>
      </c>
      <c r="CA53" s="188">
        <v>282.10000000000002</v>
      </c>
      <c r="CB53" s="188">
        <v>315.10000000000002</v>
      </c>
      <c r="CC53" s="188">
        <v>337.4</v>
      </c>
      <c r="CD53" s="188">
        <v>351.9</v>
      </c>
      <c r="CE53" s="188">
        <v>366.1</v>
      </c>
      <c r="CF53" s="188">
        <v>366.1</v>
      </c>
      <c r="CG53" s="188">
        <v>378.4</v>
      </c>
      <c r="CH53" s="188">
        <v>399.4</v>
      </c>
      <c r="CI53" s="188">
        <v>575.79999999999995</v>
      </c>
      <c r="CJ53" s="188">
        <v>598.1</v>
      </c>
      <c r="CK53" s="188">
        <v>697.9</v>
      </c>
      <c r="CL53" s="188">
        <v>697.9</v>
      </c>
      <c r="CM53" s="188">
        <v>1317</v>
      </c>
      <c r="CN53" s="188">
        <v>1317</v>
      </c>
      <c r="CO53" s="188">
        <v>1340</v>
      </c>
      <c r="CP53" s="188">
        <v>1420</v>
      </c>
      <c r="CQ53" s="188">
        <v>1420</v>
      </c>
    </row>
    <row r="54" spans="1:95" ht="24" thickTop="1" thickBot="1" x14ac:dyDescent="0.4">
      <c r="A54" s="184">
        <f t="shared" si="5"/>
        <v>41</v>
      </c>
      <c r="B54" s="174" t="s">
        <v>168</v>
      </c>
      <c r="C54" s="175" t="s">
        <v>169</v>
      </c>
      <c r="D54" s="175" t="s">
        <v>309</v>
      </c>
      <c r="E54" s="187" t="s">
        <v>170</v>
      </c>
      <c r="F54" s="176" t="s">
        <v>171</v>
      </c>
      <c r="G54" s="185">
        <f t="shared" si="4"/>
        <v>0.87423459177657925</v>
      </c>
      <c r="H54" s="287">
        <v>19.760000000000002</v>
      </c>
      <c r="I54" s="287">
        <v>20.059999999999999</v>
      </c>
      <c r="J54" s="287">
        <v>19.5</v>
      </c>
      <c r="K54" s="287">
        <v>19.239999999999998</v>
      </c>
      <c r="L54" s="287">
        <v>19.63</v>
      </c>
      <c r="M54" s="287">
        <v>19.8</v>
      </c>
      <c r="N54" s="287">
        <v>20.16</v>
      </c>
      <c r="O54" s="287">
        <v>20.8</v>
      </c>
      <c r="P54" s="287">
        <v>21.32</v>
      </c>
      <c r="Q54" s="287">
        <v>21.64</v>
      </c>
      <c r="R54" s="287">
        <v>22.59</v>
      </c>
      <c r="S54" s="287">
        <v>23.27</v>
      </c>
      <c r="T54" s="287">
        <v>22.96</v>
      </c>
      <c r="U54" s="287">
        <v>22.78</v>
      </c>
      <c r="V54" s="287">
        <v>22.81</v>
      </c>
      <c r="W54" s="287">
        <v>23</v>
      </c>
      <c r="X54" s="287">
        <v>28.2</v>
      </c>
      <c r="Y54" s="188">
        <v>30.57</v>
      </c>
      <c r="Z54" s="188">
        <v>34.520000000000003</v>
      </c>
      <c r="AA54" s="179">
        <v>35.17</v>
      </c>
      <c r="AB54" s="179">
        <v>41.86</v>
      </c>
      <c r="AC54" s="179">
        <v>50.49</v>
      </c>
      <c r="AD54" s="179">
        <v>51.36</v>
      </c>
      <c r="AE54" s="179">
        <v>48.63</v>
      </c>
      <c r="AF54" s="179">
        <v>45.81</v>
      </c>
      <c r="AG54" s="179">
        <v>37.58</v>
      </c>
      <c r="AH54" s="179">
        <v>41.67</v>
      </c>
      <c r="AI54" s="179">
        <v>48.71</v>
      </c>
      <c r="AJ54" s="179">
        <v>52.59</v>
      </c>
      <c r="AK54" s="179">
        <v>50.89</v>
      </c>
      <c r="AL54" s="179">
        <v>48.625</v>
      </c>
      <c r="AM54" s="188">
        <v>55.44</v>
      </c>
      <c r="AN54" s="188">
        <v>59.95</v>
      </c>
      <c r="AO54" s="188">
        <v>55.12</v>
      </c>
      <c r="AP54" s="188">
        <v>45.99</v>
      </c>
      <c r="AQ54" s="188">
        <v>41.95</v>
      </c>
      <c r="AR54" s="188">
        <v>36.15</v>
      </c>
      <c r="AS54" s="188">
        <v>33.590000000000003</v>
      </c>
      <c r="AT54" s="188">
        <v>29.57</v>
      </c>
      <c r="AU54" s="188">
        <v>19.98</v>
      </c>
      <c r="AV54" s="188">
        <v>23.4375</v>
      </c>
      <c r="AW54" s="188">
        <v>29.535699999999999</v>
      </c>
      <c r="AX54" s="188">
        <v>29.532699999999998</v>
      </c>
      <c r="AY54" s="188">
        <v>29.653099999999998</v>
      </c>
      <c r="AZ54" s="188">
        <v>29.744299999999999</v>
      </c>
      <c r="BA54" s="188">
        <v>30.696400000000001</v>
      </c>
      <c r="BB54" s="188">
        <v>32.9407</v>
      </c>
      <c r="BC54" s="188">
        <v>34.215299999999999</v>
      </c>
      <c r="BD54" s="188">
        <v>34.121899999999997</v>
      </c>
      <c r="BE54" s="188">
        <v>34.1</v>
      </c>
      <c r="BF54" s="188">
        <v>34.07</v>
      </c>
      <c r="BG54" s="188">
        <v>34.096899999999998</v>
      </c>
      <c r="BH54" s="188">
        <v>34.119999999999997</v>
      </c>
      <c r="BI54" s="188">
        <v>34.119</v>
      </c>
      <c r="BJ54" s="188">
        <v>34.131</v>
      </c>
      <c r="BK54" s="188">
        <v>34.157699999999998</v>
      </c>
      <c r="BL54" s="188">
        <v>34.159100000000002</v>
      </c>
      <c r="BM54" s="188">
        <v>34.141399999999997</v>
      </c>
      <c r="BN54" s="188">
        <v>34.175600000000003</v>
      </c>
      <c r="BO54" s="188">
        <v>34.196399999999997</v>
      </c>
      <c r="BP54" s="188">
        <v>36.925600000000003</v>
      </c>
      <c r="BQ54" s="188">
        <v>38.315800000000003</v>
      </c>
      <c r="BR54" s="188">
        <v>40.542000000000002</v>
      </c>
      <c r="BS54" s="188">
        <v>43.273000000000003</v>
      </c>
      <c r="BT54" s="188">
        <v>45.52</v>
      </c>
      <c r="BU54" s="188">
        <v>48.206249999999997</v>
      </c>
      <c r="BV54" s="188">
        <v>50.84375</v>
      </c>
      <c r="BW54" s="188">
        <v>60.488636363636367</v>
      </c>
      <c r="BX54" s="188">
        <v>66.488095238095241</v>
      </c>
      <c r="BY54" s="188">
        <v>69.0625</v>
      </c>
      <c r="BZ54" s="188">
        <v>69.20723684210526</v>
      </c>
      <c r="CA54" s="188">
        <v>69.3</v>
      </c>
      <c r="CB54" s="188">
        <v>69.434399999999997</v>
      </c>
      <c r="CC54" s="188">
        <v>75</v>
      </c>
      <c r="CD54" s="188">
        <v>70.98</v>
      </c>
      <c r="CE54" s="188">
        <v>74.236111111111114</v>
      </c>
      <c r="CF54" s="188">
        <v>90.046899999999994</v>
      </c>
      <c r="CG54" s="188">
        <v>92.44</v>
      </c>
      <c r="CH54" s="188">
        <v>97</v>
      </c>
      <c r="CI54" s="188">
        <v>104.017</v>
      </c>
      <c r="CJ54" s="188">
        <v>113.735119</v>
      </c>
      <c r="CK54" s="188">
        <v>122.08125</v>
      </c>
      <c r="CL54" s="188">
        <v>133</v>
      </c>
      <c r="CM54" s="188">
        <v>121.1710526</v>
      </c>
      <c r="CN54" s="188">
        <v>109.16759999999999</v>
      </c>
      <c r="CO54" s="188">
        <v>108.89</v>
      </c>
      <c r="CP54" s="188">
        <v>85.414400000000001</v>
      </c>
      <c r="CQ54" s="188">
        <v>85.414400000000001</v>
      </c>
    </row>
    <row r="55" spans="1:95" ht="24" thickTop="1" thickBot="1" x14ac:dyDescent="0.4">
      <c r="A55" s="184">
        <f t="shared" si="5"/>
        <v>42</v>
      </c>
      <c r="B55" s="174" t="s">
        <v>172</v>
      </c>
      <c r="C55" s="175" t="s">
        <v>173</v>
      </c>
      <c r="D55" s="210" t="s">
        <v>174</v>
      </c>
      <c r="E55" s="187" t="s">
        <v>110</v>
      </c>
      <c r="F55" s="176"/>
      <c r="G55" s="185">
        <f t="shared" si="4"/>
        <v>0.771373357860899</v>
      </c>
      <c r="H55" s="287">
        <v>106.34</v>
      </c>
      <c r="I55" s="287">
        <v>107.69</v>
      </c>
      <c r="J55" s="287">
        <v>109.26</v>
      </c>
      <c r="K55" s="287">
        <v>112.93</v>
      </c>
      <c r="L55" s="287">
        <v>115.18</v>
      </c>
      <c r="M55" s="287">
        <v>117.23</v>
      </c>
      <c r="N55" s="287">
        <v>122.8</v>
      </c>
      <c r="O55" s="287">
        <v>124.55</v>
      </c>
      <c r="P55" s="287">
        <v>126</v>
      </c>
      <c r="Q55" s="287">
        <v>128.22999999999999</v>
      </c>
      <c r="R55" s="287">
        <v>130.04</v>
      </c>
      <c r="S55" s="287">
        <v>131.01</v>
      </c>
      <c r="T55" s="287">
        <v>133.25</v>
      </c>
      <c r="U55" s="287">
        <v>134.31</v>
      </c>
      <c r="V55" s="287">
        <v>136.22999999999999</v>
      </c>
      <c r="W55" s="287">
        <v>141.01</v>
      </c>
      <c r="X55" s="287">
        <v>144.47</v>
      </c>
      <c r="Y55" s="188">
        <v>146.47</v>
      </c>
      <c r="Z55" s="188">
        <v>149.94</v>
      </c>
      <c r="AA55" s="179">
        <v>154.19999999999999</v>
      </c>
      <c r="AB55" s="188">
        <v>157.82</v>
      </c>
      <c r="AC55" s="188">
        <v>163.86</v>
      </c>
      <c r="AD55" s="188">
        <v>168.06</v>
      </c>
      <c r="AE55" s="188">
        <v>170.85</v>
      </c>
      <c r="AF55" s="188">
        <v>176.91</v>
      </c>
      <c r="AG55" s="188">
        <v>181.76</v>
      </c>
      <c r="AH55" s="188">
        <v>188.26</v>
      </c>
      <c r="AI55" s="188">
        <v>193.47</v>
      </c>
      <c r="AJ55" s="188">
        <v>201.66</v>
      </c>
      <c r="AK55" s="188">
        <v>206.99</v>
      </c>
      <c r="AL55" s="188">
        <v>215.86</v>
      </c>
      <c r="AM55" s="188">
        <v>221.87</v>
      </c>
      <c r="AN55" s="188">
        <v>227.72</v>
      </c>
      <c r="AO55" s="188">
        <v>236.31</v>
      </c>
      <c r="AP55" s="188">
        <v>242.85</v>
      </c>
      <c r="AQ55" s="188">
        <v>246.54</v>
      </c>
      <c r="AR55" s="188">
        <v>267.60000000000002</v>
      </c>
      <c r="AS55" s="188">
        <v>279.97000000000003</v>
      </c>
      <c r="AT55" s="188">
        <v>286.39999999999998</v>
      </c>
      <c r="AU55" s="188">
        <v>285.74</v>
      </c>
      <c r="AV55" s="188">
        <v>285.06</v>
      </c>
      <c r="AW55" s="188">
        <v>285.44</v>
      </c>
      <c r="AX55" s="188">
        <v>289.19</v>
      </c>
      <c r="AY55" s="188">
        <v>295.13</v>
      </c>
      <c r="AZ55" s="188">
        <v>301.54000000000002</v>
      </c>
      <c r="BA55" s="188">
        <v>317.7</v>
      </c>
      <c r="BB55" s="188">
        <v>326</v>
      </c>
      <c r="BC55" s="188">
        <v>331.3</v>
      </c>
      <c r="BD55" s="188">
        <v>344.61</v>
      </c>
      <c r="BE55" s="188">
        <v>362.33</v>
      </c>
      <c r="BF55" s="188">
        <v>376.68</v>
      </c>
      <c r="BG55" s="188">
        <v>394.54</v>
      </c>
      <c r="BH55" s="188">
        <v>408.38</v>
      </c>
      <c r="BI55" s="188">
        <v>415.55</v>
      </c>
      <c r="BJ55" s="188">
        <v>437</v>
      </c>
      <c r="BK55" s="188">
        <v>451.64</v>
      </c>
      <c r="BL55" s="188">
        <v>467.91</v>
      </c>
      <c r="BM55" s="188">
        <v>485.29</v>
      </c>
      <c r="BN55" s="188">
        <v>507</v>
      </c>
      <c r="BO55" s="188">
        <v>514.34</v>
      </c>
      <c r="BP55" s="188">
        <v>538.16999999999996</v>
      </c>
      <c r="BQ55" s="188">
        <v>559.01</v>
      </c>
      <c r="BR55" s="188">
        <v>589.30999999999995</v>
      </c>
      <c r="BS55" s="188">
        <v>622.29</v>
      </c>
      <c r="BT55" s="188">
        <v>665.66</v>
      </c>
      <c r="BU55" s="188">
        <v>699.36</v>
      </c>
      <c r="BV55" s="188">
        <v>737.01</v>
      </c>
      <c r="BW55" s="188">
        <v>797.04</v>
      </c>
      <c r="BX55" s="188">
        <v>843.4</v>
      </c>
      <c r="BY55" s="188">
        <v>888.1</v>
      </c>
      <c r="BZ55" s="188">
        <v>953.3</v>
      </c>
      <c r="CA55" s="188">
        <v>996.6</v>
      </c>
      <c r="CB55" s="188">
        <v>1042.4000000000001</v>
      </c>
      <c r="CC55" s="188">
        <v>1114.31</v>
      </c>
      <c r="CD55" s="188">
        <v>1202.08</v>
      </c>
      <c r="CE55" s="188">
        <v>1284.57</v>
      </c>
      <c r="CF55" s="188">
        <v>1389.2</v>
      </c>
      <c r="CG55" s="188">
        <v>1468.5</v>
      </c>
      <c r="CH55" s="188">
        <v>1626.81</v>
      </c>
      <c r="CI55" s="188" t="s">
        <v>175</v>
      </c>
      <c r="CJ55" s="188">
        <v>1995.58</v>
      </c>
      <c r="CK55" s="188" t="s">
        <v>175</v>
      </c>
      <c r="CL55" s="188">
        <v>2385.6</v>
      </c>
      <c r="CM55" s="188">
        <v>2648.9</v>
      </c>
      <c r="CN55" s="188" t="s">
        <v>175</v>
      </c>
      <c r="CO55" s="188" t="s">
        <v>175</v>
      </c>
      <c r="CP55" s="188" t="s">
        <v>175</v>
      </c>
      <c r="CQ55" s="188" t="s">
        <v>175</v>
      </c>
    </row>
    <row r="56" spans="1:95" ht="24" thickTop="1" thickBot="1" x14ac:dyDescent="0.4">
      <c r="A56" s="184">
        <f t="shared" si="5"/>
        <v>43</v>
      </c>
      <c r="B56" s="174" t="s">
        <v>172</v>
      </c>
      <c r="C56" s="175" t="s">
        <v>173</v>
      </c>
      <c r="D56" s="175" t="s">
        <v>176</v>
      </c>
      <c r="E56" s="187" t="s">
        <v>110</v>
      </c>
      <c r="F56" s="176"/>
      <c r="G56" s="185">
        <f t="shared" si="4"/>
        <v>0.77433421901304178</v>
      </c>
      <c r="H56" s="287">
        <v>102.68</v>
      </c>
      <c r="I56" s="287">
        <v>103.08</v>
      </c>
      <c r="J56" s="287">
        <v>107.24</v>
      </c>
      <c r="K56" s="287">
        <v>110.81</v>
      </c>
      <c r="L56" s="287">
        <v>112.28</v>
      </c>
      <c r="M56" s="287">
        <v>115.3</v>
      </c>
      <c r="N56" s="287">
        <v>118.49</v>
      </c>
      <c r="O56" s="287">
        <v>121.54</v>
      </c>
      <c r="P56" s="287">
        <v>123.89</v>
      </c>
      <c r="Q56" s="287">
        <v>126.03</v>
      </c>
      <c r="R56" s="287">
        <v>127.32</v>
      </c>
      <c r="S56" s="287">
        <v>127.94</v>
      </c>
      <c r="T56" s="287">
        <v>128.44999999999999</v>
      </c>
      <c r="U56" s="287">
        <v>129.32</v>
      </c>
      <c r="V56" s="287">
        <v>132.97</v>
      </c>
      <c r="W56" s="287">
        <v>135.01</v>
      </c>
      <c r="X56" s="287">
        <v>137.16</v>
      </c>
      <c r="Y56" s="188">
        <v>138.97</v>
      </c>
      <c r="Z56" s="188">
        <v>143.01</v>
      </c>
      <c r="AA56" s="179">
        <v>147.26</v>
      </c>
      <c r="AB56" s="188">
        <v>152.41</v>
      </c>
      <c r="AC56" s="188">
        <v>159.53</v>
      </c>
      <c r="AD56" s="188">
        <v>162.69</v>
      </c>
      <c r="AE56" s="188">
        <v>166.66</v>
      </c>
      <c r="AF56" s="188">
        <v>170.98</v>
      </c>
      <c r="AG56" s="188">
        <v>175.37</v>
      </c>
      <c r="AH56" s="188">
        <v>184.99</v>
      </c>
      <c r="AI56" s="188">
        <v>188.65</v>
      </c>
      <c r="AJ56" s="188">
        <v>193.23</v>
      </c>
      <c r="AK56" s="188">
        <v>197.23</v>
      </c>
      <c r="AL56" s="188">
        <v>209.52</v>
      </c>
      <c r="AM56" s="188">
        <v>213.21</v>
      </c>
      <c r="AN56" s="188">
        <v>220.8</v>
      </c>
      <c r="AO56" s="188">
        <v>227.45</v>
      </c>
      <c r="AP56" s="188">
        <v>231.39</v>
      </c>
      <c r="AQ56" s="188">
        <v>238.13</v>
      </c>
      <c r="AR56" s="188">
        <v>244.59</v>
      </c>
      <c r="AS56" s="188">
        <v>251.57</v>
      </c>
      <c r="AT56" s="188">
        <v>262.08</v>
      </c>
      <c r="AU56" s="188">
        <v>263.54000000000002</v>
      </c>
      <c r="AV56" s="188">
        <v>264.92</v>
      </c>
      <c r="AW56" s="188">
        <v>267.19</v>
      </c>
      <c r="AX56" s="188">
        <v>270.14</v>
      </c>
      <c r="AY56" s="188">
        <v>272.2</v>
      </c>
      <c r="AZ56" s="188">
        <v>280.93</v>
      </c>
      <c r="BA56" s="188">
        <v>289.7</v>
      </c>
      <c r="BB56" s="188">
        <v>294.89999999999998</v>
      </c>
      <c r="BC56" s="188">
        <v>302</v>
      </c>
      <c r="BD56" s="188">
        <v>309.32</v>
      </c>
      <c r="BE56" s="188">
        <v>321.14</v>
      </c>
      <c r="BF56" s="188">
        <v>345.37</v>
      </c>
      <c r="BG56" s="188">
        <v>350.74</v>
      </c>
      <c r="BH56" s="188">
        <v>360.83</v>
      </c>
      <c r="BI56" s="188">
        <v>375.32</v>
      </c>
      <c r="BJ56" s="188">
        <v>397.93</v>
      </c>
      <c r="BK56" s="188">
        <v>410.82</v>
      </c>
      <c r="BL56" s="188">
        <v>438.07</v>
      </c>
      <c r="BM56" s="188">
        <v>454.12</v>
      </c>
      <c r="BN56" s="188">
        <v>466.54</v>
      </c>
      <c r="BO56" s="188">
        <v>479.05</v>
      </c>
      <c r="BP56" s="188">
        <v>493.03</v>
      </c>
      <c r="BQ56" s="188">
        <v>504.7</v>
      </c>
      <c r="BR56" s="188">
        <v>565.82000000000005</v>
      </c>
      <c r="BS56" s="188">
        <v>580.87</v>
      </c>
      <c r="BT56" s="188">
        <v>619.44000000000005</v>
      </c>
      <c r="BU56" s="188">
        <v>647.9</v>
      </c>
      <c r="BV56" s="188">
        <v>695.34</v>
      </c>
      <c r="BW56" s="188">
        <v>724.84</v>
      </c>
      <c r="BX56" s="188">
        <v>780.81</v>
      </c>
      <c r="BY56" s="188">
        <v>827.5</v>
      </c>
      <c r="BZ56" s="188">
        <v>874.8</v>
      </c>
      <c r="CA56" s="188">
        <v>955</v>
      </c>
      <c r="CB56" s="188">
        <v>992.3</v>
      </c>
      <c r="CC56" s="188">
        <v>1030.47</v>
      </c>
      <c r="CD56" s="188">
        <v>1198.55</v>
      </c>
      <c r="CE56" s="188">
        <v>1247.3900000000001</v>
      </c>
      <c r="CF56" s="188">
        <v>1353.1</v>
      </c>
      <c r="CG56" s="188">
        <v>1434.5</v>
      </c>
      <c r="CH56" s="188">
        <v>1625.5</v>
      </c>
      <c r="CI56" s="188" t="s">
        <v>175</v>
      </c>
      <c r="CJ56" s="188">
        <v>1912</v>
      </c>
      <c r="CK56" s="188" t="s">
        <v>175</v>
      </c>
      <c r="CL56" s="188">
        <v>2250.3000000000002</v>
      </c>
      <c r="CM56" s="188">
        <v>2374</v>
      </c>
      <c r="CN56" s="188" t="s">
        <v>175</v>
      </c>
      <c r="CO56" s="188" t="s">
        <v>175</v>
      </c>
      <c r="CP56" s="188" t="s">
        <v>175</v>
      </c>
      <c r="CQ56" s="188" t="s">
        <v>175</v>
      </c>
    </row>
    <row r="57" spans="1:95" ht="24" thickTop="1" thickBot="1" x14ac:dyDescent="0.4">
      <c r="A57" s="184">
        <f t="shared" si="5"/>
        <v>44</v>
      </c>
      <c r="B57" s="174" t="s">
        <v>172</v>
      </c>
      <c r="C57" s="175" t="s">
        <v>173</v>
      </c>
      <c r="D57" s="175" t="s">
        <v>177</v>
      </c>
      <c r="E57" s="187" t="s">
        <v>110</v>
      </c>
      <c r="F57" s="176"/>
      <c r="G57" s="185">
        <f t="shared" si="4"/>
        <v>0.77249184730481502</v>
      </c>
      <c r="H57" s="287">
        <v>104.98</v>
      </c>
      <c r="I57" s="287">
        <v>105.97</v>
      </c>
      <c r="J57" s="287">
        <v>108.5</v>
      </c>
      <c r="K57" s="287">
        <v>112.14</v>
      </c>
      <c r="L57" s="287">
        <v>114.09</v>
      </c>
      <c r="M57" s="287">
        <v>116.51</v>
      </c>
      <c r="N57" s="287">
        <v>121.19</v>
      </c>
      <c r="O57" s="287">
        <v>123.43</v>
      </c>
      <c r="P57" s="287">
        <v>125.21</v>
      </c>
      <c r="Q57" s="287">
        <v>127.4</v>
      </c>
      <c r="R57" s="287">
        <v>129.03</v>
      </c>
      <c r="S57" s="287">
        <v>129.86000000000001</v>
      </c>
      <c r="T57" s="287">
        <v>131.46</v>
      </c>
      <c r="U57" s="287">
        <v>132.44</v>
      </c>
      <c r="V57" s="287">
        <v>135.01</v>
      </c>
      <c r="W57" s="287">
        <v>138.77000000000001</v>
      </c>
      <c r="X57" s="287">
        <v>141.74</v>
      </c>
      <c r="Y57" s="188">
        <v>143.66999999999999</v>
      </c>
      <c r="Z57" s="188">
        <v>147.36000000000001</v>
      </c>
      <c r="AA57" s="179">
        <v>151.61000000000001</v>
      </c>
      <c r="AB57" s="188">
        <v>155.80000000000001</v>
      </c>
      <c r="AC57" s="188">
        <v>162.24</v>
      </c>
      <c r="AD57" s="188">
        <v>166.05</v>
      </c>
      <c r="AE57" s="188">
        <v>169.29</v>
      </c>
      <c r="AF57" s="188">
        <v>174.7</v>
      </c>
      <c r="AG57" s="188">
        <v>179.37</v>
      </c>
      <c r="AH57" s="188">
        <v>187.04</v>
      </c>
      <c r="AI57" s="188">
        <v>191.67</v>
      </c>
      <c r="AJ57" s="188">
        <v>198.51</v>
      </c>
      <c r="AK57" s="188">
        <v>203.34</v>
      </c>
      <c r="AL57" s="188">
        <v>213.49</v>
      </c>
      <c r="AM57" s="188">
        <v>218.63</v>
      </c>
      <c r="AN57" s="188">
        <v>225.13</v>
      </c>
      <c r="AO57" s="188">
        <v>233</v>
      </c>
      <c r="AP57" s="188">
        <v>238.57</v>
      </c>
      <c r="AQ57" s="188">
        <v>243.4</v>
      </c>
      <c r="AR57" s="188">
        <v>259.01</v>
      </c>
      <c r="AS57" s="188">
        <v>269.36</v>
      </c>
      <c r="AT57" s="188">
        <v>277.31</v>
      </c>
      <c r="AU57" s="188">
        <v>277.45</v>
      </c>
      <c r="AV57" s="188">
        <v>277.54000000000002</v>
      </c>
      <c r="AW57" s="188">
        <v>278.62</v>
      </c>
      <c r="AX57" s="188">
        <v>282.07</v>
      </c>
      <c r="AY57" s="188">
        <v>286.56</v>
      </c>
      <c r="AZ57" s="188">
        <v>293.83999999999997</v>
      </c>
      <c r="BA57" s="188">
        <v>307.2</v>
      </c>
      <c r="BB57" s="188">
        <v>314.39999999999998</v>
      </c>
      <c r="BC57" s="188">
        <v>320.3</v>
      </c>
      <c r="BD57" s="188">
        <v>331.43</v>
      </c>
      <c r="BE57" s="188">
        <v>346.94</v>
      </c>
      <c r="BF57" s="188">
        <v>364.98</v>
      </c>
      <c r="BG57" s="188">
        <v>378.18</v>
      </c>
      <c r="BH57" s="188">
        <v>390.62</v>
      </c>
      <c r="BI57" s="188">
        <v>400.52</v>
      </c>
      <c r="BJ57" s="188">
        <v>422.41</v>
      </c>
      <c r="BK57" s="188">
        <v>436.4</v>
      </c>
      <c r="BL57" s="188">
        <v>456.77</v>
      </c>
      <c r="BM57" s="188">
        <v>473.54</v>
      </c>
      <c r="BN57" s="188">
        <v>491.89</v>
      </c>
      <c r="BO57" s="188">
        <v>501.16</v>
      </c>
      <c r="BP57" s="188">
        <v>521.29999999999995</v>
      </c>
      <c r="BQ57" s="188">
        <v>538.72</v>
      </c>
      <c r="BR57" s="188">
        <v>580.53</v>
      </c>
      <c r="BS57" s="188">
        <v>606.82000000000005</v>
      </c>
      <c r="BT57" s="188">
        <v>648.39</v>
      </c>
      <c r="BU57" s="188">
        <v>680.14</v>
      </c>
      <c r="BV57" s="188">
        <v>721.44</v>
      </c>
      <c r="BW57" s="188">
        <v>770.07</v>
      </c>
      <c r="BX57" s="188">
        <v>820.02</v>
      </c>
      <c r="BY57" s="188">
        <v>865.5</v>
      </c>
      <c r="BZ57" s="188">
        <v>924</v>
      </c>
      <c r="CA57" s="188">
        <v>981.1</v>
      </c>
      <c r="CB57" s="188">
        <v>1023.66</v>
      </c>
      <c r="CC57" s="188">
        <v>1082.99</v>
      </c>
      <c r="CD57" s="188">
        <v>1200.76</v>
      </c>
      <c r="CE57" s="188">
        <v>1270.68</v>
      </c>
      <c r="CF57" s="188">
        <v>1375.7</v>
      </c>
      <c r="CG57" s="188">
        <v>1455.8</v>
      </c>
      <c r="CH57" s="188">
        <v>1626.3</v>
      </c>
      <c r="CI57" s="188" t="s">
        <v>175</v>
      </c>
      <c r="CJ57" s="188">
        <v>1964.3</v>
      </c>
      <c r="CK57" s="188" t="s">
        <v>175</v>
      </c>
      <c r="CL57" s="188">
        <v>2335</v>
      </c>
      <c r="CM57" s="188">
        <v>2546.1999999999998</v>
      </c>
      <c r="CN57" s="188" t="s">
        <v>175</v>
      </c>
      <c r="CO57" s="188" t="s">
        <v>175</v>
      </c>
      <c r="CP57" s="188" t="s">
        <v>175</v>
      </c>
      <c r="CQ57" s="188" t="s">
        <v>175</v>
      </c>
    </row>
    <row r="58" spans="1:95" ht="24" thickTop="1" thickBot="1" x14ac:dyDescent="0.4">
      <c r="A58" s="184">
        <f t="shared" si="5"/>
        <v>45</v>
      </c>
      <c r="B58" s="174" t="s">
        <v>172</v>
      </c>
      <c r="C58" s="175" t="s">
        <v>173</v>
      </c>
      <c r="D58" s="175" t="s">
        <v>178</v>
      </c>
      <c r="E58" s="187" t="s">
        <v>110</v>
      </c>
      <c r="F58" s="176"/>
      <c r="G58" s="185">
        <f t="shared" si="4"/>
        <v>0.60445595392240048</v>
      </c>
      <c r="H58" s="287">
        <v>102</v>
      </c>
      <c r="I58" s="287">
        <v>104.94</v>
      </c>
      <c r="J58" s="287">
        <v>110.08</v>
      </c>
      <c r="K58" s="287">
        <v>114.61</v>
      </c>
      <c r="L58" s="287">
        <v>115.79</v>
      </c>
      <c r="M58" s="287">
        <v>116.24</v>
      </c>
      <c r="N58" s="287">
        <v>120.74</v>
      </c>
      <c r="O58" s="287">
        <v>126.06</v>
      </c>
      <c r="P58" s="287">
        <v>127.7</v>
      </c>
      <c r="Q58" s="287">
        <v>128.5</v>
      </c>
      <c r="R58" s="287">
        <v>131.94999999999999</v>
      </c>
      <c r="S58" s="287">
        <v>135.71</v>
      </c>
      <c r="T58" s="287">
        <v>136.57</v>
      </c>
      <c r="U58" s="287">
        <v>138.19</v>
      </c>
      <c r="V58" s="287">
        <v>140.69999999999999</v>
      </c>
      <c r="W58" s="287">
        <v>144</v>
      </c>
      <c r="X58" s="287">
        <v>142.72999999999999</v>
      </c>
      <c r="Y58" s="188">
        <v>141.02000000000001</v>
      </c>
      <c r="Z58" s="188">
        <v>145.09</v>
      </c>
      <c r="AA58" s="179">
        <v>148.81</v>
      </c>
      <c r="AB58" s="188">
        <v>154.02000000000001</v>
      </c>
      <c r="AC58" s="188">
        <v>156.63</v>
      </c>
      <c r="AD58" s="188">
        <v>164.93</v>
      </c>
      <c r="AE58" s="188">
        <v>172.61</v>
      </c>
      <c r="AF58" s="188">
        <v>177.16</v>
      </c>
      <c r="AG58" s="188">
        <v>181.72</v>
      </c>
      <c r="AH58" s="188">
        <v>186.59</v>
      </c>
      <c r="AI58" s="188">
        <v>188.85</v>
      </c>
      <c r="AJ58" s="188">
        <v>188.44</v>
      </c>
      <c r="AK58" s="188">
        <v>188.78</v>
      </c>
      <c r="AL58" s="188">
        <v>195.49</v>
      </c>
      <c r="AM58" s="188">
        <v>200.52</v>
      </c>
      <c r="AN58" s="188">
        <v>203.25</v>
      </c>
      <c r="AO58" s="188">
        <v>207.5</v>
      </c>
      <c r="AP58" s="188">
        <v>212.21</v>
      </c>
      <c r="AQ58" s="188">
        <v>223.54</v>
      </c>
      <c r="AR58" s="188">
        <v>232.76</v>
      </c>
      <c r="AS58" s="188">
        <v>240.22</v>
      </c>
      <c r="AT58" s="188">
        <v>248.53</v>
      </c>
      <c r="AU58" s="188">
        <v>250.23</v>
      </c>
      <c r="AV58" s="188">
        <v>248.98</v>
      </c>
      <c r="AW58" s="188">
        <v>252.74</v>
      </c>
      <c r="AX58" s="188">
        <v>263.49</v>
      </c>
      <c r="AY58" s="188">
        <v>273.32</v>
      </c>
      <c r="AZ58" s="188">
        <v>279.69</v>
      </c>
      <c r="BA58" s="188">
        <v>285.7</v>
      </c>
      <c r="BB58" s="188">
        <v>307</v>
      </c>
      <c r="BC58" s="188">
        <v>310.8</v>
      </c>
      <c r="BD58" s="188">
        <v>318.42</v>
      </c>
      <c r="BE58" s="188">
        <v>327.43</v>
      </c>
      <c r="BF58" s="188">
        <v>341.36</v>
      </c>
      <c r="BG58" s="188">
        <v>346.34</v>
      </c>
      <c r="BH58" s="188">
        <v>349.47</v>
      </c>
      <c r="BI58" s="188">
        <v>353.54</v>
      </c>
      <c r="BJ58" s="188">
        <v>362.03</v>
      </c>
      <c r="BK58" s="188">
        <v>371.24</v>
      </c>
      <c r="BL58" s="188">
        <v>374.34</v>
      </c>
      <c r="BM58" s="188">
        <v>395.51</v>
      </c>
      <c r="BN58" s="188">
        <v>412.7</v>
      </c>
      <c r="BO58" s="188">
        <v>436.8</v>
      </c>
      <c r="BP58" s="188">
        <v>447.94</v>
      </c>
      <c r="BQ58" s="188">
        <v>457.6</v>
      </c>
      <c r="BR58" s="188">
        <v>483.35</v>
      </c>
      <c r="BS58" s="188">
        <v>517.48</v>
      </c>
      <c r="BT58" s="188">
        <v>534.16999999999996</v>
      </c>
      <c r="BU58" s="188">
        <v>558.71</v>
      </c>
      <c r="BV58" s="188">
        <v>575.30999999999995</v>
      </c>
      <c r="BW58" s="188">
        <v>606.44000000000005</v>
      </c>
      <c r="BX58" s="188">
        <v>654.74</v>
      </c>
      <c r="BY58" s="188">
        <v>675.2</v>
      </c>
      <c r="BZ58" s="188">
        <v>718.7</v>
      </c>
      <c r="CA58" s="188">
        <v>722.6</v>
      </c>
      <c r="CB58" s="188">
        <v>771.21</v>
      </c>
      <c r="CC58" s="188">
        <v>825.87</v>
      </c>
      <c r="CD58" s="188">
        <v>876.04</v>
      </c>
      <c r="CE58" s="188">
        <v>918.51</v>
      </c>
      <c r="CF58" s="188">
        <v>947.8</v>
      </c>
      <c r="CG58" s="188">
        <v>1018.9</v>
      </c>
      <c r="CH58" s="188">
        <v>1090.3</v>
      </c>
      <c r="CI58" s="188" t="s">
        <v>175</v>
      </c>
      <c r="CJ58" s="188">
        <v>1271.5999999999999</v>
      </c>
      <c r="CK58" s="188" t="s">
        <v>175</v>
      </c>
      <c r="CL58" s="188">
        <v>1445.3</v>
      </c>
      <c r="CM58" s="188">
        <v>1555.7</v>
      </c>
      <c r="CN58" s="188" t="s">
        <v>175</v>
      </c>
      <c r="CO58" s="188" t="s">
        <v>175</v>
      </c>
      <c r="CP58" s="188" t="s">
        <v>175</v>
      </c>
      <c r="CQ58" s="188" t="s">
        <v>175</v>
      </c>
    </row>
    <row r="59" spans="1:95" ht="24" thickTop="1" thickBot="1" x14ac:dyDescent="0.4">
      <c r="A59" s="184">
        <f t="shared" si="5"/>
        <v>46</v>
      </c>
      <c r="B59" s="174" t="s">
        <v>172</v>
      </c>
      <c r="C59" s="175" t="s">
        <v>173</v>
      </c>
      <c r="D59" s="175" t="s">
        <v>179</v>
      </c>
      <c r="E59" s="187" t="s">
        <v>110</v>
      </c>
      <c r="F59" s="176"/>
      <c r="G59" s="185">
        <f t="shared" si="4"/>
        <v>0.74291466014052265</v>
      </c>
      <c r="H59" s="287">
        <v>104.38</v>
      </c>
      <c r="I59" s="287">
        <v>105.76</v>
      </c>
      <c r="J59" s="287">
        <v>108.82</v>
      </c>
      <c r="K59" s="287">
        <v>112.63</v>
      </c>
      <c r="L59" s="287">
        <v>114.43</v>
      </c>
      <c r="M59" s="287">
        <v>116.45</v>
      </c>
      <c r="N59" s="287">
        <v>121.1</v>
      </c>
      <c r="O59" s="287">
        <v>123.95</v>
      </c>
      <c r="P59" s="287">
        <v>125.71</v>
      </c>
      <c r="Q59" s="287">
        <v>127.62</v>
      </c>
      <c r="R59" s="287">
        <v>129.61000000000001</v>
      </c>
      <c r="S59" s="287">
        <v>131.03</v>
      </c>
      <c r="T59" s="287">
        <v>132.47999999999999</v>
      </c>
      <c r="U59" s="287">
        <v>133.59</v>
      </c>
      <c r="V59" s="287">
        <v>136.13999999999999</v>
      </c>
      <c r="W59" s="287">
        <v>139.81</v>
      </c>
      <c r="X59" s="287">
        <v>141.93</v>
      </c>
      <c r="Y59" s="188">
        <v>143.13999999999999</v>
      </c>
      <c r="Z59" s="188">
        <v>146.9</v>
      </c>
      <c r="AA59" s="179">
        <v>151.05000000000001</v>
      </c>
      <c r="AB59" s="188">
        <v>155.44</v>
      </c>
      <c r="AC59" s="188">
        <v>161.12</v>
      </c>
      <c r="AD59" s="188">
        <v>165.83</v>
      </c>
      <c r="AE59" s="188">
        <v>169.94</v>
      </c>
      <c r="AF59" s="188">
        <v>175.19</v>
      </c>
      <c r="AG59" s="188">
        <v>179.84</v>
      </c>
      <c r="AH59" s="188">
        <v>186.94</v>
      </c>
      <c r="AI59" s="188">
        <v>191.11</v>
      </c>
      <c r="AJ59" s="188">
        <v>196.51</v>
      </c>
      <c r="AK59" s="188">
        <v>200.44</v>
      </c>
      <c r="AL59" s="188">
        <v>209.9</v>
      </c>
      <c r="AM59" s="188">
        <v>215.02</v>
      </c>
      <c r="AN59" s="188">
        <v>220.77</v>
      </c>
      <c r="AO59" s="188">
        <v>227.92</v>
      </c>
      <c r="AP59" s="188">
        <v>233.32</v>
      </c>
      <c r="AQ59" s="188">
        <v>239.44</v>
      </c>
      <c r="AR59" s="188">
        <v>253.78</v>
      </c>
      <c r="AS59" s="188">
        <v>263.55</v>
      </c>
      <c r="AT59" s="188">
        <v>271.58</v>
      </c>
      <c r="AU59" s="188">
        <v>272.02999999999997</v>
      </c>
      <c r="AV59" s="188">
        <v>271.83999999999997</v>
      </c>
      <c r="AW59" s="188">
        <v>273.47000000000003</v>
      </c>
      <c r="AX59" s="188">
        <v>278.37</v>
      </c>
      <c r="AY59" s="188">
        <v>283.92</v>
      </c>
      <c r="AZ59" s="188">
        <v>291.02</v>
      </c>
      <c r="BA59" s="188">
        <v>302.89999999999998</v>
      </c>
      <c r="BB59" s="188">
        <v>312.89999999999998</v>
      </c>
      <c r="BC59" s="188">
        <v>318.39999999999998</v>
      </c>
      <c r="BD59" s="188">
        <v>328.84</v>
      </c>
      <c r="BE59" s="188">
        <v>343.1</v>
      </c>
      <c r="BF59" s="188">
        <v>360.28</v>
      </c>
      <c r="BG59" s="188">
        <v>371.84</v>
      </c>
      <c r="BH59" s="188">
        <v>382.42</v>
      </c>
      <c r="BI59" s="188">
        <v>391.16</v>
      </c>
      <c r="BJ59" s="188">
        <v>410.37</v>
      </c>
      <c r="BK59" s="188">
        <v>423.41</v>
      </c>
      <c r="BL59" s="188">
        <v>440.34</v>
      </c>
      <c r="BM59" s="188">
        <v>458.07</v>
      </c>
      <c r="BN59" s="188">
        <v>476.11</v>
      </c>
      <c r="BO59" s="188">
        <v>488.33</v>
      </c>
      <c r="BP59" s="188">
        <v>506.68</v>
      </c>
      <c r="BQ59" s="188">
        <v>522.55999999999995</v>
      </c>
      <c r="BR59" s="188">
        <v>561.16</v>
      </c>
      <c r="BS59" s="188">
        <v>589.01</v>
      </c>
      <c r="BT59" s="188">
        <v>625.63</v>
      </c>
      <c r="BU59" s="188">
        <v>655.94</v>
      </c>
      <c r="BV59" s="188">
        <v>692.32</v>
      </c>
      <c r="BW59" s="188">
        <v>737.46</v>
      </c>
      <c r="BX59" s="188">
        <v>787.08</v>
      </c>
      <c r="BY59" s="188">
        <v>827.5</v>
      </c>
      <c r="BZ59" s="188">
        <v>883.1</v>
      </c>
      <c r="CA59" s="188">
        <v>929.6</v>
      </c>
      <c r="CB59" s="188">
        <v>973.34999999999991</v>
      </c>
      <c r="CC59" s="188">
        <v>1031.74</v>
      </c>
      <c r="CD59" s="188">
        <v>1136.04</v>
      </c>
      <c r="CE59" s="188">
        <v>1200.49</v>
      </c>
      <c r="CF59" s="188">
        <v>1290.5</v>
      </c>
      <c r="CG59" s="188">
        <v>1368.7</v>
      </c>
      <c r="CH59" s="188">
        <v>1519.5</v>
      </c>
      <c r="CI59" s="188" t="s">
        <v>175</v>
      </c>
      <c r="CJ59" s="188">
        <v>1826.3</v>
      </c>
      <c r="CK59" s="188" t="s">
        <v>175</v>
      </c>
      <c r="CL59" s="188">
        <v>2157.6999999999998</v>
      </c>
      <c r="CM59" s="188">
        <v>2348.8000000000002</v>
      </c>
      <c r="CN59" s="188" t="s">
        <v>175</v>
      </c>
      <c r="CO59" s="188" t="s">
        <v>175</v>
      </c>
      <c r="CP59" s="188" t="s">
        <v>175</v>
      </c>
      <c r="CQ59" s="188" t="s">
        <v>175</v>
      </c>
    </row>
    <row r="60" spans="1:95" ht="35.5" thickTop="1" thickBot="1" x14ac:dyDescent="0.4">
      <c r="A60" s="184">
        <f t="shared" si="5"/>
        <v>47</v>
      </c>
      <c r="B60" s="174" t="s">
        <v>180</v>
      </c>
      <c r="C60" s="175" t="s">
        <v>181</v>
      </c>
      <c r="D60" s="210" t="s">
        <v>181</v>
      </c>
      <c r="E60" s="187" t="s">
        <v>182</v>
      </c>
      <c r="F60" s="176" t="s">
        <v>101</v>
      </c>
      <c r="G60" s="185">
        <f t="shared" si="4"/>
        <v>6.4740714786265016E-2</v>
      </c>
      <c r="H60" s="181">
        <v>265.3</v>
      </c>
      <c r="I60" s="181">
        <v>265.39999999999998</v>
      </c>
      <c r="J60" s="181">
        <v>265.39999999999998</v>
      </c>
      <c r="K60" s="181">
        <v>265.5</v>
      </c>
      <c r="L60" s="181">
        <v>265.39999999999998</v>
      </c>
      <c r="M60" s="181">
        <v>265.39999999999998</v>
      </c>
      <c r="N60" s="181">
        <v>265.10000000000002</v>
      </c>
      <c r="O60" s="181">
        <v>265.10000000000002</v>
      </c>
      <c r="P60" s="181">
        <v>265</v>
      </c>
      <c r="Q60" s="181">
        <v>265.89999999999998</v>
      </c>
      <c r="R60" s="181">
        <v>265.8</v>
      </c>
      <c r="S60" s="181">
        <v>265.8</v>
      </c>
      <c r="T60" s="287">
        <v>267.39999999999998</v>
      </c>
      <c r="U60" s="287">
        <v>267.3</v>
      </c>
      <c r="V60" s="287">
        <v>267.5</v>
      </c>
      <c r="W60" s="287">
        <v>267.5</v>
      </c>
      <c r="X60" s="287">
        <v>267.5</v>
      </c>
      <c r="Y60" s="287">
        <v>267.3</v>
      </c>
      <c r="Z60" s="287">
        <v>267.39999999999998</v>
      </c>
      <c r="AA60" s="287">
        <v>268.5</v>
      </c>
      <c r="AB60" s="287">
        <v>269</v>
      </c>
      <c r="AC60" s="287">
        <v>269</v>
      </c>
      <c r="AD60" s="287">
        <v>269</v>
      </c>
      <c r="AE60" s="287">
        <v>268.89999999999998</v>
      </c>
      <c r="AF60" s="287">
        <v>269.3</v>
      </c>
      <c r="AG60" s="287">
        <v>272.10000000000002</v>
      </c>
      <c r="AH60" s="287">
        <v>272.10000000000002</v>
      </c>
      <c r="AI60" s="287">
        <v>272.10000000000002</v>
      </c>
      <c r="AJ60" s="287">
        <v>272.10000000000002</v>
      </c>
      <c r="AK60" s="287">
        <v>272.3</v>
      </c>
      <c r="AL60" s="287">
        <v>272.3</v>
      </c>
      <c r="AM60" s="287">
        <v>272.3</v>
      </c>
      <c r="AN60" s="287">
        <v>272.3</v>
      </c>
      <c r="AO60" s="287">
        <v>270</v>
      </c>
      <c r="AP60" s="287">
        <v>270</v>
      </c>
      <c r="AQ60" s="287">
        <v>270</v>
      </c>
      <c r="AR60" s="287">
        <v>268.8</v>
      </c>
      <c r="AS60" s="287">
        <v>268.89999999999998</v>
      </c>
      <c r="AT60" s="287">
        <v>268.89999999999998</v>
      </c>
      <c r="AU60" s="287">
        <v>269.5</v>
      </c>
      <c r="AV60" s="287">
        <v>269.5</v>
      </c>
      <c r="AW60" s="287">
        <v>269.5</v>
      </c>
      <c r="AX60" s="287">
        <v>269.3</v>
      </c>
      <c r="AY60" s="287">
        <v>269.5</v>
      </c>
      <c r="AZ60" s="287">
        <v>269.5</v>
      </c>
      <c r="BA60" s="181">
        <v>269.60000000000002</v>
      </c>
      <c r="BB60" s="287">
        <v>269.5</v>
      </c>
      <c r="BC60" s="181">
        <v>269.60000000000002</v>
      </c>
      <c r="BD60" s="287">
        <v>270.3</v>
      </c>
      <c r="BE60" s="287">
        <v>270.3</v>
      </c>
      <c r="BF60" s="287">
        <v>270.3</v>
      </c>
      <c r="BG60" s="287">
        <v>270.3</v>
      </c>
      <c r="BH60" s="287">
        <v>270.3</v>
      </c>
      <c r="BI60" s="287">
        <v>273.8</v>
      </c>
      <c r="BJ60" s="287">
        <v>273.8</v>
      </c>
      <c r="BK60" s="287">
        <v>275.10000000000002</v>
      </c>
      <c r="BL60" s="287">
        <v>274.5</v>
      </c>
      <c r="BM60" s="287">
        <v>276.3</v>
      </c>
      <c r="BN60" s="292">
        <v>278.2</v>
      </c>
      <c r="BO60" s="292">
        <v>278.10000000000002</v>
      </c>
      <c r="BP60" s="292">
        <v>285.39999999999998</v>
      </c>
      <c r="BQ60" s="292">
        <v>285.49200000000002</v>
      </c>
      <c r="BR60" s="292">
        <v>285.39999999999998</v>
      </c>
      <c r="BS60" s="188">
        <v>285.39999999999998</v>
      </c>
      <c r="BT60" s="188">
        <v>288.17700000000002</v>
      </c>
      <c r="BU60" s="188">
        <v>289.69499999999999</v>
      </c>
      <c r="BV60" s="188">
        <v>289.91699999999997</v>
      </c>
      <c r="BW60" s="188">
        <v>290.00700000000001</v>
      </c>
      <c r="BX60" s="188">
        <v>289.98599999999999</v>
      </c>
      <c r="BY60" s="188">
        <v>303.14400000000001</v>
      </c>
      <c r="BZ60" s="188">
        <v>303.87700000000001</v>
      </c>
      <c r="CA60" s="188">
        <v>303.64299999999997</v>
      </c>
      <c r="CB60" s="188">
        <v>306.40499999999997</v>
      </c>
      <c r="CC60" s="188">
        <v>306.69400000000002</v>
      </c>
      <c r="CD60" s="188">
        <v>306.779</v>
      </c>
      <c r="CE60" s="188">
        <v>308.154</v>
      </c>
      <c r="CF60" s="188">
        <v>308.363</v>
      </c>
      <c r="CG60" s="188">
        <v>308.94099999999997</v>
      </c>
      <c r="CH60" s="188">
        <v>308.96899999999999</v>
      </c>
      <c r="CI60" s="188">
        <v>309.23899999999998</v>
      </c>
      <c r="CJ60" s="188">
        <v>310.60399999999998</v>
      </c>
      <c r="CK60" s="188">
        <v>310.19299999999998</v>
      </c>
      <c r="CL60" s="188">
        <v>313.19499999999999</v>
      </c>
      <c r="CM60" s="188">
        <v>311.74200000000002</v>
      </c>
      <c r="CN60" s="188">
        <v>324.512</v>
      </c>
      <c r="CO60" s="188">
        <v>317.51799999999997</v>
      </c>
      <c r="CP60" s="188">
        <v>317.51600000000002</v>
      </c>
      <c r="CQ60" s="188">
        <v>317.51600000000002</v>
      </c>
    </row>
    <row r="61" spans="1:95" ht="24" thickTop="1" thickBot="1" x14ac:dyDescent="0.4">
      <c r="A61" s="184">
        <f t="shared" si="5"/>
        <v>48</v>
      </c>
      <c r="B61" s="174" t="s">
        <v>42</v>
      </c>
      <c r="C61" s="175" t="s">
        <v>183</v>
      </c>
      <c r="D61" s="351" t="s">
        <v>184</v>
      </c>
      <c r="E61" s="187" t="s">
        <v>185</v>
      </c>
      <c r="F61" s="176" t="s">
        <v>101</v>
      </c>
      <c r="G61" s="185">
        <f t="shared" si="4"/>
        <v>0.59283945915063807</v>
      </c>
      <c r="H61" s="181">
        <v>15.897</v>
      </c>
      <c r="I61" s="181">
        <v>15.48</v>
      </c>
      <c r="J61" s="181">
        <v>15.39</v>
      </c>
      <c r="K61" s="181">
        <v>15.4</v>
      </c>
      <c r="L61" s="181">
        <v>16.100000000000001</v>
      </c>
      <c r="M61" s="181">
        <v>16.63</v>
      </c>
      <c r="N61" s="181">
        <v>17.64</v>
      </c>
      <c r="O61" s="181">
        <v>17.309999999999999</v>
      </c>
      <c r="P61" s="181">
        <v>17.309999999999999</v>
      </c>
      <c r="Q61" s="181">
        <v>17.655000000000001</v>
      </c>
      <c r="R61" s="181">
        <v>17.3</v>
      </c>
      <c r="S61" s="181">
        <v>18.64</v>
      </c>
      <c r="T61" s="181">
        <v>19.649999999999999</v>
      </c>
      <c r="U61" s="181">
        <v>20.11</v>
      </c>
      <c r="V61" s="181">
        <v>20.14</v>
      </c>
      <c r="W61" s="181">
        <v>20.54</v>
      </c>
      <c r="X61" s="181">
        <v>24.96</v>
      </c>
      <c r="Y61" s="181">
        <v>28.85</v>
      </c>
      <c r="Z61" s="181">
        <v>27.41</v>
      </c>
      <c r="AA61" s="179">
        <v>36.85</v>
      </c>
      <c r="AB61" s="181">
        <v>39.6</v>
      </c>
      <c r="AC61" s="179">
        <v>35.950000000000003</v>
      </c>
      <c r="AD61" s="179">
        <v>37.72</v>
      </c>
      <c r="AE61" s="179">
        <v>37.700000000000003</v>
      </c>
      <c r="AF61" s="179">
        <v>37.35</v>
      </c>
      <c r="AG61" s="179">
        <v>39.15</v>
      </c>
      <c r="AH61" s="179">
        <v>43.35</v>
      </c>
      <c r="AI61" s="179">
        <v>44.15</v>
      </c>
      <c r="AJ61" s="179">
        <v>44.76</v>
      </c>
      <c r="AK61" s="181">
        <v>42.463000000000001</v>
      </c>
      <c r="AL61" s="181">
        <v>43.88</v>
      </c>
      <c r="AM61" s="181">
        <v>59.51</v>
      </c>
      <c r="AN61" s="181">
        <v>57.59</v>
      </c>
      <c r="AO61" s="181">
        <v>59.67</v>
      </c>
      <c r="AP61" s="181">
        <v>59.94</v>
      </c>
      <c r="AQ61" s="181">
        <v>59.89</v>
      </c>
      <c r="AR61" s="181">
        <v>60.35</v>
      </c>
      <c r="AS61" s="181">
        <v>62.21</v>
      </c>
      <c r="AT61" s="181">
        <v>64.468999999999994</v>
      </c>
      <c r="AU61" s="181">
        <v>66.84</v>
      </c>
      <c r="AV61" s="181">
        <v>68.540000000000006</v>
      </c>
      <c r="AW61" s="181">
        <v>70.459999999999994</v>
      </c>
      <c r="AX61" s="181">
        <v>72.319999999999993</v>
      </c>
      <c r="AY61" s="181">
        <v>74.180000000000007</v>
      </c>
      <c r="AZ61" s="181">
        <v>76.180000000000007</v>
      </c>
      <c r="BA61" s="181">
        <v>78.319999999999993</v>
      </c>
      <c r="BB61" s="181">
        <v>81.31</v>
      </c>
      <c r="BC61" s="181">
        <v>84.15</v>
      </c>
      <c r="BD61" s="181">
        <v>87.33</v>
      </c>
      <c r="BE61" s="181">
        <v>89.82</v>
      </c>
      <c r="BF61" s="188">
        <v>92</v>
      </c>
      <c r="BG61" s="188">
        <v>93.56</v>
      </c>
      <c r="BH61" s="188">
        <v>94.73</v>
      </c>
      <c r="BI61" s="188">
        <v>95.72</v>
      </c>
      <c r="BJ61" s="188">
        <v>96.69</v>
      </c>
      <c r="BK61" s="188">
        <v>97.74</v>
      </c>
      <c r="BL61" s="188">
        <v>98.74</v>
      </c>
      <c r="BM61" s="188">
        <v>99.72</v>
      </c>
      <c r="BN61" s="188">
        <v>100.96</v>
      </c>
      <c r="BO61" s="188">
        <v>102.72</v>
      </c>
      <c r="BP61" s="188">
        <v>105.02</v>
      </c>
      <c r="BQ61" s="188">
        <v>107.45</v>
      </c>
      <c r="BR61" s="188">
        <v>111.01</v>
      </c>
      <c r="BS61" s="188">
        <v>115.31</v>
      </c>
      <c r="BT61" s="188">
        <v>120.2</v>
      </c>
      <c r="BU61" s="188">
        <v>125.23</v>
      </c>
      <c r="BV61" s="188">
        <v>131.27000000000001</v>
      </c>
      <c r="BW61" s="188">
        <v>138.72999999999999</v>
      </c>
      <c r="BX61" s="188">
        <v>147.32</v>
      </c>
      <c r="BY61" s="188">
        <v>156.91</v>
      </c>
      <c r="BZ61" s="188">
        <v>167.28</v>
      </c>
      <c r="CA61" s="188">
        <v>177.16</v>
      </c>
      <c r="CB61" s="188">
        <v>187</v>
      </c>
      <c r="CC61" s="188">
        <v>197.15</v>
      </c>
      <c r="CD61" s="188">
        <v>209.01</v>
      </c>
      <c r="CE61" s="188">
        <v>222.68</v>
      </c>
      <c r="CF61" s="188">
        <v>239.5</v>
      </c>
      <c r="CG61" s="188">
        <v>256.7</v>
      </c>
      <c r="CH61" s="188">
        <v>275.25</v>
      </c>
      <c r="CI61" s="188">
        <v>350</v>
      </c>
      <c r="CJ61" s="188">
        <v>349.95</v>
      </c>
      <c r="CK61" s="188">
        <v>350</v>
      </c>
      <c r="CL61" s="188">
        <v>360.5</v>
      </c>
      <c r="CM61" s="188">
        <v>808.45</v>
      </c>
      <c r="CN61" s="354">
        <v>826.4</v>
      </c>
      <c r="CO61" s="188">
        <v>842.2</v>
      </c>
      <c r="CP61" s="188">
        <v>858</v>
      </c>
      <c r="CQ61" s="188">
        <v>876</v>
      </c>
    </row>
    <row r="62" spans="1:95" ht="15" thickTop="1" x14ac:dyDescent="0.35">
      <c r="A62" s="159"/>
      <c r="B62" s="159"/>
      <c r="C62" s="159"/>
      <c r="D62" s="159"/>
      <c r="E62" s="190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60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</row>
    <row r="63" spans="1:95" x14ac:dyDescent="0.35">
      <c r="A63" s="159"/>
      <c r="B63" s="159"/>
      <c r="C63" s="159"/>
      <c r="D63" s="159"/>
      <c r="E63" s="190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60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</row>
    <row r="64" spans="1:95" x14ac:dyDescent="0.35">
      <c r="A64" s="159"/>
      <c r="B64" s="159"/>
      <c r="C64" s="159"/>
      <c r="D64" s="197"/>
      <c r="E64" s="190"/>
      <c r="F64" s="173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60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BO64" s="162"/>
    </row>
    <row r="65" spans="1:67" x14ac:dyDescent="0.35">
      <c r="A65" s="159"/>
      <c r="B65" s="159"/>
      <c r="C65" s="159"/>
      <c r="D65" s="197"/>
      <c r="E65" s="190"/>
      <c r="F65" s="173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60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BO65" s="162"/>
    </row>
    <row r="66" spans="1:67" x14ac:dyDescent="0.35">
      <c r="A66" s="159"/>
      <c r="B66" s="159"/>
      <c r="C66" s="159"/>
      <c r="D66" s="159"/>
      <c r="E66" s="190"/>
      <c r="F66" s="173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60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</row>
    <row r="67" spans="1:67" x14ac:dyDescent="0.35">
      <c r="A67" s="159"/>
      <c r="B67" s="159"/>
      <c r="C67" s="159"/>
      <c r="D67" s="198"/>
      <c r="E67" s="190"/>
      <c r="F67" s="173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60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</row>
    <row r="68" spans="1:67" x14ac:dyDescent="0.35">
      <c r="A68" s="159"/>
      <c r="B68" s="159"/>
      <c r="C68" s="159"/>
      <c r="D68" s="159"/>
      <c r="E68" s="190"/>
      <c r="F68" s="173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60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</row>
    <row r="69" spans="1:67" x14ac:dyDescent="0.35">
      <c r="A69" s="159"/>
      <c r="B69" s="159"/>
      <c r="C69" s="159"/>
      <c r="D69" s="197"/>
      <c r="E69" s="190"/>
      <c r="F69" s="173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60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</row>
    <row r="70" spans="1:67" x14ac:dyDescent="0.35">
      <c r="A70" s="159"/>
      <c r="B70" s="159"/>
      <c r="C70" s="159"/>
      <c r="D70" s="159"/>
      <c r="E70" s="190"/>
      <c r="F70" s="173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60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</row>
    <row r="71" spans="1:67" x14ac:dyDescent="0.35">
      <c r="A71" s="159"/>
      <c r="B71" s="159"/>
      <c r="C71" s="159"/>
      <c r="D71" s="159"/>
      <c r="E71" s="190"/>
      <c r="F71" s="173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60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</row>
    <row r="72" spans="1:67" x14ac:dyDescent="0.35">
      <c r="A72" s="159"/>
      <c r="B72" s="159"/>
      <c r="C72" s="159"/>
      <c r="D72" s="159"/>
      <c r="E72" s="190"/>
      <c r="F72" s="173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60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</row>
    <row r="73" spans="1:67" x14ac:dyDescent="0.35">
      <c r="A73" s="159"/>
      <c r="B73" s="159"/>
      <c r="C73" s="159"/>
      <c r="D73" s="159"/>
      <c r="E73" s="190"/>
      <c r="F73" s="173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60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</row>
  </sheetData>
  <mergeCells count="6">
    <mergeCell ref="C12:C13"/>
    <mergeCell ref="B12:B13"/>
    <mergeCell ref="G12:G13"/>
    <mergeCell ref="F12:F13"/>
    <mergeCell ref="D12:D13"/>
    <mergeCell ref="E12:E13"/>
  </mergeCells>
  <phoneticPr fontId="46" type="noConversion"/>
  <hyperlinks>
    <hyperlink ref="E42:E49" r:id="rId1" display="Secretaría de Energía" xr:uid="{2E9B4E1A-ED1F-438C-A3E1-433DDF587F32}"/>
    <hyperlink ref="E60" r:id="rId2" xr:uid="{BFECAE67-8DD5-4CD4-BF19-F54F91ABEB14}"/>
    <hyperlink ref="E61" r:id="rId3" xr:uid="{84725118-E935-482E-8014-6479D597F186}"/>
    <hyperlink ref="E42" r:id="rId4" xr:uid="{F4982606-A99C-4FB7-948B-263B6EAFAAB3}"/>
    <hyperlink ref="E25" r:id="rId5" xr:uid="{BC11A73D-371D-40A0-A306-68E4112B75EF}"/>
    <hyperlink ref="E24" r:id="rId6" xr:uid="{A29A9CB2-219F-4500-BEC7-D1F81C330561}"/>
    <hyperlink ref="E22" r:id="rId7" xr:uid="{2A8A92A6-7B7C-4FF6-98A0-8928BD18E8B5}"/>
    <hyperlink ref="E16" r:id="rId8" xr:uid="{4B6BFEC0-A215-46F6-AF08-7D4B0026A3B4}"/>
    <hyperlink ref="E15" r:id="rId9" xr:uid="{CC1111EA-F173-4886-9D85-DDF3458DDE0D}"/>
    <hyperlink ref="E17" r:id="rId10" xr:uid="{70EA18B0-F0EF-4C8B-AC6F-82EB799F884B}"/>
    <hyperlink ref="E55" r:id="rId11" xr:uid="{16ABC20B-609A-4837-A401-76CD6A867338}"/>
    <hyperlink ref="E43:E51" r:id="rId12" display="Secretaría de Energía" xr:uid="{57B7CCEC-FC47-4C81-AB67-CBDB7974B9F1}"/>
    <hyperlink ref="E26" r:id="rId13" xr:uid="{3EFA3945-FBA8-40D8-8AD7-50938B9EC753}"/>
    <hyperlink ref="E20" r:id="rId14" xr:uid="{D0D66419-1853-4724-BC09-7FF2D4A3075F}"/>
    <hyperlink ref="E21" r:id="rId15" xr:uid="{EAFB2A65-517D-4948-BD01-CF5EB690DA01}"/>
    <hyperlink ref="E27" r:id="rId16" xr:uid="{9B181D93-9134-4A00-AA27-DDA028BDF740}"/>
    <hyperlink ref="E28" r:id="rId17" xr:uid="{63815ECA-ECE6-4A82-87BF-589C2F66B904}"/>
    <hyperlink ref="E29" r:id="rId18" xr:uid="{C31957C8-51B7-4B1A-9C6C-27FB8FB544EB}"/>
    <hyperlink ref="E30" r:id="rId19" xr:uid="{3ABBF5FC-6835-4045-9D63-17C0FA67C79C}"/>
    <hyperlink ref="E31" r:id="rId20" xr:uid="{DA7F3CD1-84E8-46B8-A64D-271B8268FB45}"/>
    <hyperlink ref="E32" r:id="rId21" xr:uid="{DD0F5347-5C04-457E-B8EF-FB497AEEEDF7}"/>
    <hyperlink ref="E33" r:id="rId22" xr:uid="{01663C61-B681-4DF1-9695-3D2DDFEDCF96}"/>
    <hyperlink ref="E34" r:id="rId23" xr:uid="{3012C237-5D2E-4AD6-8427-C78B735CF007}"/>
    <hyperlink ref="E35" r:id="rId24" xr:uid="{9BE7A71E-0859-472A-89B6-56E8426CFEFB}"/>
    <hyperlink ref="E36" r:id="rId25" xr:uid="{8E895BAB-9E89-4758-B119-B248FC906DD1}"/>
    <hyperlink ref="E37" r:id="rId26" xr:uid="{EC162859-4F55-462A-BF1B-81263A9BD255}"/>
    <hyperlink ref="E56" r:id="rId27" xr:uid="{03C74967-10A2-448C-9443-3F53C7C47D75}"/>
    <hyperlink ref="E57" r:id="rId28" xr:uid="{2E9EEC67-0C1D-47EE-B9AC-5CBE646F2A2D}"/>
    <hyperlink ref="E58" r:id="rId29" xr:uid="{EDE09118-5BD2-4325-804B-4CBCE1CBCBA1}"/>
    <hyperlink ref="E59" r:id="rId30" xr:uid="{D29FB1C4-E749-46CF-9D3D-8D5B814D1B5C}"/>
    <hyperlink ref="E41" r:id="rId31" xr:uid="{36F7582A-6FA6-4426-9A65-7BB02C2CC456}"/>
    <hyperlink ref="E53" r:id="rId32" xr:uid="{AEA8960A-6372-4FBC-9DC2-545E0A73313D}"/>
    <hyperlink ref="E52" r:id="rId33" xr:uid="{C745380A-37DA-41B1-AADA-7198C48AD86C}"/>
    <hyperlink ref="E40" r:id="rId34" xr:uid="{76F92F24-FD87-429C-B775-D59DD33C7687}"/>
    <hyperlink ref="E39" r:id="rId35" xr:uid="{AAB8428D-63A6-4D12-AA22-4415D20285BA}"/>
    <hyperlink ref="E49" r:id="rId36" xr:uid="{7EF362C2-E320-45F7-9984-CEA277FA552C}"/>
    <hyperlink ref="E19" r:id="rId37" xr:uid="{96C8BB26-5123-4203-A5C5-8F109E0F730B}"/>
    <hyperlink ref="E18" r:id="rId38" xr:uid="{D5D8B1E8-A84A-4CA2-8412-007BC67F80EC}"/>
    <hyperlink ref="E23" r:id="rId39" xr:uid="{F14FEA51-6AB2-4D4B-9CA2-A92EFC1CA916}"/>
    <hyperlink ref="E38" r:id="rId40" xr:uid="{A7E942F7-827E-46D6-9BDC-B1CE077A5158}"/>
    <hyperlink ref="E54" r:id="rId41" xr:uid="{C48720D9-D162-4F77-A256-871A16CD3D9F}"/>
  </hyperlinks>
  <pageMargins left="0.7" right="0.7" top="0.75" bottom="0.75" header="0.3" footer="0.3"/>
  <pageSetup orientation="portrait" r:id="rId42"/>
  <drawing r:id="rId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646"/>
  <sheetViews>
    <sheetView showGridLines="0" workbookViewId="0">
      <pane ySplit="5" topLeftCell="A46" activePane="bottomLeft" state="frozen"/>
      <selection activeCell="A2" sqref="A2:L2"/>
      <selection pane="bottomLeft" activeCell="A2" sqref="A2:L2"/>
    </sheetView>
  </sheetViews>
  <sheetFormatPr baseColWidth="10" defaultColWidth="9.1796875" defaultRowHeight="14.5" x14ac:dyDescent="0.35"/>
  <cols>
    <col min="1" max="1" width="5.1796875" customWidth="1"/>
    <col min="3" max="3" width="15" bestFit="1" customWidth="1"/>
    <col min="12" max="12" width="4.81640625" customWidth="1"/>
  </cols>
  <sheetData>
    <row r="1" spans="1:69" s="8" customFormat="1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</row>
    <row r="2" spans="1:69" x14ac:dyDescent="0.35">
      <c r="A2" s="54"/>
      <c r="B2" s="371" t="s">
        <v>69</v>
      </c>
      <c r="C2" s="371"/>
      <c r="D2" s="371"/>
      <c r="E2" s="371"/>
      <c r="F2" s="371"/>
      <c r="G2" s="371"/>
      <c r="H2" s="371"/>
      <c r="I2" s="371"/>
      <c r="J2" s="371"/>
      <c r="K2" s="371"/>
      <c r="L2" s="55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</row>
    <row r="3" spans="1:69" x14ac:dyDescent="0.35">
      <c r="A3" s="54"/>
      <c r="B3" s="372" t="s">
        <v>68</v>
      </c>
      <c r="C3" s="372"/>
      <c r="D3" s="372"/>
      <c r="E3" s="372"/>
      <c r="F3" s="372"/>
      <c r="G3" s="372"/>
      <c r="H3" s="372"/>
      <c r="I3" s="372"/>
      <c r="J3" s="372"/>
      <c r="K3" s="372"/>
      <c r="L3" s="55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</row>
    <row r="4" spans="1:69" x14ac:dyDescent="0.35">
      <c r="A4" s="54"/>
      <c r="B4" s="56" t="s">
        <v>71</v>
      </c>
      <c r="C4" s="56"/>
      <c r="D4" s="56"/>
      <c r="E4" s="56"/>
      <c r="F4" s="56"/>
      <c r="G4" s="56"/>
      <c r="H4" s="56"/>
      <c r="I4" s="56"/>
      <c r="J4" s="56"/>
      <c r="K4" s="56"/>
      <c r="L4" s="55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</row>
    <row r="5" spans="1:69" x14ac:dyDescent="0.35">
      <c r="A5" s="54"/>
      <c r="B5" s="9" t="s">
        <v>0</v>
      </c>
      <c r="C5" s="9" t="s">
        <v>1</v>
      </c>
      <c r="D5" s="56"/>
      <c r="E5" s="56"/>
      <c r="F5" s="56"/>
      <c r="G5" s="56"/>
      <c r="H5" s="56"/>
      <c r="I5" s="56"/>
      <c r="J5" s="56"/>
      <c r="K5" s="56"/>
      <c r="L5" s="5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x14ac:dyDescent="0.35">
      <c r="A6" s="54"/>
      <c r="B6" s="1">
        <v>41913</v>
      </c>
      <c r="C6" s="60">
        <v>8.4600000000000009</v>
      </c>
      <c r="D6" s="56"/>
      <c r="E6" s="56"/>
      <c r="F6" s="56"/>
      <c r="G6" s="56"/>
      <c r="H6" s="56"/>
      <c r="I6" s="56"/>
      <c r="J6" s="56"/>
      <c r="K6" s="56"/>
      <c r="L6" s="55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x14ac:dyDescent="0.35">
      <c r="A7" s="54"/>
      <c r="B7" s="1">
        <v>41944</v>
      </c>
      <c r="C7" s="60">
        <v>8.51</v>
      </c>
      <c r="D7" s="56"/>
      <c r="E7" s="56"/>
      <c r="F7" s="56"/>
      <c r="G7" s="56"/>
      <c r="H7" s="56"/>
      <c r="I7" s="56"/>
      <c r="J7" s="56"/>
      <c r="K7" s="56"/>
      <c r="L7" s="55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x14ac:dyDescent="0.35">
      <c r="A8" s="54"/>
      <c r="B8" s="1">
        <v>41974</v>
      </c>
      <c r="C8" s="60">
        <v>8.56</v>
      </c>
      <c r="D8" s="56"/>
      <c r="E8" s="56"/>
      <c r="F8" s="56"/>
      <c r="G8" s="56"/>
      <c r="H8" s="56"/>
      <c r="I8" s="56"/>
      <c r="J8" s="56"/>
      <c r="K8" s="56"/>
      <c r="L8" s="55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</row>
    <row r="9" spans="1:69" x14ac:dyDescent="0.35">
      <c r="A9" s="54"/>
      <c r="B9" s="1">
        <v>42005</v>
      </c>
      <c r="C9" s="60">
        <v>8.6</v>
      </c>
      <c r="D9" s="56"/>
      <c r="E9" s="56"/>
      <c r="F9" s="56"/>
      <c r="G9" s="56"/>
      <c r="H9" s="56"/>
      <c r="I9" s="56"/>
      <c r="J9" s="56"/>
      <c r="K9" s="56"/>
      <c r="L9" s="55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</row>
    <row r="10" spans="1:69" x14ac:dyDescent="0.35">
      <c r="A10" s="54"/>
      <c r="B10" s="1">
        <v>42036</v>
      </c>
      <c r="C10" s="60">
        <v>8.6950000000000003</v>
      </c>
      <c r="D10" s="56"/>
      <c r="E10" s="56"/>
      <c r="F10" s="56"/>
      <c r="G10" s="56"/>
      <c r="H10" s="56"/>
      <c r="I10" s="56"/>
      <c r="J10" s="56"/>
      <c r="K10" s="56"/>
      <c r="L10" s="55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</row>
    <row r="11" spans="1:69" x14ac:dyDescent="0.35">
      <c r="A11" s="54"/>
      <c r="B11" s="1">
        <v>42064</v>
      </c>
      <c r="C11" s="60">
        <v>8.7850000000000001</v>
      </c>
      <c r="D11" s="56"/>
      <c r="E11" s="56"/>
      <c r="F11" s="56"/>
      <c r="G11" s="56"/>
      <c r="H11" s="56"/>
      <c r="I11" s="56"/>
      <c r="J11" s="56"/>
      <c r="K11" s="56"/>
      <c r="L11" s="55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</row>
    <row r="12" spans="1:69" x14ac:dyDescent="0.35">
      <c r="A12" s="54"/>
      <c r="B12" s="1">
        <v>42095</v>
      </c>
      <c r="C12" s="60">
        <v>8.8699999999999992</v>
      </c>
      <c r="D12" s="56"/>
      <c r="E12" s="56"/>
      <c r="F12" s="56"/>
      <c r="G12" s="56"/>
      <c r="H12" s="56"/>
      <c r="I12" s="56"/>
      <c r="J12" s="56"/>
      <c r="K12" s="56"/>
      <c r="L12" s="55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</row>
    <row r="13" spans="1:69" x14ac:dyDescent="0.35">
      <c r="A13" s="54"/>
      <c r="B13" s="1">
        <v>42125</v>
      </c>
      <c r="C13" s="60">
        <v>8.9499999999999993</v>
      </c>
      <c r="D13" s="56"/>
      <c r="E13" s="56"/>
      <c r="F13" s="56"/>
      <c r="G13" s="56"/>
      <c r="H13" s="56"/>
      <c r="I13" s="56"/>
      <c r="J13" s="56"/>
      <c r="K13" s="56"/>
      <c r="L13" s="55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</row>
    <row r="14" spans="1:69" x14ac:dyDescent="0.35">
      <c r="A14" s="54"/>
      <c r="B14" s="1">
        <v>42156</v>
      </c>
      <c r="C14" s="60">
        <v>9.0449999999999999</v>
      </c>
      <c r="D14" s="56"/>
      <c r="E14" s="56"/>
      <c r="F14" s="56"/>
      <c r="G14" s="56"/>
      <c r="H14" s="56"/>
      <c r="I14" s="56"/>
      <c r="J14" s="56"/>
      <c r="K14" s="56"/>
      <c r="L14" s="55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</row>
    <row r="15" spans="1:69" x14ac:dyDescent="0.35">
      <c r="A15" s="54"/>
      <c r="B15" s="1">
        <v>42186</v>
      </c>
      <c r="C15" s="60">
        <v>9.14</v>
      </c>
      <c r="D15" s="56"/>
      <c r="E15" s="56"/>
      <c r="F15" s="56"/>
      <c r="G15" s="56"/>
      <c r="H15" s="56"/>
      <c r="I15" s="56"/>
      <c r="J15" s="56"/>
      <c r="K15" s="56"/>
      <c r="L15" s="55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</row>
    <row r="16" spans="1:69" x14ac:dyDescent="0.35">
      <c r="A16" s="54"/>
      <c r="B16" s="1">
        <v>42217</v>
      </c>
      <c r="C16" s="60">
        <v>9.2449999999999992</v>
      </c>
      <c r="D16" s="56"/>
      <c r="E16" s="56"/>
      <c r="F16" s="56"/>
      <c r="G16" s="56"/>
      <c r="H16" s="56"/>
      <c r="I16" s="56"/>
      <c r="J16" s="56"/>
      <c r="K16" s="56"/>
      <c r="L16" s="5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</row>
    <row r="17" spans="1:69" x14ac:dyDescent="0.35">
      <c r="A17" s="54"/>
      <c r="B17" s="1">
        <v>42248</v>
      </c>
      <c r="C17" s="60">
        <v>9.3699999999999992</v>
      </c>
      <c r="D17" s="56"/>
      <c r="E17" s="56"/>
      <c r="F17" s="56"/>
      <c r="G17" s="56"/>
      <c r="H17" s="56"/>
      <c r="I17" s="56"/>
      <c r="J17" s="56"/>
      <c r="K17" s="56"/>
      <c r="L17" s="55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</row>
    <row r="18" spans="1:69" x14ac:dyDescent="0.35">
      <c r="A18" s="54"/>
      <c r="B18" s="1">
        <v>42278</v>
      </c>
      <c r="C18" s="60">
        <v>9.49</v>
      </c>
      <c r="D18" s="56"/>
      <c r="E18" s="56"/>
      <c r="F18" s="56"/>
      <c r="G18" s="56"/>
      <c r="H18" s="56"/>
      <c r="I18" s="56"/>
      <c r="J18" s="56"/>
      <c r="K18" s="56"/>
      <c r="L18" s="55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</row>
    <row r="19" spans="1:69" x14ac:dyDescent="0.35">
      <c r="A19" s="54"/>
      <c r="B19" s="1">
        <v>42309</v>
      </c>
      <c r="C19" s="60">
        <v>9.6349999999999998</v>
      </c>
      <c r="D19" s="56"/>
      <c r="E19" s="56"/>
      <c r="F19" s="56"/>
      <c r="G19" s="56"/>
      <c r="H19" s="56"/>
      <c r="I19" s="56"/>
      <c r="J19" s="56"/>
      <c r="K19" s="56"/>
      <c r="L19" s="55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</row>
    <row r="20" spans="1:69" x14ac:dyDescent="0.35">
      <c r="A20" s="54"/>
      <c r="B20" s="1">
        <v>42339</v>
      </c>
      <c r="C20" s="60">
        <v>9.8149999999999995</v>
      </c>
      <c r="D20" s="56"/>
      <c r="E20" s="56"/>
      <c r="F20" s="56"/>
      <c r="G20" s="56"/>
      <c r="H20" s="56"/>
      <c r="I20" s="56"/>
      <c r="J20" s="56"/>
      <c r="K20" s="56"/>
      <c r="L20" s="55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</row>
    <row r="21" spans="1:69" x14ac:dyDescent="0.35">
      <c r="A21" s="54"/>
      <c r="B21" s="1">
        <v>42370</v>
      </c>
      <c r="C21" s="60">
        <v>13.6</v>
      </c>
      <c r="D21" s="56"/>
      <c r="E21" s="56"/>
      <c r="F21" s="56"/>
      <c r="G21" s="56"/>
      <c r="H21" s="56"/>
      <c r="I21" s="56"/>
      <c r="J21" s="56"/>
      <c r="K21" s="56"/>
      <c r="L21" s="55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</row>
    <row r="22" spans="1:69" x14ac:dyDescent="0.35">
      <c r="A22" s="54"/>
      <c r="B22" s="1">
        <v>42401</v>
      </c>
      <c r="C22" s="60">
        <v>14.9</v>
      </c>
      <c r="D22" s="56"/>
      <c r="E22" s="56"/>
      <c r="F22" s="56"/>
      <c r="G22" s="56"/>
      <c r="H22" s="56"/>
      <c r="I22" s="56"/>
      <c r="J22" s="56"/>
      <c r="K22" s="56"/>
      <c r="L22" s="5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</row>
    <row r="23" spans="1:69" x14ac:dyDescent="0.35">
      <c r="A23" s="54"/>
      <c r="B23" s="1">
        <v>42430</v>
      </c>
      <c r="C23" s="60">
        <v>14.8</v>
      </c>
      <c r="D23" s="56"/>
      <c r="E23" s="56"/>
      <c r="F23" s="56"/>
      <c r="G23" s="56"/>
      <c r="H23" s="56"/>
      <c r="I23" s="56"/>
      <c r="J23" s="56"/>
      <c r="K23" s="56"/>
      <c r="L23" s="55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</row>
    <row r="24" spans="1:69" x14ac:dyDescent="0.35">
      <c r="A24" s="54"/>
      <c r="B24" s="1">
        <v>42461</v>
      </c>
      <c r="C24" s="60">
        <v>14.4</v>
      </c>
      <c r="D24" s="56"/>
      <c r="E24" s="56"/>
      <c r="F24" s="56"/>
      <c r="G24" s="56"/>
      <c r="H24" s="56"/>
      <c r="I24" s="56"/>
      <c r="J24" s="56"/>
      <c r="K24" s="56"/>
      <c r="L24" s="55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</row>
    <row r="25" spans="1:69" x14ac:dyDescent="0.35">
      <c r="A25" s="54"/>
      <c r="B25" s="1">
        <v>42491</v>
      </c>
      <c r="C25" s="60">
        <v>14.4</v>
      </c>
      <c r="D25" s="56"/>
      <c r="E25" s="56"/>
      <c r="F25" s="56"/>
      <c r="G25" s="56"/>
      <c r="H25" s="56"/>
      <c r="I25" s="56"/>
      <c r="J25" s="56"/>
      <c r="K25" s="56"/>
      <c r="L25" s="55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</row>
    <row r="26" spans="1:69" x14ac:dyDescent="0.35">
      <c r="A26" s="54"/>
      <c r="B26" s="1">
        <v>42522</v>
      </c>
      <c r="C26" s="60">
        <v>14</v>
      </c>
      <c r="D26" s="56"/>
      <c r="E26" s="56"/>
      <c r="F26" s="56"/>
      <c r="G26" s="56"/>
      <c r="H26" s="56"/>
      <c r="I26" s="56"/>
      <c r="J26" s="56"/>
      <c r="K26" s="56"/>
      <c r="L26" s="55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</row>
    <row r="27" spans="1:69" x14ac:dyDescent="0.35">
      <c r="A27" s="54"/>
      <c r="B27" s="1">
        <v>42552</v>
      </c>
      <c r="C27" s="60">
        <v>15.1</v>
      </c>
      <c r="D27" s="56"/>
      <c r="E27" s="56"/>
      <c r="F27" s="56"/>
      <c r="G27" s="56"/>
      <c r="H27" s="56"/>
      <c r="I27" s="56"/>
      <c r="J27" s="56"/>
      <c r="K27" s="56"/>
      <c r="L27" s="55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</row>
    <row r="28" spans="1:69" x14ac:dyDescent="0.35">
      <c r="A28" s="54"/>
      <c r="B28" s="1">
        <v>42583</v>
      </c>
      <c r="C28" s="60">
        <v>14.9</v>
      </c>
      <c r="D28" s="56"/>
      <c r="E28" s="56"/>
      <c r="F28" s="56"/>
      <c r="G28" s="56"/>
      <c r="H28" s="56"/>
      <c r="I28" s="56"/>
      <c r="J28" s="56"/>
      <c r="K28" s="56"/>
      <c r="L28" s="55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</row>
    <row r="29" spans="1:69" x14ac:dyDescent="0.35">
      <c r="A29" s="54"/>
      <c r="B29" s="1">
        <v>42614</v>
      </c>
      <c r="C29" s="60">
        <v>15.25</v>
      </c>
      <c r="D29" s="56"/>
      <c r="E29" s="56"/>
      <c r="F29" s="56"/>
      <c r="G29" s="56"/>
      <c r="H29" s="56"/>
      <c r="I29" s="56"/>
      <c r="J29" s="56"/>
      <c r="K29" s="56"/>
      <c r="L29" s="55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</row>
    <row r="30" spans="1:69" x14ac:dyDescent="0.35">
      <c r="A30" s="54"/>
      <c r="B30" s="1">
        <v>42644</v>
      </c>
      <c r="C30" s="60">
        <v>15.3</v>
      </c>
      <c r="D30" s="56"/>
      <c r="E30" s="56"/>
      <c r="F30" s="56"/>
      <c r="G30" s="56"/>
      <c r="H30" s="56"/>
      <c r="I30" s="56"/>
      <c r="J30" s="56"/>
      <c r="K30" s="56"/>
      <c r="L30" s="55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</row>
    <row r="31" spans="1:69" x14ac:dyDescent="0.35">
      <c r="A31" s="54"/>
      <c r="B31" s="1">
        <v>42675</v>
      </c>
      <c r="C31" s="60">
        <v>15.7</v>
      </c>
      <c r="D31" s="56"/>
      <c r="E31" s="56"/>
      <c r="F31" s="56"/>
      <c r="G31" s="56"/>
      <c r="H31" s="56"/>
      <c r="I31" s="56"/>
      <c r="J31" s="56"/>
      <c r="K31" s="56"/>
      <c r="L31" s="55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</row>
    <row r="32" spans="1:69" x14ac:dyDescent="0.35">
      <c r="A32" s="54"/>
      <c r="B32" s="1">
        <v>42705</v>
      </c>
      <c r="C32" s="60">
        <v>16.149999999999999</v>
      </c>
      <c r="D32" s="56"/>
      <c r="E32" s="56"/>
      <c r="F32" s="56"/>
      <c r="G32" s="56"/>
      <c r="H32" s="56"/>
      <c r="I32" s="56"/>
      <c r="J32" s="56"/>
      <c r="K32" s="56"/>
      <c r="L32" s="55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</row>
    <row r="33" spans="1:69" x14ac:dyDescent="0.35">
      <c r="A33" s="54"/>
      <c r="B33" s="1">
        <v>42736</v>
      </c>
      <c r="C33" s="60">
        <v>16.05</v>
      </c>
      <c r="D33" s="56"/>
      <c r="E33" s="56"/>
      <c r="F33" s="56"/>
      <c r="G33" s="56"/>
      <c r="H33" s="56"/>
      <c r="I33" s="56"/>
      <c r="J33" s="56"/>
      <c r="K33" s="56"/>
      <c r="L33" s="55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</row>
    <row r="34" spans="1:69" x14ac:dyDescent="0.35">
      <c r="A34" s="54"/>
      <c r="B34" s="1">
        <v>42767</v>
      </c>
      <c r="C34" s="60">
        <v>15.6</v>
      </c>
      <c r="D34" s="56"/>
      <c r="E34" s="56"/>
      <c r="F34" s="56"/>
      <c r="G34" s="56"/>
      <c r="H34" s="56"/>
      <c r="I34" s="56"/>
      <c r="J34" s="56"/>
      <c r="K34" s="56"/>
      <c r="L34" s="55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</row>
    <row r="35" spans="1:69" x14ac:dyDescent="0.35">
      <c r="A35" s="54"/>
      <c r="B35" s="1">
        <v>42795</v>
      </c>
      <c r="C35" s="60">
        <v>15.75</v>
      </c>
      <c r="D35" s="61">
        <f t="shared" ref="D35:D50" si="0">+C35/C34-1</f>
        <v>9.6153846153845812E-3</v>
      </c>
      <c r="E35" s="56"/>
      <c r="F35" s="56"/>
      <c r="G35" s="56"/>
      <c r="H35" s="56"/>
      <c r="I35" s="56"/>
      <c r="J35" s="56"/>
      <c r="K35" s="56"/>
      <c r="L35" s="55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</row>
    <row r="36" spans="1:69" x14ac:dyDescent="0.35">
      <c r="A36" s="57"/>
      <c r="B36" s="1">
        <v>42826</v>
      </c>
      <c r="C36" s="60">
        <v>15.4</v>
      </c>
      <c r="D36" s="61">
        <f t="shared" si="0"/>
        <v>-2.2222222222222254E-2</v>
      </c>
      <c r="E36" s="56"/>
      <c r="F36" s="56"/>
      <c r="G36" s="56"/>
      <c r="H36" s="56"/>
      <c r="I36" s="56"/>
      <c r="J36" s="56"/>
      <c r="K36" s="56"/>
      <c r="L36" s="55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</row>
    <row r="37" spans="1:69" x14ac:dyDescent="0.35">
      <c r="A37" s="57"/>
      <c r="B37" s="1">
        <v>42856</v>
      </c>
      <c r="C37" s="60">
        <v>15.65</v>
      </c>
      <c r="D37" s="61">
        <f t="shared" si="0"/>
        <v>1.6233766233766156E-2</v>
      </c>
      <c r="E37" s="56"/>
      <c r="F37" s="56"/>
      <c r="G37" s="56"/>
      <c r="H37" s="56"/>
      <c r="I37" s="56"/>
      <c r="J37" s="56"/>
      <c r="K37" s="56"/>
      <c r="L37" s="55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</row>
    <row r="38" spans="1:69" x14ac:dyDescent="0.35">
      <c r="A38" s="59"/>
      <c r="B38" s="1">
        <v>42887</v>
      </c>
      <c r="C38" s="60">
        <v>16.149999999999999</v>
      </c>
      <c r="D38" s="61">
        <f t="shared" si="0"/>
        <v>3.1948881789137351E-2</v>
      </c>
      <c r="E38" s="56"/>
      <c r="F38" s="56"/>
      <c r="G38" s="56"/>
      <c r="H38" s="56"/>
      <c r="I38" s="56"/>
      <c r="J38" s="56"/>
      <c r="K38" s="56"/>
      <c r="L38" s="55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</row>
    <row r="39" spans="1:69" x14ac:dyDescent="0.35">
      <c r="A39" s="58"/>
      <c r="B39" s="1">
        <v>42917</v>
      </c>
      <c r="C39" s="60">
        <v>17.05</v>
      </c>
      <c r="D39" s="61">
        <f t="shared" si="0"/>
        <v>5.5727554179566763E-2</v>
      </c>
      <c r="E39" s="56"/>
      <c r="F39" s="56"/>
      <c r="G39" s="56"/>
      <c r="H39" s="56"/>
      <c r="I39" s="56"/>
      <c r="J39" s="56"/>
      <c r="K39" s="56"/>
      <c r="L39" s="55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</row>
    <row r="40" spans="1:69" x14ac:dyDescent="0.35">
      <c r="A40" s="58"/>
      <c r="B40" s="1">
        <v>42948</v>
      </c>
      <c r="C40" s="60">
        <v>17.25</v>
      </c>
      <c r="D40" s="61">
        <f t="shared" si="0"/>
        <v>1.1730205278592365E-2</v>
      </c>
      <c r="E40" s="56"/>
      <c r="F40" s="56"/>
      <c r="G40" s="56"/>
      <c r="H40" s="56"/>
      <c r="I40" s="56"/>
      <c r="J40" s="56"/>
      <c r="K40" s="56"/>
      <c r="L40" s="55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</row>
    <row r="41" spans="1:69" x14ac:dyDescent="0.35">
      <c r="A41" s="58"/>
      <c r="B41" s="1">
        <v>42979</v>
      </c>
      <c r="C41" s="60">
        <v>17.2</v>
      </c>
      <c r="D41" s="61">
        <f t="shared" si="0"/>
        <v>-2.8985507246377384E-3</v>
      </c>
      <c r="E41" s="56"/>
      <c r="F41" s="56"/>
      <c r="G41" s="56"/>
      <c r="H41" s="56"/>
      <c r="I41" s="56"/>
      <c r="J41" s="56"/>
      <c r="K41" s="56"/>
      <c r="L41" s="55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</row>
    <row r="42" spans="1:69" x14ac:dyDescent="0.35">
      <c r="A42" s="58"/>
      <c r="B42" s="1">
        <v>43009</v>
      </c>
      <c r="C42" s="60">
        <v>17.600000000000001</v>
      </c>
      <c r="D42" s="61">
        <f t="shared" si="0"/>
        <v>2.3255813953488413E-2</v>
      </c>
      <c r="E42" s="56"/>
      <c r="F42" s="56"/>
      <c r="G42" s="56"/>
      <c r="H42" s="56"/>
      <c r="I42" s="56"/>
      <c r="J42" s="56"/>
      <c r="K42" s="56"/>
      <c r="L42" s="55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</row>
    <row r="43" spans="1:69" x14ac:dyDescent="0.35">
      <c r="A43" s="58"/>
      <c r="B43" s="1">
        <v>43040</v>
      </c>
      <c r="C43" s="60">
        <v>17.7</v>
      </c>
      <c r="D43" s="61">
        <f t="shared" si="0"/>
        <v>5.6818181818181213E-3</v>
      </c>
      <c r="E43" s="56"/>
      <c r="F43" s="56"/>
      <c r="G43" s="56"/>
      <c r="H43" s="56"/>
      <c r="I43" s="56"/>
      <c r="J43" s="56"/>
      <c r="K43" s="56"/>
      <c r="L43" s="55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</row>
    <row r="44" spans="1:69" x14ac:dyDescent="0.35">
      <c r="A44" s="58"/>
      <c r="B44" s="1">
        <v>43070</v>
      </c>
      <c r="C44" s="60">
        <v>17.7</v>
      </c>
      <c r="D44" s="61">
        <f t="shared" si="0"/>
        <v>0</v>
      </c>
      <c r="E44" s="56"/>
      <c r="F44" s="56"/>
      <c r="G44" s="56"/>
      <c r="H44" s="56"/>
      <c r="I44" s="56"/>
      <c r="J44" s="56"/>
      <c r="K44" s="56"/>
      <c r="L44" s="55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</row>
    <row r="45" spans="1:69" x14ac:dyDescent="0.35">
      <c r="A45" s="58"/>
      <c r="B45" s="1">
        <v>43101</v>
      </c>
      <c r="C45" s="60">
        <v>19.149999999999999</v>
      </c>
      <c r="D45" s="61">
        <f t="shared" si="0"/>
        <v>8.1920903954802116E-2</v>
      </c>
      <c r="E45" s="56"/>
      <c r="F45" s="56"/>
      <c r="G45" s="56"/>
      <c r="H45" s="56"/>
      <c r="I45" s="56"/>
      <c r="J45" s="56"/>
      <c r="K45" s="56"/>
      <c r="L45" s="55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</row>
    <row r="46" spans="1:69" x14ac:dyDescent="0.35">
      <c r="A46" s="58"/>
      <c r="B46" s="1">
        <v>43132</v>
      </c>
      <c r="C46" s="60">
        <v>19.95</v>
      </c>
      <c r="D46" s="61">
        <f t="shared" si="0"/>
        <v>4.1775456919060039E-2</v>
      </c>
      <c r="E46" s="56"/>
      <c r="F46" s="56"/>
      <c r="G46" s="56"/>
      <c r="H46" s="56"/>
      <c r="I46" s="56"/>
      <c r="J46" s="56"/>
      <c r="K46" s="56"/>
      <c r="L46" s="55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</row>
    <row r="47" spans="1:69" x14ac:dyDescent="0.35">
      <c r="A47" s="58"/>
      <c r="B47" s="1">
        <v>43160</v>
      </c>
      <c r="C47" s="60">
        <v>20.6</v>
      </c>
      <c r="D47" s="61">
        <f t="shared" si="0"/>
        <v>3.2581453634085378E-2</v>
      </c>
      <c r="E47" s="56"/>
      <c r="F47" s="56"/>
      <c r="G47" s="56"/>
      <c r="H47" s="56"/>
      <c r="I47" s="56"/>
      <c r="J47" s="56"/>
      <c r="K47" s="56"/>
      <c r="L47" s="55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</row>
    <row r="48" spans="1:69" x14ac:dyDescent="0.35">
      <c r="A48" s="58"/>
      <c r="B48" s="1">
        <v>43191</v>
      </c>
      <c r="C48" s="60">
        <v>20.45</v>
      </c>
      <c r="D48" s="61">
        <f t="shared" si="0"/>
        <v>-7.2815533980583602E-3</v>
      </c>
      <c r="E48" s="56"/>
      <c r="F48" s="56"/>
      <c r="G48" s="56"/>
      <c r="H48" s="56"/>
      <c r="I48" s="56"/>
      <c r="J48" s="56"/>
      <c r="K48" s="56"/>
      <c r="L48" s="55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</row>
    <row r="49" spans="1:69" x14ac:dyDescent="0.35">
      <c r="A49" s="58"/>
      <c r="B49" s="1">
        <v>43221</v>
      </c>
      <c r="C49" s="60">
        <v>24.5</v>
      </c>
      <c r="D49" s="61">
        <f t="shared" si="0"/>
        <v>0.19804400977995118</v>
      </c>
      <c r="E49" s="56"/>
      <c r="F49" s="56"/>
      <c r="G49" s="56"/>
      <c r="H49" s="56"/>
      <c r="I49" s="56"/>
      <c r="J49" s="56"/>
      <c r="K49" s="56"/>
      <c r="L49" s="55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</row>
    <row r="50" spans="1:69" x14ac:dyDescent="0.35">
      <c r="A50" s="58"/>
      <c r="B50" s="1">
        <v>43252</v>
      </c>
      <c r="C50" s="60">
        <v>28.35</v>
      </c>
      <c r="D50" s="61">
        <f t="shared" si="0"/>
        <v>0.15714285714285725</v>
      </c>
      <c r="E50" s="56"/>
      <c r="F50" s="56"/>
      <c r="G50" s="56"/>
      <c r="H50" s="56"/>
      <c r="I50" s="56"/>
      <c r="J50" s="56"/>
      <c r="K50" s="56"/>
      <c r="L50" s="55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</row>
    <row r="51" spans="1:69" x14ac:dyDescent="0.35">
      <c r="A51" s="58"/>
      <c r="B51" s="1">
        <v>43282</v>
      </c>
      <c r="C51" s="60">
        <v>27.9</v>
      </c>
      <c r="D51" s="61">
        <f t="shared" ref="D51:D57" si="1">+C51/C50-1</f>
        <v>-1.5873015873015928E-2</v>
      </c>
      <c r="E51" s="56"/>
      <c r="F51" s="56"/>
      <c r="G51" s="56"/>
      <c r="H51" s="56"/>
      <c r="I51" s="56"/>
      <c r="J51" s="56"/>
      <c r="K51" s="56"/>
      <c r="L51" s="55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</row>
    <row r="52" spans="1:69" x14ac:dyDescent="0.35">
      <c r="A52" s="58"/>
      <c r="B52" s="1">
        <v>43313</v>
      </c>
      <c r="C52" s="60">
        <v>37.4</v>
      </c>
      <c r="D52" s="61">
        <f t="shared" si="1"/>
        <v>0.34050179211469533</v>
      </c>
      <c r="E52" s="56"/>
      <c r="F52" s="56"/>
      <c r="G52" s="56"/>
      <c r="H52" s="56"/>
      <c r="I52" s="56"/>
      <c r="J52" s="56"/>
      <c r="K52" s="56"/>
      <c r="L52" s="55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</row>
    <row r="53" spans="1:69" x14ac:dyDescent="0.35">
      <c r="A53" s="58"/>
      <c r="B53" s="1">
        <v>43344</v>
      </c>
      <c r="C53" s="60">
        <v>40.5</v>
      </c>
      <c r="D53" s="61">
        <f t="shared" si="1"/>
        <v>8.2887700534759468E-2</v>
      </c>
      <c r="E53" s="56"/>
      <c r="F53" s="56"/>
      <c r="G53" s="56"/>
      <c r="H53" s="56"/>
      <c r="I53" s="56"/>
      <c r="J53" s="56"/>
      <c r="K53" s="56"/>
      <c r="L53" s="5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</row>
    <row r="54" spans="1:69" x14ac:dyDescent="0.35">
      <c r="A54" s="58"/>
      <c r="B54" s="1">
        <v>43374</v>
      </c>
      <c r="C54" s="60">
        <v>36.799999999999997</v>
      </c>
      <c r="D54" s="61">
        <f t="shared" si="1"/>
        <v>-9.135802469135812E-2</v>
      </c>
      <c r="E54" s="56"/>
      <c r="F54" s="56"/>
      <c r="G54" s="56"/>
      <c r="H54" s="56"/>
      <c r="I54" s="56"/>
      <c r="J54" s="56"/>
      <c r="K54" s="56"/>
      <c r="L54" s="55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</row>
    <row r="55" spans="1:69" x14ac:dyDescent="0.35">
      <c r="A55" s="58"/>
      <c r="B55" s="1">
        <v>43405</v>
      </c>
      <c r="C55" s="60">
        <v>38.6</v>
      </c>
      <c r="D55" s="61">
        <f t="shared" si="1"/>
        <v>4.8913043478260976E-2</v>
      </c>
      <c r="E55" s="56"/>
      <c r="F55" s="56"/>
      <c r="G55" s="56"/>
      <c r="H55" s="56"/>
      <c r="I55" s="56"/>
      <c r="J55" s="56"/>
      <c r="K55" s="56"/>
      <c r="L55" s="55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</row>
    <row r="56" spans="1:69" x14ac:dyDescent="0.35">
      <c r="A56" s="58"/>
      <c r="B56" s="1">
        <v>43435</v>
      </c>
      <c r="C56" s="60">
        <v>38.6</v>
      </c>
      <c r="D56" s="61">
        <f t="shared" si="1"/>
        <v>0</v>
      </c>
      <c r="E56" s="56"/>
      <c r="F56" s="56"/>
      <c r="G56" s="56"/>
      <c r="H56" s="56"/>
      <c r="I56" s="56"/>
      <c r="J56" s="56"/>
      <c r="K56" s="56"/>
      <c r="L56" s="55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</row>
    <row r="57" spans="1:69" x14ac:dyDescent="0.35">
      <c r="A57" s="58"/>
      <c r="B57" s="1">
        <v>43466</v>
      </c>
      <c r="C57" s="60">
        <v>38.200000000000003</v>
      </c>
      <c r="D57" s="61">
        <f t="shared" si="1"/>
        <v>-1.0362694300518061E-2</v>
      </c>
      <c r="E57" s="56"/>
      <c r="F57" s="56"/>
      <c r="G57" s="56"/>
      <c r="H57" s="56"/>
      <c r="I57" s="56"/>
      <c r="J57" s="56"/>
      <c r="K57" s="56"/>
      <c r="L57" s="55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</row>
    <row r="58" spans="1:69" x14ac:dyDescent="0.35">
      <c r="A58" s="58"/>
      <c r="B58" s="1">
        <v>43497</v>
      </c>
      <c r="C58" s="60">
        <v>39.5</v>
      </c>
      <c r="D58" s="61"/>
      <c r="E58" s="56"/>
      <c r="F58" s="56"/>
      <c r="G58" s="56"/>
      <c r="H58" s="56"/>
      <c r="I58" s="56"/>
      <c r="J58" s="56"/>
      <c r="K58" s="56"/>
      <c r="L58" s="55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</row>
    <row r="59" spans="1:69" x14ac:dyDescent="0.35">
      <c r="A59" s="58"/>
      <c r="B59" s="1">
        <v>43525</v>
      </c>
      <c r="C59" s="60"/>
      <c r="D59" s="61"/>
      <c r="E59" s="56"/>
      <c r="F59" s="56"/>
      <c r="G59" s="56"/>
      <c r="H59" s="56"/>
      <c r="I59" s="56"/>
      <c r="J59" s="56"/>
      <c r="K59" s="56"/>
      <c r="L59" s="55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</row>
    <row r="60" spans="1:69" x14ac:dyDescent="0.35">
      <c r="A60" s="58"/>
      <c r="B60" s="1">
        <v>43556</v>
      </c>
      <c r="C60" s="60"/>
      <c r="D60" s="61"/>
      <c r="E60" s="56"/>
      <c r="F60" s="56"/>
      <c r="G60" s="56"/>
      <c r="H60" s="56"/>
      <c r="I60" s="56"/>
      <c r="J60" s="56"/>
      <c r="K60" s="56"/>
      <c r="L60" s="5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</row>
    <row r="61" spans="1:69" x14ac:dyDescent="0.35">
      <c r="A61" s="58"/>
      <c r="B61" s="1">
        <v>43586</v>
      </c>
      <c r="C61" s="60"/>
      <c r="D61" s="61"/>
      <c r="E61" s="56"/>
      <c r="F61" s="56"/>
      <c r="G61" s="56"/>
      <c r="H61" s="56"/>
      <c r="I61" s="56"/>
      <c r="J61" s="56"/>
      <c r="K61" s="56"/>
      <c r="L61" s="55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</row>
    <row r="62" spans="1:69" x14ac:dyDescent="0.35">
      <c r="A62" s="58"/>
      <c r="B62" s="1">
        <v>43617</v>
      </c>
      <c r="C62" s="60"/>
      <c r="D62" s="61"/>
      <c r="E62" s="56"/>
      <c r="F62" s="56"/>
      <c r="G62" s="56"/>
      <c r="H62" s="56"/>
      <c r="I62" s="56"/>
      <c r="J62" s="56"/>
      <c r="K62" s="56"/>
      <c r="L62" s="55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</row>
    <row r="63" spans="1:69" x14ac:dyDescent="0.35">
      <c r="A63" s="58"/>
      <c r="B63" s="1">
        <v>43647</v>
      </c>
      <c r="C63" s="60"/>
      <c r="D63" s="61"/>
      <c r="E63" s="56"/>
      <c r="F63" s="56"/>
      <c r="G63" s="56"/>
      <c r="H63" s="56"/>
      <c r="I63" s="56"/>
      <c r="J63" s="56"/>
      <c r="K63" s="56"/>
      <c r="L63" s="55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</row>
    <row r="64" spans="1:69" x14ac:dyDescent="0.35">
      <c r="A64" s="58"/>
      <c r="B64" s="1">
        <v>43678</v>
      </c>
      <c r="C64" s="60"/>
      <c r="D64" s="61"/>
      <c r="E64" s="56"/>
      <c r="F64" s="56"/>
      <c r="G64" s="56"/>
      <c r="H64" s="56"/>
      <c r="I64" s="56"/>
      <c r="J64" s="56"/>
      <c r="K64" s="56"/>
      <c r="L64" s="55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</row>
    <row r="65" spans="1:69" x14ac:dyDescent="0.35">
      <c r="A65" s="58"/>
      <c r="B65" s="1">
        <v>43709</v>
      </c>
      <c r="C65" s="60"/>
      <c r="D65" s="61"/>
      <c r="E65" s="56"/>
      <c r="F65" s="56"/>
      <c r="G65" s="56"/>
      <c r="H65" s="56"/>
      <c r="I65" s="56"/>
      <c r="J65" s="56"/>
      <c r="K65" s="56"/>
      <c r="L65" s="55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</row>
    <row r="66" spans="1:69" x14ac:dyDescent="0.35">
      <c r="A66" s="58"/>
      <c r="B66" s="1">
        <v>43739</v>
      </c>
      <c r="C66" s="60"/>
      <c r="D66" s="61"/>
      <c r="E66" s="56"/>
      <c r="F66" s="56"/>
      <c r="G66" s="56"/>
      <c r="H66" s="56"/>
      <c r="I66" s="56"/>
      <c r="J66" s="56"/>
      <c r="K66" s="56"/>
      <c r="L66" s="55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</row>
    <row r="67" spans="1:69" x14ac:dyDescent="0.35">
      <c r="A67" s="58"/>
      <c r="B67" s="1">
        <v>43770</v>
      </c>
      <c r="C67" s="60"/>
      <c r="D67" s="61"/>
      <c r="E67" s="56"/>
      <c r="F67" s="56"/>
      <c r="G67" s="56"/>
      <c r="H67" s="56"/>
      <c r="I67" s="56"/>
      <c r="J67" s="56"/>
      <c r="K67" s="56"/>
      <c r="L67" s="55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</row>
    <row r="68" spans="1:69" x14ac:dyDescent="0.35">
      <c r="A68" s="58"/>
      <c r="B68" s="1">
        <v>43800</v>
      </c>
      <c r="C68" s="60"/>
      <c r="D68" s="61"/>
      <c r="E68" s="56"/>
      <c r="F68" s="56"/>
      <c r="G68" s="56"/>
      <c r="H68" s="56"/>
      <c r="I68" s="56"/>
      <c r="J68" s="56"/>
      <c r="K68" s="56"/>
      <c r="L68" s="55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</row>
    <row r="69" spans="1:69" x14ac:dyDescent="0.3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</row>
    <row r="70" spans="1:69" x14ac:dyDescent="0.3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</row>
    <row r="71" spans="1:69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</row>
    <row r="72" spans="1:69" x14ac:dyDescent="0.3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</row>
    <row r="73" spans="1:69" x14ac:dyDescent="0.3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</row>
    <row r="74" spans="1:69" x14ac:dyDescent="0.3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</row>
    <row r="75" spans="1:69" x14ac:dyDescent="0.3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</row>
    <row r="76" spans="1:69" x14ac:dyDescent="0.3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</row>
    <row r="77" spans="1:69" x14ac:dyDescent="0.3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</row>
    <row r="78" spans="1:69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</row>
    <row r="79" spans="1:69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</row>
    <row r="80" spans="1:69" x14ac:dyDescent="0.3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</row>
    <row r="81" spans="1:69" x14ac:dyDescent="0.3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</row>
    <row r="82" spans="1:69" x14ac:dyDescent="0.3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</row>
    <row r="83" spans="1:69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</row>
    <row r="84" spans="1:69" x14ac:dyDescent="0.3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</row>
    <row r="85" spans="1:69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</row>
    <row r="86" spans="1:69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</row>
    <row r="87" spans="1:69" x14ac:dyDescent="0.3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</row>
    <row r="88" spans="1:69" x14ac:dyDescent="0.3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</row>
    <row r="89" spans="1:69" x14ac:dyDescent="0.3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</row>
    <row r="90" spans="1:69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</row>
    <row r="91" spans="1:69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</row>
    <row r="92" spans="1:69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</row>
    <row r="93" spans="1:69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</row>
    <row r="94" spans="1:69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</row>
    <row r="95" spans="1:69" x14ac:dyDescent="0.3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</row>
    <row r="96" spans="1:69" x14ac:dyDescent="0.3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</row>
    <row r="97" spans="1:69" x14ac:dyDescent="0.3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</row>
    <row r="98" spans="1:69" x14ac:dyDescent="0.3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</row>
    <row r="99" spans="1:69" x14ac:dyDescent="0.3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</row>
    <row r="100" spans="1:69" x14ac:dyDescent="0.3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</row>
    <row r="101" spans="1:69" x14ac:dyDescent="0.3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</row>
    <row r="102" spans="1:69" x14ac:dyDescent="0.3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</row>
    <row r="103" spans="1:69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</row>
    <row r="104" spans="1:69" x14ac:dyDescent="0.3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</row>
    <row r="105" spans="1:69" x14ac:dyDescent="0.3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</row>
    <row r="106" spans="1:69" x14ac:dyDescent="0.3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</row>
    <row r="107" spans="1:69" x14ac:dyDescent="0.3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</row>
    <row r="108" spans="1:69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</row>
    <row r="109" spans="1:69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</row>
    <row r="110" spans="1:69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</row>
    <row r="111" spans="1:69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</row>
    <row r="112" spans="1:69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</row>
    <row r="113" spans="1:69" x14ac:dyDescent="0.3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</row>
    <row r="114" spans="1:69" x14ac:dyDescent="0.3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</row>
    <row r="115" spans="1:69" x14ac:dyDescent="0.3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</row>
    <row r="116" spans="1:69" x14ac:dyDescent="0.3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</row>
    <row r="117" spans="1:69" x14ac:dyDescent="0.3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</row>
    <row r="118" spans="1:69" x14ac:dyDescent="0.3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</row>
    <row r="119" spans="1:69" x14ac:dyDescent="0.3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</row>
    <row r="120" spans="1:69" x14ac:dyDescent="0.3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</row>
    <row r="121" spans="1:69" x14ac:dyDescent="0.3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</row>
    <row r="122" spans="1:69" x14ac:dyDescent="0.3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</row>
    <row r="123" spans="1:69" x14ac:dyDescent="0.3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</row>
    <row r="124" spans="1:69" x14ac:dyDescent="0.3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</row>
    <row r="125" spans="1:69" x14ac:dyDescent="0.3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</row>
    <row r="126" spans="1:69" x14ac:dyDescent="0.3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</row>
    <row r="127" spans="1:69" x14ac:dyDescent="0.3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</row>
    <row r="128" spans="1:69" x14ac:dyDescent="0.3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</row>
    <row r="129" spans="1:69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</row>
    <row r="130" spans="1:69" x14ac:dyDescent="0.3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</row>
    <row r="131" spans="1:69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</row>
    <row r="132" spans="1:69" x14ac:dyDescent="0.3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</row>
    <row r="133" spans="1:69" x14ac:dyDescent="0.3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</row>
    <row r="134" spans="1:69" x14ac:dyDescent="0.3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</row>
    <row r="135" spans="1:69" x14ac:dyDescent="0.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</row>
    <row r="136" spans="1:69" x14ac:dyDescent="0.3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</row>
    <row r="137" spans="1:69" x14ac:dyDescent="0.3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</row>
    <row r="138" spans="1:69" x14ac:dyDescent="0.3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</row>
    <row r="139" spans="1:69" x14ac:dyDescent="0.3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</row>
    <row r="140" spans="1:69" x14ac:dyDescent="0.3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</row>
    <row r="141" spans="1:69" x14ac:dyDescent="0.3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</row>
    <row r="142" spans="1:69" x14ac:dyDescent="0.3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</row>
    <row r="143" spans="1:69" x14ac:dyDescent="0.3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</row>
    <row r="144" spans="1:69" x14ac:dyDescent="0.3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</row>
    <row r="145" spans="1:69" x14ac:dyDescent="0.3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</row>
    <row r="146" spans="1:69" x14ac:dyDescent="0.3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</row>
    <row r="147" spans="1:69" x14ac:dyDescent="0.3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</row>
    <row r="148" spans="1:69" x14ac:dyDescent="0.3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</row>
    <row r="149" spans="1:69" x14ac:dyDescent="0.3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</row>
    <row r="150" spans="1:69" x14ac:dyDescent="0.3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</row>
    <row r="151" spans="1:69" x14ac:dyDescent="0.3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</row>
    <row r="152" spans="1:69" x14ac:dyDescent="0.3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</row>
    <row r="153" spans="1:69" x14ac:dyDescent="0.3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</row>
    <row r="154" spans="1:69" x14ac:dyDescent="0.3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</row>
    <row r="155" spans="1:69" x14ac:dyDescent="0.3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</row>
    <row r="156" spans="1:69" x14ac:dyDescent="0.3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</row>
    <row r="157" spans="1:69" x14ac:dyDescent="0.3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</row>
    <row r="158" spans="1:69" x14ac:dyDescent="0.3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</row>
    <row r="159" spans="1:69" x14ac:dyDescent="0.3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</row>
    <row r="160" spans="1:69" x14ac:dyDescent="0.3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</row>
    <row r="161" spans="1:69" x14ac:dyDescent="0.3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</row>
    <row r="162" spans="1:69" x14ac:dyDescent="0.3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</row>
    <row r="163" spans="1:69" x14ac:dyDescent="0.3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</row>
    <row r="164" spans="1:69" x14ac:dyDescent="0.3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</row>
    <row r="165" spans="1:69" x14ac:dyDescent="0.3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</row>
    <row r="166" spans="1:69" x14ac:dyDescent="0.3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</row>
    <row r="167" spans="1:69" x14ac:dyDescent="0.3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</row>
    <row r="168" spans="1:69" x14ac:dyDescent="0.3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</row>
    <row r="169" spans="1:69" x14ac:dyDescent="0.3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</row>
    <row r="170" spans="1:69" x14ac:dyDescent="0.3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</row>
    <row r="171" spans="1:69" x14ac:dyDescent="0.3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</row>
    <row r="172" spans="1:69" x14ac:dyDescent="0.3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</row>
    <row r="173" spans="1:69" x14ac:dyDescent="0.3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</row>
    <row r="174" spans="1:69" x14ac:dyDescent="0.3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</row>
    <row r="175" spans="1:69" x14ac:dyDescent="0.3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</row>
    <row r="176" spans="1:69" x14ac:dyDescent="0.3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</row>
    <row r="177" spans="1:69" x14ac:dyDescent="0.3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</row>
    <row r="178" spans="1:69" x14ac:dyDescent="0.3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</row>
    <row r="179" spans="1:69" x14ac:dyDescent="0.3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</row>
    <row r="180" spans="1:69" x14ac:dyDescent="0.3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</row>
    <row r="181" spans="1:69" x14ac:dyDescent="0.3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</row>
    <row r="182" spans="1:69" x14ac:dyDescent="0.3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</row>
    <row r="183" spans="1:69" x14ac:dyDescent="0.3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</row>
    <row r="184" spans="1:69" x14ac:dyDescent="0.3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</row>
    <row r="185" spans="1:69" x14ac:dyDescent="0.3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</row>
    <row r="186" spans="1:69" x14ac:dyDescent="0.3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</row>
    <row r="187" spans="1:69" x14ac:dyDescent="0.3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</row>
    <row r="188" spans="1:69" x14ac:dyDescent="0.3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</row>
    <row r="189" spans="1:69" x14ac:dyDescent="0.3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</row>
    <row r="190" spans="1:69" x14ac:dyDescent="0.3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</row>
    <row r="191" spans="1:69" x14ac:dyDescent="0.3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</row>
    <row r="192" spans="1:69" x14ac:dyDescent="0.3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</row>
    <row r="193" spans="1:69" x14ac:dyDescent="0.3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</row>
    <row r="194" spans="1:69" x14ac:dyDescent="0.3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</row>
    <row r="195" spans="1:69" x14ac:dyDescent="0.3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</row>
    <row r="196" spans="1:69" x14ac:dyDescent="0.3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</row>
    <row r="197" spans="1:69" x14ac:dyDescent="0.3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</row>
    <row r="198" spans="1:69" x14ac:dyDescent="0.3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</row>
    <row r="199" spans="1:69" x14ac:dyDescent="0.3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</row>
    <row r="200" spans="1:69" x14ac:dyDescent="0.3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</row>
    <row r="201" spans="1:69" x14ac:dyDescent="0.3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</row>
    <row r="202" spans="1:69" x14ac:dyDescent="0.3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</row>
    <row r="203" spans="1:69" x14ac:dyDescent="0.3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</row>
    <row r="204" spans="1:69" x14ac:dyDescent="0.3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</row>
    <row r="205" spans="1:69" x14ac:dyDescent="0.3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</row>
    <row r="206" spans="1:69" x14ac:dyDescent="0.3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</row>
    <row r="207" spans="1:69" x14ac:dyDescent="0.3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</row>
    <row r="208" spans="1:69" x14ac:dyDescent="0.3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</row>
    <row r="209" spans="1:69" x14ac:dyDescent="0.3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</row>
    <row r="210" spans="1:69" x14ac:dyDescent="0.3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</row>
    <row r="211" spans="1:69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</row>
    <row r="212" spans="1:69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</row>
    <row r="213" spans="1:69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</row>
    <row r="214" spans="1:69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</row>
    <row r="215" spans="1:69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</row>
    <row r="216" spans="1:69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</row>
    <row r="217" spans="1:69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</row>
    <row r="218" spans="1:69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</row>
    <row r="219" spans="1:69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</row>
    <row r="220" spans="1:69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</row>
    <row r="221" spans="1:69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</row>
    <row r="222" spans="1:69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</row>
    <row r="223" spans="1:69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</row>
    <row r="224" spans="1:69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</row>
    <row r="225" spans="1:69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</row>
    <row r="226" spans="1:69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</row>
    <row r="227" spans="1:69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</row>
    <row r="228" spans="1:69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</row>
    <row r="229" spans="1:69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</row>
    <row r="230" spans="1:69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</row>
    <row r="231" spans="1:69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</row>
    <row r="232" spans="1:69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</row>
    <row r="233" spans="1:69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</row>
    <row r="234" spans="1:69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</row>
    <row r="235" spans="1:69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</row>
    <row r="236" spans="1:69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</row>
    <row r="237" spans="1:69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</row>
    <row r="238" spans="1:69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</row>
    <row r="239" spans="1:69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</row>
    <row r="240" spans="1:69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</row>
    <row r="241" spans="1:69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</row>
    <row r="242" spans="1:69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</row>
    <row r="243" spans="1:69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</row>
    <row r="244" spans="1:69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</row>
    <row r="245" spans="1:69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</row>
    <row r="246" spans="1:69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</row>
    <row r="247" spans="1:69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</row>
    <row r="248" spans="1:69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</row>
    <row r="249" spans="1:69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</row>
    <row r="250" spans="1:69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</row>
    <row r="251" spans="1:69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</row>
    <row r="252" spans="1:69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</row>
    <row r="253" spans="1:69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</row>
    <row r="254" spans="1:69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</row>
    <row r="255" spans="1:69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</row>
    <row r="256" spans="1:69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</row>
    <row r="257" spans="1:69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</row>
    <row r="258" spans="1:69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</row>
    <row r="259" spans="1:69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</row>
    <row r="260" spans="1:69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</row>
    <row r="261" spans="1:69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</row>
    <row r="262" spans="1:69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</row>
    <row r="263" spans="1:69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</row>
    <row r="264" spans="1:69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</row>
    <row r="265" spans="1:69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</row>
    <row r="266" spans="1:69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</row>
    <row r="267" spans="1:69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</row>
    <row r="268" spans="1:69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</row>
    <row r="269" spans="1:69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</row>
    <row r="270" spans="1:69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</row>
    <row r="271" spans="1:69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</row>
    <row r="272" spans="1:69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</row>
    <row r="273" spans="1:69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</row>
    <row r="274" spans="1:69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</row>
    <row r="275" spans="1:69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</row>
    <row r="276" spans="1:69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</row>
    <row r="277" spans="1:69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</row>
    <row r="278" spans="1:69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</row>
    <row r="279" spans="1:69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</row>
    <row r="280" spans="1:69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</row>
    <row r="281" spans="1:69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</row>
    <row r="282" spans="1:69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</row>
    <row r="283" spans="1:69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</row>
    <row r="284" spans="1:69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</row>
    <row r="285" spans="1:69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</row>
    <row r="286" spans="1:69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</row>
    <row r="287" spans="1:69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</row>
    <row r="288" spans="1:69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</row>
    <row r="289" spans="1:69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</row>
    <row r="290" spans="1:69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</row>
    <row r="291" spans="1:69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</row>
    <row r="292" spans="1:69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</row>
    <row r="293" spans="1:69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</row>
    <row r="294" spans="1:69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</row>
    <row r="295" spans="1:69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</row>
    <row r="296" spans="1:69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</row>
    <row r="297" spans="1:69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</row>
    <row r="298" spans="1:69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</row>
    <row r="299" spans="1:69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</row>
    <row r="300" spans="1:69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</row>
    <row r="301" spans="1:69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</row>
    <row r="302" spans="1:69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</row>
    <row r="303" spans="1:69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</row>
    <row r="304" spans="1:69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</row>
    <row r="305" spans="1:69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</row>
    <row r="306" spans="1:69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</row>
    <row r="307" spans="1:69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</row>
    <row r="308" spans="1:69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</row>
    <row r="309" spans="1:69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</row>
    <row r="310" spans="1:69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</row>
    <row r="311" spans="1:69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</row>
    <row r="312" spans="1:69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</row>
    <row r="313" spans="1:69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</row>
    <row r="314" spans="1:69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</row>
    <row r="315" spans="1:69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</row>
    <row r="316" spans="1:69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</row>
    <row r="317" spans="1:69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</row>
    <row r="318" spans="1:69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</row>
    <row r="319" spans="1:69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</row>
    <row r="320" spans="1:69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</row>
    <row r="321" spans="1:69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</row>
    <row r="322" spans="1:69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</row>
    <row r="323" spans="1:69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</row>
    <row r="324" spans="1:69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</row>
    <row r="325" spans="1:69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</row>
    <row r="326" spans="1:69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</row>
    <row r="327" spans="1:69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</row>
    <row r="328" spans="1:69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</row>
    <row r="329" spans="1:69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</row>
    <row r="330" spans="1:69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</row>
    <row r="331" spans="1:69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</row>
    <row r="332" spans="1:69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</row>
    <row r="333" spans="1:69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</row>
    <row r="334" spans="1:69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</row>
    <row r="335" spans="1:69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</row>
    <row r="336" spans="1:69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</row>
    <row r="337" spans="1:69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</row>
    <row r="338" spans="1:69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</row>
    <row r="339" spans="1:69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</row>
    <row r="340" spans="1:69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</row>
    <row r="341" spans="1:69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</row>
    <row r="342" spans="1:69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</row>
    <row r="343" spans="1:69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</row>
    <row r="344" spans="1:69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</row>
    <row r="345" spans="1:69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</row>
    <row r="346" spans="1:69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</row>
    <row r="347" spans="1:69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</row>
    <row r="348" spans="1:69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</row>
    <row r="349" spans="1:69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</row>
    <row r="350" spans="1:69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</row>
    <row r="351" spans="1:69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</row>
    <row r="352" spans="1:69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</row>
    <row r="353" spans="1:69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</row>
    <row r="354" spans="1:69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</row>
    <row r="355" spans="1:69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</row>
    <row r="356" spans="1:69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</row>
    <row r="357" spans="1:69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</row>
    <row r="358" spans="1:69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</row>
    <row r="359" spans="1:69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</row>
    <row r="360" spans="1:69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</row>
    <row r="361" spans="1:69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</row>
    <row r="362" spans="1:69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</row>
    <row r="363" spans="1:69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</row>
    <row r="364" spans="1:69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</row>
    <row r="365" spans="1:69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</row>
    <row r="366" spans="1:69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</row>
    <row r="367" spans="1:69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</row>
    <row r="368" spans="1:69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</row>
    <row r="369" spans="1:69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</row>
    <row r="370" spans="1:69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</row>
    <row r="371" spans="1:69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</row>
    <row r="372" spans="1:69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</row>
    <row r="373" spans="1:69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</row>
    <row r="374" spans="1:69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</row>
    <row r="375" spans="1:69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</row>
    <row r="376" spans="1:69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</row>
    <row r="377" spans="1:69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</row>
    <row r="378" spans="1:69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</row>
    <row r="379" spans="1:69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</row>
    <row r="380" spans="1:69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</row>
    <row r="381" spans="1:69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</row>
    <row r="382" spans="1:69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</row>
    <row r="383" spans="1:69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</row>
    <row r="384" spans="1:69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</row>
    <row r="385" spans="1:69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</row>
    <row r="386" spans="1:69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</row>
    <row r="387" spans="1:69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</row>
    <row r="388" spans="1:69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</row>
    <row r="389" spans="1:69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</row>
    <row r="390" spans="1:69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</row>
    <row r="391" spans="1:69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</row>
    <row r="392" spans="1:69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</row>
    <row r="393" spans="1:69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</row>
    <row r="394" spans="1:69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</row>
    <row r="395" spans="1:69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</row>
    <row r="396" spans="1:69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</row>
    <row r="397" spans="1:69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</row>
    <row r="398" spans="1:69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</row>
    <row r="399" spans="1:69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</row>
    <row r="400" spans="1:69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</row>
    <row r="401" spans="1:69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</row>
    <row r="402" spans="1:69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</row>
    <row r="403" spans="1:69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</row>
    <row r="404" spans="1:69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</row>
    <row r="405" spans="1:69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</row>
    <row r="406" spans="1:69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</row>
    <row r="407" spans="1:69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</row>
    <row r="408" spans="1:69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</row>
    <row r="409" spans="1:69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</row>
    <row r="410" spans="1:69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</row>
    <row r="411" spans="1:69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</row>
    <row r="412" spans="1:69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</row>
    <row r="413" spans="1:69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</row>
    <row r="414" spans="1:69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</row>
    <row r="415" spans="1:69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</row>
    <row r="416" spans="1:69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</row>
    <row r="417" spans="1:69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</row>
    <row r="418" spans="1:69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</row>
    <row r="419" spans="1:69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</row>
    <row r="420" spans="1:69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</row>
    <row r="421" spans="1:69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</row>
    <row r="422" spans="1:69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</row>
    <row r="423" spans="1:69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</row>
    <row r="424" spans="1:69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</row>
    <row r="425" spans="1:69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</row>
    <row r="426" spans="1:69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</row>
    <row r="427" spans="1:69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</row>
    <row r="428" spans="1:69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</row>
    <row r="429" spans="1:69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</row>
    <row r="430" spans="1:69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</row>
    <row r="431" spans="1:69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</row>
    <row r="432" spans="1:69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</row>
    <row r="433" spans="1:69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</row>
    <row r="434" spans="1:69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</row>
    <row r="435" spans="1:69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</row>
    <row r="436" spans="1:69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</row>
    <row r="437" spans="1:69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</row>
    <row r="438" spans="1:69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</row>
    <row r="439" spans="1:69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</row>
    <row r="440" spans="1:69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</row>
    <row r="441" spans="1:69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</row>
    <row r="442" spans="1:69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</row>
    <row r="443" spans="1:69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</row>
    <row r="444" spans="1:69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</row>
    <row r="445" spans="1:69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</row>
    <row r="446" spans="1:69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</row>
    <row r="447" spans="1:69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</row>
    <row r="448" spans="1:69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</row>
    <row r="449" spans="1:69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</row>
    <row r="450" spans="1:69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</row>
    <row r="451" spans="1:69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</row>
    <row r="452" spans="1:69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</row>
    <row r="453" spans="1:69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</row>
    <row r="454" spans="1:69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</row>
    <row r="455" spans="1:69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</row>
    <row r="456" spans="1:69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</row>
    <row r="457" spans="1:69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</row>
    <row r="458" spans="1:69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</row>
    <row r="459" spans="1:69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</row>
    <row r="460" spans="1:69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</row>
    <row r="461" spans="1:69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</row>
    <row r="462" spans="1:69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</row>
    <row r="463" spans="1:69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</row>
    <row r="464" spans="1:69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</row>
    <row r="465" spans="1:69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</row>
    <row r="466" spans="1:69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</row>
    <row r="467" spans="1:69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</row>
    <row r="468" spans="1:69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</row>
    <row r="469" spans="1:69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</row>
    <row r="470" spans="1:69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</row>
    <row r="471" spans="1:69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</row>
    <row r="472" spans="1:69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</row>
    <row r="473" spans="1:69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</row>
    <row r="474" spans="1:69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</row>
    <row r="475" spans="1:69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</row>
    <row r="476" spans="1:69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</row>
    <row r="477" spans="1:69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</row>
    <row r="478" spans="1:69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</row>
    <row r="479" spans="1:69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</row>
    <row r="480" spans="1:69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</row>
    <row r="481" spans="1:69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</row>
    <row r="482" spans="1:69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</row>
    <row r="483" spans="1:69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</row>
    <row r="484" spans="1:69" x14ac:dyDescent="0.3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</row>
    <row r="485" spans="1:69" x14ac:dyDescent="0.3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</row>
    <row r="486" spans="1:69" x14ac:dyDescent="0.3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</row>
    <row r="487" spans="1:69" x14ac:dyDescent="0.3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</row>
    <row r="488" spans="1:69" x14ac:dyDescent="0.3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</row>
    <row r="489" spans="1:69" x14ac:dyDescent="0.3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</row>
    <row r="490" spans="1:69" x14ac:dyDescent="0.3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</row>
    <row r="491" spans="1:69" x14ac:dyDescent="0.3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</row>
    <row r="492" spans="1:69" x14ac:dyDescent="0.3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</row>
    <row r="493" spans="1:69" x14ac:dyDescent="0.3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</row>
    <row r="494" spans="1:69" x14ac:dyDescent="0.3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</row>
    <row r="495" spans="1:69" x14ac:dyDescent="0.3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</row>
    <row r="496" spans="1:69" x14ac:dyDescent="0.3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</row>
    <row r="497" spans="1:69" x14ac:dyDescent="0.3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</row>
    <row r="498" spans="1:69" x14ac:dyDescent="0.3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</row>
    <row r="499" spans="1:69" x14ac:dyDescent="0.3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</row>
    <row r="500" spans="1:69" x14ac:dyDescent="0.3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</row>
    <row r="501" spans="1:69" x14ac:dyDescent="0.3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</row>
    <row r="502" spans="1:69" x14ac:dyDescent="0.3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</row>
    <row r="503" spans="1:69" x14ac:dyDescent="0.3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</row>
    <row r="504" spans="1:69" x14ac:dyDescent="0.3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</row>
    <row r="505" spans="1:69" x14ac:dyDescent="0.3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</row>
    <row r="506" spans="1:69" x14ac:dyDescent="0.3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</row>
    <row r="507" spans="1:69" x14ac:dyDescent="0.3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</row>
    <row r="508" spans="1:69" x14ac:dyDescent="0.3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</row>
    <row r="509" spans="1:69" x14ac:dyDescent="0.3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</row>
    <row r="510" spans="1:69" x14ac:dyDescent="0.3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</row>
    <row r="511" spans="1:69" x14ac:dyDescent="0.3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</row>
    <row r="512" spans="1:69" x14ac:dyDescent="0.3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</row>
    <row r="513" spans="1:69" x14ac:dyDescent="0.3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</row>
    <row r="514" spans="1:69" x14ac:dyDescent="0.3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</row>
    <row r="515" spans="1:69" x14ac:dyDescent="0.3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</row>
    <row r="516" spans="1:69" x14ac:dyDescent="0.3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</row>
    <row r="517" spans="1:69" x14ac:dyDescent="0.3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</row>
    <row r="518" spans="1:69" x14ac:dyDescent="0.3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</row>
    <row r="519" spans="1:69" x14ac:dyDescent="0.3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</row>
    <row r="520" spans="1:69" x14ac:dyDescent="0.3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</row>
    <row r="521" spans="1:69" x14ac:dyDescent="0.3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</row>
    <row r="522" spans="1:69" x14ac:dyDescent="0.3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</row>
    <row r="523" spans="1:69" x14ac:dyDescent="0.3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</row>
    <row r="524" spans="1:69" x14ac:dyDescent="0.3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</row>
    <row r="525" spans="1:69" x14ac:dyDescent="0.3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</row>
    <row r="526" spans="1:69" x14ac:dyDescent="0.3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</row>
    <row r="527" spans="1:69" x14ac:dyDescent="0.3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</row>
    <row r="528" spans="1:69" x14ac:dyDescent="0.3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</row>
    <row r="529" spans="1:69" x14ac:dyDescent="0.3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</row>
    <row r="530" spans="1:69" x14ac:dyDescent="0.3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</row>
    <row r="531" spans="1:69" x14ac:dyDescent="0.3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</row>
    <row r="532" spans="1:69" x14ac:dyDescent="0.3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</row>
    <row r="533" spans="1:69" x14ac:dyDescent="0.3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</row>
    <row r="534" spans="1:69" x14ac:dyDescent="0.3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</row>
    <row r="535" spans="1:69" x14ac:dyDescent="0.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</row>
    <row r="536" spans="1:69" x14ac:dyDescent="0.3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</row>
    <row r="537" spans="1:69" x14ac:dyDescent="0.3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</row>
    <row r="538" spans="1:69" x14ac:dyDescent="0.3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</row>
    <row r="539" spans="1:69" x14ac:dyDescent="0.3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</row>
    <row r="540" spans="1:69" x14ac:dyDescent="0.3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</row>
    <row r="541" spans="1:69" x14ac:dyDescent="0.3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</row>
    <row r="542" spans="1:69" x14ac:dyDescent="0.3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</row>
    <row r="543" spans="1:69" x14ac:dyDescent="0.3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</row>
    <row r="544" spans="1:69" x14ac:dyDescent="0.3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</row>
    <row r="545" spans="1:69" x14ac:dyDescent="0.3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</row>
    <row r="546" spans="1:69" x14ac:dyDescent="0.3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</row>
    <row r="547" spans="1:69" x14ac:dyDescent="0.3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</row>
    <row r="548" spans="1:69" x14ac:dyDescent="0.3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</row>
    <row r="549" spans="1:69" x14ac:dyDescent="0.3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</row>
    <row r="550" spans="1:69" x14ac:dyDescent="0.3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</row>
    <row r="551" spans="1:69" x14ac:dyDescent="0.3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</row>
    <row r="552" spans="1:69" x14ac:dyDescent="0.3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</row>
    <row r="553" spans="1:69" x14ac:dyDescent="0.3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</row>
    <row r="554" spans="1:69" x14ac:dyDescent="0.3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</row>
    <row r="555" spans="1:69" x14ac:dyDescent="0.3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</row>
    <row r="556" spans="1:69" x14ac:dyDescent="0.3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</row>
    <row r="557" spans="1:69" x14ac:dyDescent="0.3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</row>
    <row r="558" spans="1:69" x14ac:dyDescent="0.3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</row>
    <row r="559" spans="1:69" x14ac:dyDescent="0.3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</row>
    <row r="560" spans="1:69" x14ac:dyDescent="0.3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</row>
    <row r="561" spans="1:69" x14ac:dyDescent="0.3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</row>
    <row r="562" spans="1:69" x14ac:dyDescent="0.3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</row>
    <row r="563" spans="1:69" x14ac:dyDescent="0.3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</row>
    <row r="564" spans="1:69" x14ac:dyDescent="0.3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</row>
    <row r="565" spans="1:69" x14ac:dyDescent="0.3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</row>
    <row r="566" spans="1:69" x14ac:dyDescent="0.3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</row>
    <row r="567" spans="1:69" x14ac:dyDescent="0.3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</row>
    <row r="568" spans="1:69" x14ac:dyDescent="0.3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</row>
    <row r="569" spans="1:69" x14ac:dyDescent="0.3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</row>
    <row r="570" spans="1:69" x14ac:dyDescent="0.3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</row>
    <row r="571" spans="1:69" x14ac:dyDescent="0.3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</row>
    <row r="572" spans="1:69" x14ac:dyDescent="0.3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</row>
    <row r="573" spans="1:69" x14ac:dyDescent="0.3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</row>
    <row r="574" spans="1:69" x14ac:dyDescent="0.3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</row>
    <row r="575" spans="1:69" x14ac:dyDescent="0.3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</row>
    <row r="576" spans="1:69" x14ac:dyDescent="0.3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</row>
    <row r="577" spans="1:69" x14ac:dyDescent="0.3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</row>
    <row r="578" spans="1:69" x14ac:dyDescent="0.3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</row>
    <row r="579" spans="1:69" x14ac:dyDescent="0.3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</row>
    <row r="580" spans="1:69" x14ac:dyDescent="0.3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</row>
    <row r="581" spans="1:69" x14ac:dyDescent="0.3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</row>
    <row r="582" spans="1:69" x14ac:dyDescent="0.3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</row>
    <row r="583" spans="1:69" x14ac:dyDescent="0.3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</row>
    <row r="584" spans="1:69" x14ac:dyDescent="0.3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</row>
    <row r="585" spans="1:69" x14ac:dyDescent="0.3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</row>
    <row r="586" spans="1:69" x14ac:dyDescent="0.3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</row>
    <row r="587" spans="1:69" x14ac:dyDescent="0.3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</row>
    <row r="588" spans="1:69" x14ac:dyDescent="0.3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</row>
    <row r="589" spans="1:69" x14ac:dyDescent="0.3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</row>
    <row r="590" spans="1:69" x14ac:dyDescent="0.3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</row>
    <row r="591" spans="1:69" x14ac:dyDescent="0.3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</row>
    <row r="592" spans="1:69" x14ac:dyDescent="0.3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</row>
    <row r="593" spans="1:69" x14ac:dyDescent="0.3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</row>
    <row r="594" spans="1:69" x14ac:dyDescent="0.3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</row>
    <row r="595" spans="1:69" x14ac:dyDescent="0.3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</row>
    <row r="596" spans="1:69" x14ac:dyDescent="0.3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</row>
    <row r="597" spans="1:69" x14ac:dyDescent="0.3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</row>
    <row r="598" spans="1:69" x14ac:dyDescent="0.3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</row>
    <row r="599" spans="1:69" x14ac:dyDescent="0.3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</row>
    <row r="600" spans="1:69" x14ac:dyDescent="0.3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</row>
    <row r="601" spans="1:69" x14ac:dyDescent="0.3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</row>
    <row r="602" spans="1:69" x14ac:dyDescent="0.3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</row>
    <row r="603" spans="1:69" x14ac:dyDescent="0.3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</row>
    <row r="604" spans="1:69" x14ac:dyDescent="0.3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</row>
    <row r="605" spans="1:69" x14ac:dyDescent="0.3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</row>
    <row r="606" spans="1:69" x14ac:dyDescent="0.3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</row>
    <row r="607" spans="1:69" x14ac:dyDescent="0.3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</row>
    <row r="608" spans="1:69" x14ac:dyDescent="0.3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</row>
    <row r="609" spans="1:69" x14ac:dyDescent="0.3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</row>
    <row r="610" spans="1:69" x14ac:dyDescent="0.3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</row>
    <row r="611" spans="1:69" x14ac:dyDescent="0.3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</row>
    <row r="612" spans="1:69" x14ac:dyDescent="0.3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</row>
    <row r="613" spans="1:69" x14ac:dyDescent="0.3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</row>
    <row r="614" spans="1:69" x14ac:dyDescent="0.3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</row>
    <row r="615" spans="1:69" x14ac:dyDescent="0.3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</row>
    <row r="616" spans="1:69" x14ac:dyDescent="0.3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</row>
    <row r="617" spans="1:69" x14ac:dyDescent="0.3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</row>
    <row r="618" spans="1:69" x14ac:dyDescent="0.3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</row>
    <row r="619" spans="1:69" x14ac:dyDescent="0.3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</row>
    <row r="620" spans="1:69" x14ac:dyDescent="0.3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</row>
    <row r="621" spans="1:69" x14ac:dyDescent="0.3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</row>
    <row r="622" spans="1:69" x14ac:dyDescent="0.3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</row>
    <row r="623" spans="1:69" x14ac:dyDescent="0.3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</row>
    <row r="624" spans="1:69" x14ac:dyDescent="0.3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</row>
    <row r="625" spans="1:69" x14ac:dyDescent="0.3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</row>
    <row r="626" spans="1:69" x14ac:dyDescent="0.3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</row>
    <row r="627" spans="1:69" x14ac:dyDescent="0.3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</row>
    <row r="628" spans="1:69" x14ac:dyDescent="0.3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</row>
    <row r="629" spans="1:69" x14ac:dyDescent="0.3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</row>
    <row r="630" spans="1:69" x14ac:dyDescent="0.3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</row>
    <row r="631" spans="1:69" x14ac:dyDescent="0.3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</row>
    <row r="632" spans="1:69" x14ac:dyDescent="0.3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</row>
    <row r="633" spans="1:69" x14ac:dyDescent="0.3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</row>
    <row r="634" spans="1:69" x14ac:dyDescent="0.3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</row>
    <row r="635" spans="1:69" x14ac:dyDescent="0.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</row>
    <row r="636" spans="1:69" x14ac:dyDescent="0.3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</row>
    <row r="637" spans="1:69" x14ac:dyDescent="0.3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</row>
    <row r="638" spans="1:69" x14ac:dyDescent="0.3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</row>
    <row r="639" spans="1:69" x14ac:dyDescent="0.3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</row>
    <row r="640" spans="1:69" x14ac:dyDescent="0.3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</row>
    <row r="641" spans="1:69" x14ac:dyDescent="0.3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</row>
    <row r="642" spans="1:69" x14ac:dyDescent="0.3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</row>
    <row r="643" spans="1:69" x14ac:dyDescent="0.3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</row>
    <row r="644" spans="1:69" x14ac:dyDescent="0.3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</row>
    <row r="645" spans="1:69" x14ac:dyDescent="0.3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</row>
    <row r="646" spans="1:69" x14ac:dyDescent="0.3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</row>
  </sheetData>
  <mergeCells count="2">
    <mergeCell ref="B2:K2"/>
    <mergeCell ref="B3:K3"/>
  </mergeCells>
  <hyperlinks>
    <hyperlink ref="B3" r:id="rId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334"/>
  <sheetViews>
    <sheetView showGridLines="0" workbookViewId="0">
      <pane ySplit="7" topLeftCell="A49" activePane="bottomLeft" state="frozen"/>
      <selection activeCell="A2" sqref="A2:L2"/>
      <selection pane="bottomLeft" activeCell="A2" sqref="A2:L2"/>
    </sheetView>
  </sheetViews>
  <sheetFormatPr baseColWidth="10" defaultColWidth="9.1796875" defaultRowHeight="14.5" x14ac:dyDescent="0.35"/>
  <cols>
    <col min="1" max="1" width="4.81640625" customWidth="1"/>
    <col min="3" max="3" width="10.81640625" customWidth="1"/>
    <col min="4" max="4" width="7" customWidth="1"/>
    <col min="5" max="5" width="19.1796875" customWidth="1"/>
    <col min="7" max="7" width="23.1796875" customWidth="1"/>
    <col min="8" max="8" width="13.81640625" customWidth="1"/>
    <col min="9" max="9" width="5.453125" customWidth="1"/>
  </cols>
  <sheetData>
    <row r="1" spans="1:74" s="8" customFormat="1" ht="16.5" customHeight="1" x14ac:dyDescent="0.35">
      <c r="A1" s="21"/>
      <c r="B1" s="22"/>
      <c r="C1" s="22"/>
      <c r="D1" s="22"/>
      <c r="E1" s="22"/>
      <c r="F1" s="22"/>
      <c r="G1" s="22"/>
      <c r="H1" s="22"/>
      <c r="I1" s="23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35">
      <c r="A2" s="24"/>
      <c r="B2" s="373" t="s">
        <v>12</v>
      </c>
      <c r="C2" s="373"/>
      <c r="D2" s="373"/>
      <c r="E2" s="373"/>
      <c r="F2" s="373"/>
      <c r="G2" s="373"/>
      <c r="H2" s="373"/>
      <c r="I2" s="25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  <row r="3" spans="1:74" x14ac:dyDescent="0.35">
      <c r="A3" s="24"/>
      <c r="B3" s="15" t="s">
        <v>11</v>
      </c>
      <c r="C3" s="15" t="s">
        <v>10</v>
      </c>
      <c r="D3" s="375" t="s">
        <v>9</v>
      </c>
      <c r="E3" s="375"/>
      <c r="F3" s="375" t="s">
        <v>8</v>
      </c>
      <c r="G3" s="375"/>
      <c r="H3" s="15" t="s">
        <v>7</v>
      </c>
      <c r="I3" s="25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</row>
    <row r="4" spans="1:74" ht="24" x14ac:dyDescent="0.35">
      <c r="A4" s="24"/>
      <c r="B4" s="16" t="s">
        <v>6</v>
      </c>
      <c r="C4" s="16" t="s">
        <v>5</v>
      </c>
      <c r="D4" s="376" t="s">
        <v>72</v>
      </c>
      <c r="E4" s="376"/>
      <c r="F4" s="376" t="s">
        <v>73</v>
      </c>
      <c r="G4" s="376"/>
      <c r="H4" s="16" t="s">
        <v>4</v>
      </c>
      <c r="I4" s="25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</row>
    <row r="5" spans="1:74" x14ac:dyDescent="0.35">
      <c r="A5" s="24"/>
      <c r="B5" s="374" t="s">
        <v>3</v>
      </c>
      <c r="C5" s="374"/>
      <c r="D5" s="374"/>
      <c r="E5" s="374"/>
      <c r="F5" s="374"/>
      <c r="G5" s="374"/>
      <c r="H5" s="374"/>
      <c r="I5" s="25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74" x14ac:dyDescent="0.35">
      <c r="A6" s="24"/>
      <c r="B6" s="26"/>
      <c r="C6" s="26"/>
      <c r="D6" s="26"/>
      <c r="E6" s="26"/>
      <c r="F6" s="26"/>
      <c r="G6" s="26"/>
      <c r="H6" s="26"/>
      <c r="I6" s="25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74" x14ac:dyDescent="0.35">
      <c r="A7" s="24"/>
      <c r="B7" s="17" t="s">
        <v>0</v>
      </c>
      <c r="C7" s="17" t="s">
        <v>2</v>
      </c>
      <c r="D7" s="26"/>
      <c r="E7" s="26"/>
      <c r="F7" s="26"/>
      <c r="G7" s="26"/>
      <c r="H7" s="26"/>
      <c r="I7" s="25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74" x14ac:dyDescent="0.35">
      <c r="A8" s="24"/>
      <c r="B8" s="18">
        <v>41913</v>
      </c>
      <c r="C8" s="19">
        <v>11.4</v>
      </c>
      <c r="D8" s="26"/>
      <c r="E8" s="26"/>
      <c r="F8" s="26"/>
      <c r="G8" s="26"/>
      <c r="H8" s="26"/>
      <c r="I8" s="25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</row>
    <row r="9" spans="1:74" x14ac:dyDescent="0.35">
      <c r="A9" s="24"/>
      <c r="B9" s="18">
        <v>41944</v>
      </c>
      <c r="C9" s="19">
        <v>11.4</v>
      </c>
      <c r="D9" s="26"/>
      <c r="E9" s="26"/>
      <c r="F9" s="26"/>
      <c r="G9" s="26"/>
      <c r="H9" s="26"/>
      <c r="I9" s="25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</row>
    <row r="10" spans="1:74" x14ac:dyDescent="0.35">
      <c r="A10" s="24"/>
      <c r="B10" s="18">
        <v>41974</v>
      </c>
      <c r="C10" s="19">
        <v>11.4</v>
      </c>
      <c r="D10" s="26"/>
      <c r="E10" s="26"/>
      <c r="F10" s="26"/>
      <c r="G10" s="26"/>
      <c r="H10" s="26"/>
      <c r="I10" s="25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1:74" x14ac:dyDescent="0.35">
      <c r="A11" s="24"/>
      <c r="B11" s="18">
        <v>42005</v>
      </c>
      <c r="C11" s="19">
        <v>10.83</v>
      </c>
      <c r="D11" s="26"/>
      <c r="E11" s="26"/>
      <c r="F11" s="26"/>
      <c r="G11" s="26"/>
      <c r="H11" s="26"/>
      <c r="I11" s="25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1:74" x14ac:dyDescent="0.35">
      <c r="A12" s="24"/>
      <c r="B12" s="18">
        <v>42036</v>
      </c>
      <c r="C12" s="19">
        <v>10.92</v>
      </c>
      <c r="D12" s="26"/>
      <c r="E12" s="26"/>
      <c r="F12" s="26"/>
      <c r="G12" s="26"/>
      <c r="H12" s="26"/>
      <c r="I12" s="2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1:74" x14ac:dyDescent="0.35">
      <c r="A13" s="24"/>
      <c r="B13" s="18">
        <v>42064</v>
      </c>
      <c r="C13" s="19">
        <v>11.03</v>
      </c>
      <c r="D13" s="26"/>
      <c r="E13" s="26"/>
      <c r="F13" s="26"/>
      <c r="G13" s="26"/>
      <c r="H13" s="26"/>
      <c r="I13" s="25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1:74" x14ac:dyDescent="0.35">
      <c r="A14" s="24"/>
      <c r="B14" s="18">
        <v>42095</v>
      </c>
      <c r="C14" s="19">
        <v>11.14</v>
      </c>
      <c r="D14" s="26"/>
      <c r="E14" s="26"/>
      <c r="F14" s="26"/>
      <c r="G14" s="26"/>
      <c r="H14" s="26"/>
      <c r="I14" s="25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1:74" x14ac:dyDescent="0.35">
      <c r="A15" s="24"/>
      <c r="B15" s="18">
        <v>42125</v>
      </c>
      <c r="C15" s="19">
        <v>11.34</v>
      </c>
      <c r="D15" s="26"/>
      <c r="E15" s="26"/>
      <c r="F15" s="26"/>
      <c r="G15" s="26"/>
      <c r="H15" s="26"/>
      <c r="I15" s="25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1:74" x14ac:dyDescent="0.35">
      <c r="A16" s="24"/>
      <c r="B16" s="18">
        <v>42156</v>
      </c>
      <c r="C16" s="19">
        <v>11.52</v>
      </c>
      <c r="D16" s="26"/>
      <c r="E16" s="26"/>
      <c r="F16" s="26"/>
      <c r="G16" s="26"/>
      <c r="H16" s="26"/>
      <c r="I16" s="25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1:74" x14ac:dyDescent="0.35">
      <c r="A17" s="24"/>
      <c r="B17" s="18">
        <v>42186</v>
      </c>
      <c r="C17" s="19">
        <v>11.67</v>
      </c>
      <c r="D17" s="26"/>
      <c r="E17" s="26"/>
      <c r="F17" s="26"/>
      <c r="G17" s="26"/>
      <c r="H17" s="26"/>
      <c r="I17" s="25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1:74" x14ac:dyDescent="0.35">
      <c r="A18" s="24"/>
      <c r="B18" s="18">
        <v>42217</v>
      </c>
      <c r="C18" s="19">
        <v>12.01</v>
      </c>
      <c r="D18" s="26"/>
      <c r="E18" s="26"/>
      <c r="F18" s="26"/>
      <c r="G18" s="26"/>
      <c r="H18" s="26"/>
      <c r="I18" s="25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1:74" x14ac:dyDescent="0.35">
      <c r="A19" s="24"/>
      <c r="B19" s="18">
        <v>42248</v>
      </c>
      <c r="C19" s="19">
        <v>12.01</v>
      </c>
      <c r="D19" s="26"/>
      <c r="E19" s="26"/>
      <c r="F19" s="26"/>
      <c r="G19" s="26"/>
      <c r="H19" s="26"/>
      <c r="I19" s="25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1:74" x14ac:dyDescent="0.35">
      <c r="A20" s="24"/>
      <c r="B20" s="18">
        <v>42278</v>
      </c>
      <c r="C20" s="19">
        <v>12.01</v>
      </c>
      <c r="D20" s="26"/>
      <c r="E20" s="26"/>
      <c r="F20" s="26"/>
      <c r="G20" s="26"/>
      <c r="H20" s="26"/>
      <c r="I20" s="25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1:74" x14ac:dyDescent="0.35">
      <c r="A21" s="24"/>
      <c r="B21" s="18">
        <v>42309</v>
      </c>
      <c r="C21" s="19">
        <v>12.52</v>
      </c>
      <c r="D21" s="26"/>
      <c r="E21" s="26"/>
      <c r="F21" s="26"/>
      <c r="G21" s="26"/>
      <c r="H21" s="26"/>
      <c r="I21" s="25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1:74" x14ac:dyDescent="0.35">
      <c r="A22" s="24"/>
      <c r="B22" s="18">
        <v>42339</v>
      </c>
      <c r="C22" s="19">
        <v>11.45</v>
      </c>
      <c r="D22" s="26"/>
      <c r="E22" s="26"/>
      <c r="F22" s="26"/>
      <c r="G22" s="26"/>
      <c r="H22" s="26"/>
      <c r="I22" s="25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1:74" x14ac:dyDescent="0.35">
      <c r="A23" s="24"/>
      <c r="B23" s="18">
        <v>42370</v>
      </c>
      <c r="C23" s="19">
        <v>12.19</v>
      </c>
      <c r="D23" s="26"/>
      <c r="E23" s="26"/>
      <c r="F23" s="26"/>
      <c r="G23" s="26"/>
      <c r="H23" s="26"/>
      <c r="I23" s="25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</row>
    <row r="24" spans="1:74" x14ac:dyDescent="0.35">
      <c r="A24" s="24"/>
      <c r="B24" s="18">
        <v>42401</v>
      </c>
      <c r="C24" s="19">
        <v>12.19</v>
      </c>
      <c r="D24" s="26"/>
      <c r="E24" s="26"/>
      <c r="F24" s="26"/>
      <c r="G24" s="26"/>
      <c r="H24" s="26"/>
      <c r="I24" s="25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</row>
    <row r="25" spans="1:74" x14ac:dyDescent="0.35">
      <c r="A25" s="24"/>
      <c r="B25" s="18">
        <v>42430</v>
      </c>
      <c r="C25" s="19">
        <v>12.96</v>
      </c>
      <c r="D25" s="26"/>
      <c r="E25" s="26"/>
      <c r="F25" s="26"/>
      <c r="G25" s="26"/>
      <c r="H25" s="26"/>
      <c r="I25" s="25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1:74" x14ac:dyDescent="0.35">
      <c r="A26" s="24"/>
      <c r="B26" s="18">
        <v>42461</v>
      </c>
      <c r="C26" s="19">
        <v>13.75</v>
      </c>
      <c r="D26" s="26"/>
      <c r="E26" s="26"/>
      <c r="F26" s="26"/>
      <c r="G26" s="26"/>
      <c r="H26" s="26"/>
      <c r="I26" s="25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</row>
    <row r="27" spans="1:74" x14ac:dyDescent="0.35">
      <c r="A27" s="24"/>
      <c r="B27" s="18">
        <v>42491</v>
      </c>
      <c r="C27" s="19">
        <v>15.12</v>
      </c>
      <c r="D27" s="26"/>
      <c r="E27" s="26"/>
      <c r="F27" s="26"/>
      <c r="G27" s="26"/>
      <c r="H27" s="26"/>
      <c r="I27" s="25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</row>
    <row r="28" spans="1:74" x14ac:dyDescent="0.35">
      <c r="A28" s="24"/>
      <c r="B28" s="18">
        <v>42522</v>
      </c>
      <c r="C28" s="19">
        <v>15.12</v>
      </c>
      <c r="D28" s="26"/>
      <c r="E28" s="26"/>
      <c r="F28" s="26"/>
      <c r="G28" s="26"/>
      <c r="H28" s="26"/>
      <c r="I28" s="25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</row>
    <row r="29" spans="1:74" x14ac:dyDescent="0.35">
      <c r="A29" s="24"/>
      <c r="B29" s="18">
        <v>42552</v>
      </c>
      <c r="C29" s="19">
        <v>15.12</v>
      </c>
      <c r="D29" s="26"/>
      <c r="E29" s="26"/>
      <c r="F29" s="26"/>
      <c r="G29" s="26"/>
      <c r="H29" s="26"/>
      <c r="I29" s="25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</row>
    <row r="30" spans="1:74" x14ac:dyDescent="0.35">
      <c r="A30" s="24"/>
      <c r="B30" s="18">
        <v>42583</v>
      </c>
      <c r="C30" s="19">
        <v>15.12</v>
      </c>
      <c r="D30" s="26"/>
      <c r="E30" s="26"/>
      <c r="F30" s="26"/>
      <c r="G30" s="26"/>
      <c r="H30" s="26"/>
      <c r="I30" s="25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</row>
    <row r="31" spans="1:74" x14ac:dyDescent="0.35">
      <c r="A31" s="24"/>
      <c r="B31" s="18">
        <v>42614</v>
      </c>
      <c r="C31" s="19">
        <v>15.12</v>
      </c>
      <c r="D31" s="65">
        <f t="shared" ref="D31:D46" si="0">+C31/C30-1</f>
        <v>0</v>
      </c>
      <c r="E31" s="26"/>
      <c r="F31" s="26"/>
      <c r="G31" s="26"/>
      <c r="H31" s="26"/>
      <c r="I31" s="25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</row>
    <row r="32" spans="1:74" x14ac:dyDescent="0.35">
      <c r="A32" s="24"/>
      <c r="B32" s="18">
        <v>42644</v>
      </c>
      <c r="C32" s="19">
        <v>15.12</v>
      </c>
      <c r="D32" s="65">
        <f t="shared" si="0"/>
        <v>0</v>
      </c>
      <c r="E32" s="26"/>
      <c r="F32" s="26"/>
      <c r="G32" s="26"/>
      <c r="H32" s="26"/>
      <c r="I32" s="25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</row>
    <row r="33" spans="1:74" x14ac:dyDescent="0.35">
      <c r="A33" s="24"/>
      <c r="B33" s="18">
        <v>42675</v>
      </c>
      <c r="C33" s="19">
        <v>15.12</v>
      </c>
      <c r="D33" s="65">
        <f t="shared" si="0"/>
        <v>0</v>
      </c>
      <c r="E33" s="26"/>
      <c r="F33" s="26"/>
      <c r="G33" s="26"/>
      <c r="H33" s="26"/>
      <c r="I33" s="25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</row>
    <row r="34" spans="1:74" x14ac:dyDescent="0.35">
      <c r="A34" s="24"/>
      <c r="B34" s="18">
        <v>42705</v>
      </c>
      <c r="C34" s="19">
        <v>15.12</v>
      </c>
      <c r="D34" s="65">
        <f t="shared" si="0"/>
        <v>0</v>
      </c>
      <c r="E34" s="26"/>
      <c r="F34" s="26"/>
      <c r="G34" s="26"/>
      <c r="H34" s="26"/>
      <c r="I34" s="25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</row>
    <row r="35" spans="1:74" x14ac:dyDescent="0.35">
      <c r="A35" s="24"/>
      <c r="B35" s="18">
        <v>42736</v>
      </c>
      <c r="C35" s="19">
        <v>16.329999999999998</v>
      </c>
      <c r="D35" s="65">
        <f t="shared" si="0"/>
        <v>8.002645502645489E-2</v>
      </c>
      <c r="E35" s="26"/>
      <c r="F35" s="26"/>
      <c r="G35" s="26"/>
      <c r="H35" s="26"/>
      <c r="I35" s="2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</row>
    <row r="36" spans="1:74" x14ac:dyDescent="0.35">
      <c r="A36" s="24"/>
      <c r="B36" s="18">
        <v>42767</v>
      </c>
      <c r="C36" s="19">
        <v>16.329999999999998</v>
      </c>
      <c r="D36" s="65">
        <f t="shared" si="0"/>
        <v>0</v>
      </c>
      <c r="E36" s="26"/>
      <c r="F36" s="26"/>
      <c r="G36" s="26"/>
      <c r="H36" s="26"/>
      <c r="I36" s="25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</row>
    <row r="37" spans="1:74" x14ac:dyDescent="0.35">
      <c r="A37" s="24"/>
      <c r="B37" s="18">
        <v>42795</v>
      </c>
      <c r="C37" s="19">
        <v>16.329999999999998</v>
      </c>
      <c r="D37" s="65">
        <f t="shared" si="0"/>
        <v>0</v>
      </c>
      <c r="E37" s="26"/>
      <c r="F37" s="26"/>
      <c r="G37" s="26"/>
      <c r="H37" s="26"/>
      <c r="I37" s="25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</row>
    <row r="38" spans="1:74" x14ac:dyDescent="0.35">
      <c r="A38" s="24"/>
      <c r="B38" s="18">
        <v>42826</v>
      </c>
      <c r="C38" s="19">
        <f>+C37</f>
        <v>16.329999999999998</v>
      </c>
      <c r="D38" s="65">
        <f t="shared" si="0"/>
        <v>0</v>
      </c>
      <c r="E38" s="26"/>
      <c r="F38" s="26"/>
      <c r="G38" s="26"/>
      <c r="H38" s="26"/>
      <c r="I38" s="25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</row>
    <row r="39" spans="1:74" x14ac:dyDescent="0.35">
      <c r="A39" s="24"/>
      <c r="B39" s="18">
        <v>42856</v>
      </c>
      <c r="C39" s="19">
        <v>15.91</v>
      </c>
      <c r="D39" s="65">
        <f t="shared" si="0"/>
        <v>-2.5719534598897642E-2</v>
      </c>
      <c r="E39" s="26"/>
      <c r="F39" s="26"/>
      <c r="G39" s="26"/>
      <c r="H39" s="26"/>
      <c r="I39" s="25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</row>
    <row r="40" spans="1:74" x14ac:dyDescent="0.35">
      <c r="A40" s="24"/>
      <c r="B40" s="18">
        <v>42887</v>
      </c>
      <c r="C40" s="19">
        <v>15.91</v>
      </c>
      <c r="D40" s="65">
        <f t="shared" si="0"/>
        <v>0</v>
      </c>
      <c r="E40" s="26"/>
      <c r="F40" s="26"/>
      <c r="G40" s="26"/>
      <c r="H40" s="26"/>
      <c r="I40" s="25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</row>
    <row r="41" spans="1:74" x14ac:dyDescent="0.35">
      <c r="A41" s="24"/>
      <c r="B41" s="18">
        <v>42917</v>
      </c>
      <c r="C41" s="19">
        <v>16.86</v>
      </c>
      <c r="D41" s="65">
        <f t="shared" si="0"/>
        <v>5.9710873664361896E-2</v>
      </c>
      <c r="E41" s="26"/>
      <c r="F41" s="26"/>
      <c r="G41" s="26"/>
      <c r="H41" s="26"/>
      <c r="I41" s="25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</row>
    <row r="42" spans="1:74" x14ac:dyDescent="0.35">
      <c r="A42" s="24"/>
      <c r="B42" s="18">
        <v>42948</v>
      </c>
      <c r="C42" s="19">
        <v>16.86</v>
      </c>
      <c r="D42" s="65">
        <f t="shared" si="0"/>
        <v>0</v>
      </c>
      <c r="E42" s="26"/>
      <c r="F42" s="26"/>
      <c r="G42" s="26"/>
      <c r="H42" s="26"/>
      <c r="I42" s="25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</row>
    <row r="43" spans="1:74" x14ac:dyDescent="0.35">
      <c r="A43" s="24"/>
      <c r="B43" s="18">
        <v>42979</v>
      </c>
      <c r="C43" s="19">
        <v>16.86</v>
      </c>
      <c r="D43" s="65">
        <f t="shared" si="0"/>
        <v>0</v>
      </c>
      <c r="E43" s="26"/>
      <c r="F43" s="26"/>
      <c r="G43" s="26"/>
      <c r="H43" s="26"/>
      <c r="I43" s="25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</row>
    <row r="44" spans="1:74" x14ac:dyDescent="0.35">
      <c r="A44" s="24"/>
      <c r="B44" s="18">
        <v>43009</v>
      </c>
      <c r="C44" s="19">
        <v>18.48</v>
      </c>
      <c r="D44" s="65">
        <f t="shared" si="0"/>
        <v>9.6085409252669063E-2</v>
      </c>
      <c r="E44" s="26"/>
      <c r="F44" s="26"/>
      <c r="G44" s="26"/>
      <c r="H44" s="26"/>
      <c r="I44" s="25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</row>
    <row r="45" spans="1:74" x14ac:dyDescent="0.35">
      <c r="A45" s="24"/>
      <c r="B45" s="18">
        <v>43040</v>
      </c>
      <c r="C45" s="19">
        <v>18.48</v>
      </c>
      <c r="D45" s="65">
        <f t="shared" si="0"/>
        <v>0</v>
      </c>
      <c r="E45" s="26"/>
      <c r="F45" s="26"/>
      <c r="G45" s="26"/>
      <c r="H45" s="26"/>
      <c r="I45" s="25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</row>
    <row r="46" spans="1:74" x14ac:dyDescent="0.35">
      <c r="A46" s="24"/>
      <c r="B46" s="18">
        <v>43070</v>
      </c>
      <c r="C46" s="19">
        <v>19.59</v>
      </c>
      <c r="D46" s="65">
        <f t="shared" si="0"/>
        <v>6.0064935064934932E-2</v>
      </c>
      <c r="E46" s="26"/>
      <c r="F46" s="26"/>
      <c r="G46" s="26"/>
      <c r="H46" s="26"/>
      <c r="I46" s="25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</row>
    <row r="47" spans="1:74" x14ac:dyDescent="0.35">
      <c r="A47" s="24"/>
      <c r="B47" s="18">
        <v>43101</v>
      </c>
      <c r="C47" s="19">
        <v>20.37</v>
      </c>
      <c r="D47" s="65">
        <f t="shared" ref="D47:D52" si="1">+C47/C46-1</f>
        <v>3.9816232771822335E-2</v>
      </c>
      <c r="E47" s="26"/>
      <c r="F47" s="26"/>
      <c r="G47" s="26"/>
      <c r="H47" s="26"/>
      <c r="I47" s="25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</row>
    <row r="48" spans="1:74" x14ac:dyDescent="0.35">
      <c r="A48" s="24"/>
      <c r="B48" s="18">
        <v>43132</v>
      </c>
      <c r="C48" s="19">
        <v>21.18</v>
      </c>
      <c r="D48" s="65">
        <f t="shared" si="1"/>
        <v>3.9764359351988077E-2</v>
      </c>
      <c r="E48" s="26"/>
      <c r="F48" s="26"/>
      <c r="G48" s="26"/>
      <c r="H48" s="26"/>
      <c r="I48" s="25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</row>
    <row r="49" spans="1:74" x14ac:dyDescent="0.35">
      <c r="A49" s="24"/>
      <c r="B49" s="18">
        <v>43160</v>
      </c>
      <c r="C49" s="19">
        <v>21.18</v>
      </c>
      <c r="D49" s="65">
        <f t="shared" si="1"/>
        <v>0</v>
      </c>
      <c r="E49" s="26"/>
      <c r="F49" s="26"/>
      <c r="G49" s="26"/>
      <c r="H49" s="26"/>
      <c r="I49" s="25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</row>
    <row r="50" spans="1:74" x14ac:dyDescent="0.35">
      <c r="A50" s="24"/>
      <c r="B50" s="18">
        <v>43191</v>
      </c>
      <c r="C50" s="19">
        <v>21.71</v>
      </c>
      <c r="D50" s="65">
        <f t="shared" si="1"/>
        <v>2.5023607176581697E-2</v>
      </c>
      <c r="E50" s="26"/>
      <c r="F50" s="26"/>
      <c r="G50" s="26"/>
      <c r="H50" s="26"/>
      <c r="I50" s="25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</row>
    <row r="51" spans="1:74" x14ac:dyDescent="0.35">
      <c r="A51" s="24"/>
      <c r="B51" s="18">
        <v>43221</v>
      </c>
      <c r="C51" s="19">
        <v>21.71</v>
      </c>
      <c r="D51" s="65">
        <f t="shared" si="1"/>
        <v>0</v>
      </c>
      <c r="E51" s="26"/>
      <c r="F51" s="26"/>
      <c r="G51" s="26"/>
      <c r="H51" s="26"/>
      <c r="I51" s="25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</row>
    <row r="52" spans="1:74" x14ac:dyDescent="0.35">
      <c r="A52" s="24"/>
      <c r="B52" s="18">
        <v>43252</v>
      </c>
      <c r="C52" s="19">
        <v>22.69</v>
      </c>
      <c r="D52" s="65">
        <f t="shared" si="1"/>
        <v>4.5140488254260758E-2</v>
      </c>
      <c r="E52" s="26"/>
      <c r="F52" s="26"/>
      <c r="G52" s="26"/>
      <c r="H52" s="26"/>
      <c r="I52" s="25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</row>
    <row r="53" spans="1:74" x14ac:dyDescent="0.35">
      <c r="A53" s="24"/>
      <c r="B53" s="18">
        <v>43282</v>
      </c>
      <c r="C53" s="19">
        <v>24.78</v>
      </c>
      <c r="D53" s="65">
        <f t="shared" ref="D53:D58" si="2">+C53/C52-1</f>
        <v>9.2111062141912781E-2</v>
      </c>
      <c r="E53" s="26"/>
      <c r="F53" s="26"/>
      <c r="G53" s="26"/>
      <c r="H53" s="26"/>
      <c r="I53" s="25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</row>
    <row r="54" spans="1:74" x14ac:dyDescent="0.35">
      <c r="A54" s="24"/>
      <c r="B54" s="18">
        <v>43313</v>
      </c>
      <c r="C54" s="19">
        <v>26.6</v>
      </c>
      <c r="D54" s="65">
        <f t="shared" si="2"/>
        <v>7.344632768361592E-2</v>
      </c>
      <c r="E54" s="26"/>
      <c r="F54" s="26"/>
      <c r="G54" s="26"/>
      <c r="H54" s="26"/>
      <c r="I54" s="25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</row>
    <row r="55" spans="1:74" x14ac:dyDescent="0.35">
      <c r="A55" s="24"/>
      <c r="B55" s="18">
        <v>43344</v>
      </c>
      <c r="C55" s="19">
        <v>33.090000000000003</v>
      </c>
      <c r="D55" s="65">
        <f t="shared" si="2"/>
        <v>0.24398496240601508</v>
      </c>
      <c r="E55" s="26"/>
      <c r="F55" s="26"/>
      <c r="G55" s="26"/>
      <c r="H55" s="26"/>
      <c r="I55" s="25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</row>
    <row r="56" spans="1:74" x14ac:dyDescent="0.35">
      <c r="A56" s="24"/>
      <c r="B56" s="18">
        <v>43374</v>
      </c>
      <c r="C56" s="19">
        <v>33.090000000000003</v>
      </c>
      <c r="D56" s="65">
        <f t="shared" si="2"/>
        <v>0</v>
      </c>
      <c r="E56" s="26"/>
      <c r="F56" s="26"/>
      <c r="G56" s="26"/>
      <c r="H56" s="26"/>
      <c r="I56" s="25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</row>
    <row r="57" spans="1:74" x14ac:dyDescent="0.35">
      <c r="A57" s="24"/>
      <c r="B57" s="18">
        <v>43405</v>
      </c>
      <c r="C57" s="19">
        <v>34.17</v>
      </c>
      <c r="D57" s="65">
        <f t="shared" si="2"/>
        <v>3.263825929283759E-2</v>
      </c>
      <c r="E57" s="26"/>
      <c r="F57" s="26"/>
      <c r="G57" s="26"/>
      <c r="H57" s="26"/>
      <c r="I57" s="25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</row>
    <row r="58" spans="1:74" x14ac:dyDescent="0.35">
      <c r="A58" s="24"/>
      <c r="B58" s="18">
        <v>43435</v>
      </c>
      <c r="C58" s="19">
        <v>35.4</v>
      </c>
      <c r="D58" s="65">
        <f t="shared" si="2"/>
        <v>3.5996488147497674E-2</v>
      </c>
      <c r="E58" s="26"/>
      <c r="F58" s="26"/>
      <c r="G58" s="26"/>
      <c r="H58" s="26"/>
      <c r="I58" s="25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</row>
    <row r="59" spans="1:74" x14ac:dyDescent="0.35">
      <c r="A59" s="24"/>
      <c r="B59" s="18">
        <v>43466</v>
      </c>
      <c r="C59" s="19">
        <v>34.99</v>
      </c>
      <c r="D59" s="65"/>
      <c r="E59" s="26"/>
      <c r="F59" s="26"/>
      <c r="G59" s="26"/>
      <c r="H59" s="26"/>
      <c r="I59" s="25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</row>
    <row r="60" spans="1:74" x14ac:dyDescent="0.35">
      <c r="A60" s="24"/>
      <c r="B60" s="18">
        <v>43497</v>
      </c>
      <c r="C60" s="19">
        <v>35.58</v>
      </c>
      <c r="D60" s="65"/>
      <c r="E60" s="26"/>
      <c r="F60" s="26"/>
      <c r="G60" s="26"/>
      <c r="H60" s="26"/>
      <c r="I60" s="25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</row>
    <row r="61" spans="1:74" x14ac:dyDescent="0.35">
      <c r="A61" s="24"/>
      <c r="B61" s="18">
        <v>43525</v>
      </c>
      <c r="C61" s="19"/>
      <c r="D61" s="65"/>
      <c r="E61" s="26"/>
      <c r="F61" s="26"/>
      <c r="G61" s="26"/>
      <c r="H61" s="26"/>
      <c r="I61" s="25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</row>
    <row r="62" spans="1:74" x14ac:dyDescent="0.35">
      <c r="A62" s="24"/>
      <c r="B62" s="18">
        <v>43556</v>
      </c>
      <c r="C62" s="19"/>
      <c r="D62" s="65"/>
      <c r="E62" s="26"/>
      <c r="F62" s="26"/>
      <c r="G62" s="26"/>
      <c r="H62" s="26"/>
      <c r="I62" s="25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</row>
    <row r="63" spans="1:74" x14ac:dyDescent="0.35">
      <c r="A63" s="24"/>
      <c r="B63" s="18">
        <v>43586</v>
      </c>
      <c r="C63" s="19"/>
      <c r="D63" s="65"/>
      <c r="E63" s="26"/>
      <c r="F63" s="26"/>
      <c r="G63" s="26"/>
      <c r="H63" s="26"/>
      <c r="I63" s="25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</row>
    <row r="64" spans="1:74" x14ac:dyDescent="0.35">
      <c r="A64" s="24"/>
      <c r="B64" s="18">
        <v>43617</v>
      </c>
      <c r="C64" s="19"/>
      <c r="D64" s="65"/>
      <c r="E64" s="26"/>
      <c r="F64" s="26"/>
      <c r="G64" s="26"/>
      <c r="H64" s="26"/>
      <c r="I64" s="25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</row>
    <row r="65" spans="1:74" x14ac:dyDescent="0.35">
      <c r="A65" s="24"/>
      <c r="B65" s="18">
        <v>43647</v>
      </c>
      <c r="C65" s="19"/>
      <c r="D65" s="65"/>
      <c r="E65" s="26"/>
      <c r="F65" s="26"/>
      <c r="G65" s="26"/>
      <c r="H65" s="26"/>
      <c r="I65" s="25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</row>
    <row r="66" spans="1:74" x14ac:dyDescent="0.35">
      <c r="A66" s="24"/>
      <c r="B66" s="18">
        <v>43678</v>
      </c>
      <c r="C66" s="19"/>
      <c r="D66" s="65"/>
      <c r="E66" s="26"/>
      <c r="F66" s="26"/>
      <c r="G66" s="26"/>
      <c r="H66" s="26"/>
      <c r="I66" s="25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</row>
    <row r="67" spans="1:74" x14ac:dyDescent="0.35">
      <c r="A67" s="24"/>
      <c r="B67" s="18">
        <v>43709</v>
      </c>
      <c r="C67" s="19"/>
      <c r="D67" s="65"/>
      <c r="E67" s="26"/>
      <c r="F67" s="26"/>
      <c r="G67" s="26"/>
      <c r="H67" s="26"/>
      <c r="I67" s="25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</row>
    <row r="68" spans="1:74" x14ac:dyDescent="0.35">
      <c r="A68" s="24"/>
      <c r="B68" s="18">
        <v>43739</v>
      </c>
      <c r="C68" s="19"/>
      <c r="D68" s="65"/>
      <c r="E68" s="26"/>
      <c r="F68" s="26"/>
      <c r="G68" s="26"/>
      <c r="H68" s="26"/>
      <c r="I68" s="25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</row>
    <row r="69" spans="1:74" x14ac:dyDescent="0.35">
      <c r="A69" s="24"/>
      <c r="B69" s="18">
        <v>43770</v>
      </c>
      <c r="C69" s="19"/>
      <c r="D69" s="65"/>
      <c r="E69" s="26"/>
      <c r="F69" s="26"/>
      <c r="G69" s="26"/>
      <c r="H69" s="26"/>
      <c r="I69" s="25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</row>
    <row r="70" spans="1:74" x14ac:dyDescent="0.35">
      <c r="A70" s="24"/>
      <c r="B70" s="18">
        <v>43800</v>
      </c>
      <c r="C70" s="19"/>
      <c r="D70" s="65"/>
      <c r="E70" s="26"/>
      <c r="F70" s="26"/>
      <c r="G70" s="26"/>
      <c r="H70" s="26"/>
      <c r="I70" s="25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</row>
    <row r="71" spans="1:74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</row>
    <row r="72" spans="1:74" x14ac:dyDescent="0.3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</row>
    <row r="73" spans="1:74" x14ac:dyDescent="0.3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</row>
    <row r="74" spans="1:74" x14ac:dyDescent="0.3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</row>
    <row r="75" spans="1:74" x14ac:dyDescent="0.3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</row>
    <row r="76" spans="1:74" x14ac:dyDescent="0.3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</row>
    <row r="77" spans="1:74" x14ac:dyDescent="0.3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</row>
    <row r="78" spans="1:74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</row>
    <row r="79" spans="1:74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</row>
    <row r="80" spans="1:74" x14ac:dyDescent="0.3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</row>
    <row r="81" spans="1:74" x14ac:dyDescent="0.3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</row>
    <row r="82" spans="1:74" x14ac:dyDescent="0.3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</row>
    <row r="83" spans="1:74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</row>
    <row r="84" spans="1:74" x14ac:dyDescent="0.3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</row>
    <row r="85" spans="1:74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</row>
    <row r="86" spans="1:74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</row>
    <row r="87" spans="1:74" x14ac:dyDescent="0.3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</row>
    <row r="88" spans="1:74" x14ac:dyDescent="0.3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</row>
    <row r="89" spans="1:74" x14ac:dyDescent="0.3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</row>
    <row r="90" spans="1:74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</row>
    <row r="91" spans="1:74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</row>
    <row r="92" spans="1:74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</row>
    <row r="93" spans="1:74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</row>
    <row r="94" spans="1:74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</row>
    <row r="95" spans="1:74" x14ac:dyDescent="0.3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</row>
    <row r="96" spans="1:74" x14ac:dyDescent="0.3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</row>
    <row r="97" spans="1:74" x14ac:dyDescent="0.3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</row>
    <row r="98" spans="1:74" x14ac:dyDescent="0.3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</row>
    <row r="99" spans="1:74" x14ac:dyDescent="0.3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</row>
    <row r="100" spans="1:74" x14ac:dyDescent="0.3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</row>
    <row r="101" spans="1:74" x14ac:dyDescent="0.3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</row>
    <row r="102" spans="1:74" x14ac:dyDescent="0.3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</row>
    <row r="103" spans="1:74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</row>
    <row r="104" spans="1:74" x14ac:dyDescent="0.3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</row>
    <row r="105" spans="1:74" x14ac:dyDescent="0.3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</row>
    <row r="106" spans="1:74" x14ac:dyDescent="0.3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</row>
    <row r="107" spans="1:74" x14ac:dyDescent="0.3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</row>
    <row r="108" spans="1:74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</row>
    <row r="109" spans="1:74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</row>
    <row r="110" spans="1:74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</row>
    <row r="111" spans="1:74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</row>
    <row r="112" spans="1:74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</row>
    <row r="113" spans="1:74" x14ac:dyDescent="0.3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</row>
    <row r="114" spans="1:74" x14ac:dyDescent="0.3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</row>
    <row r="115" spans="1:74" x14ac:dyDescent="0.3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</row>
    <row r="116" spans="1:74" x14ac:dyDescent="0.3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</row>
    <row r="117" spans="1:74" x14ac:dyDescent="0.3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</row>
    <row r="118" spans="1:74" x14ac:dyDescent="0.3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</row>
    <row r="119" spans="1:74" x14ac:dyDescent="0.3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</row>
    <row r="120" spans="1:74" x14ac:dyDescent="0.3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</row>
    <row r="121" spans="1:74" x14ac:dyDescent="0.3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</row>
    <row r="122" spans="1:74" x14ac:dyDescent="0.3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</row>
    <row r="123" spans="1:74" x14ac:dyDescent="0.3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</row>
    <row r="124" spans="1:74" x14ac:dyDescent="0.3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</row>
    <row r="125" spans="1:74" x14ac:dyDescent="0.3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</row>
    <row r="126" spans="1:74" x14ac:dyDescent="0.3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</row>
    <row r="127" spans="1:74" x14ac:dyDescent="0.3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</row>
    <row r="128" spans="1:74" x14ac:dyDescent="0.3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</row>
    <row r="129" spans="1:74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</row>
    <row r="130" spans="1:74" x14ac:dyDescent="0.3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</row>
    <row r="131" spans="1:74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</row>
    <row r="132" spans="1:74" x14ac:dyDescent="0.3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</row>
    <row r="133" spans="1:74" x14ac:dyDescent="0.3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</row>
    <row r="134" spans="1:74" x14ac:dyDescent="0.3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</row>
    <row r="135" spans="1:74" x14ac:dyDescent="0.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</row>
    <row r="136" spans="1:74" x14ac:dyDescent="0.3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</row>
    <row r="137" spans="1:74" x14ac:dyDescent="0.3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</row>
    <row r="138" spans="1:74" x14ac:dyDescent="0.3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</row>
    <row r="139" spans="1:74" x14ac:dyDescent="0.3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</row>
    <row r="140" spans="1:74" x14ac:dyDescent="0.3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</row>
    <row r="141" spans="1:74" x14ac:dyDescent="0.3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</row>
    <row r="142" spans="1:74" x14ac:dyDescent="0.3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</row>
    <row r="143" spans="1:74" x14ac:dyDescent="0.3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</row>
    <row r="144" spans="1:74" x14ac:dyDescent="0.3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</row>
    <row r="145" spans="1:74" x14ac:dyDescent="0.3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</row>
    <row r="146" spans="1:74" x14ac:dyDescent="0.3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</row>
    <row r="147" spans="1:74" x14ac:dyDescent="0.3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</row>
    <row r="148" spans="1:74" x14ac:dyDescent="0.3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</row>
    <row r="149" spans="1:74" x14ac:dyDescent="0.3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</row>
    <row r="150" spans="1:74" x14ac:dyDescent="0.3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</row>
    <row r="151" spans="1:74" x14ac:dyDescent="0.3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</row>
    <row r="152" spans="1:74" x14ac:dyDescent="0.3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</row>
    <row r="153" spans="1:74" x14ac:dyDescent="0.3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</row>
    <row r="154" spans="1:74" x14ac:dyDescent="0.3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</row>
    <row r="155" spans="1:74" x14ac:dyDescent="0.3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</row>
    <row r="156" spans="1:74" x14ac:dyDescent="0.3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</row>
    <row r="157" spans="1:74" x14ac:dyDescent="0.3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</row>
    <row r="158" spans="1:74" x14ac:dyDescent="0.3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</row>
    <row r="159" spans="1:74" x14ac:dyDescent="0.3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</row>
    <row r="160" spans="1:74" x14ac:dyDescent="0.3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</row>
    <row r="161" spans="1:74" x14ac:dyDescent="0.3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</row>
    <row r="162" spans="1:74" x14ac:dyDescent="0.3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</row>
    <row r="163" spans="1:74" x14ac:dyDescent="0.3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</row>
    <row r="164" spans="1:74" x14ac:dyDescent="0.3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</row>
    <row r="165" spans="1:74" x14ac:dyDescent="0.3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</row>
    <row r="166" spans="1:74" x14ac:dyDescent="0.3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</row>
    <row r="167" spans="1:74" x14ac:dyDescent="0.3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</row>
    <row r="168" spans="1:74" x14ac:dyDescent="0.3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</row>
    <row r="169" spans="1:74" x14ac:dyDescent="0.3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</row>
    <row r="170" spans="1:74" x14ac:dyDescent="0.3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</row>
    <row r="171" spans="1:74" x14ac:dyDescent="0.3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</row>
    <row r="172" spans="1:74" x14ac:dyDescent="0.3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</row>
    <row r="173" spans="1:74" x14ac:dyDescent="0.3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</row>
    <row r="174" spans="1:74" x14ac:dyDescent="0.3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</row>
    <row r="175" spans="1:74" x14ac:dyDescent="0.3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</row>
    <row r="176" spans="1:74" x14ac:dyDescent="0.3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</row>
    <row r="177" spans="1:74" x14ac:dyDescent="0.3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</row>
    <row r="178" spans="1:74" x14ac:dyDescent="0.3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</row>
    <row r="179" spans="1:74" x14ac:dyDescent="0.3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</row>
    <row r="180" spans="1:74" x14ac:dyDescent="0.3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</row>
    <row r="181" spans="1:74" x14ac:dyDescent="0.3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</row>
    <row r="182" spans="1:74" x14ac:dyDescent="0.3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</row>
    <row r="183" spans="1:74" x14ac:dyDescent="0.3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</row>
    <row r="184" spans="1:74" x14ac:dyDescent="0.3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</row>
    <row r="185" spans="1:74" x14ac:dyDescent="0.3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</row>
    <row r="186" spans="1:74" x14ac:dyDescent="0.3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</row>
    <row r="187" spans="1:74" x14ac:dyDescent="0.3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</row>
    <row r="188" spans="1:74" x14ac:dyDescent="0.3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</row>
    <row r="189" spans="1:74" x14ac:dyDescent="0.3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</row>
    <row r="190" spans="1:74" x14ac:dyDescent="0.3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</row>
    <row r="191" spans="1:74" x14ac:dyDescent="0.3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</row>
    <row r="192" spans="1:74" x14ac:dyDescent="0.3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</row>
    <row r="193" spans="1:74" x14ac:dyDescent="0.3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</row>
    <row r="194" spans="1:74" x14ac:dyDescent="0.3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</row>
    <row r="195" spans="1:74" x14ac:dyDescent="0.3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</row>
    <row r="196" spans="1:74" x14ac:dyDescent="0.3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</row>
    <row r="197" spans="1:74" x14ac:dyDescent="0.3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</row>
    <row r="198" spans="1:74" x14ac:dyDescent="0.3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</row>
    <row r="199" spans="1:74" x14ac:dyDescent="0.3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</row>
    <row r="200" spans="1:74" x14ac:dyDescent="0.3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</row>
    <row r="201" spans="1:74" x14ac:dyDescent="0.3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</row>
    <row r="202" spans="1:74" x14ac:dyDescent="0.3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</row>
    <row r="203" spans="1:74" x14ac:dyDescent="0.3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</row>
    <row r="204" spans="1:74" x14ac:dyDescent="0.3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</row>
    <row r="205" spans="1:74" x14ac:dyDescent="0.3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</row>
    <row r="206" spans="1:74" x14ac:dyDescent="0.3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</row>
    <row r="207" spans="1:74" x14ac:dyDescent="0.3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</row>
    <row r="208" spans="1:74" x14ac:dyDescent="0.3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</row>
    <row r="209" spans="1:74" x14ac:dyDescent="0.3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</row>
    <row r="210" spans="1:74" x14ac:dyDescent="0.3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</row>
    <row r="211" spans="1:74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</row>
    <row r="212" spans="1:74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</row>
    <row r="213" spans="1:74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</row>
    <row r="214" spans="1:74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</row>
    <row r="215" spans="1:74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</row>
    <row r="216" spans="1:74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</row>
    <row r="217" spans="1:74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</row>
    <row r="218" spans="1:74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</row>
    <row r="219" spans="1:74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</row>
    <row r="220" spans="1:74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</row>
    <row r="221" spans="1:74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</row>
    <row r="222" spans="1:74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</row>
    <row r="223" spans="1:74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</row>
    <row r="224" spans="1:74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</row>
    <row r="225" spans="1:74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</row>
    <row r="226" spans="1:74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</row>
    <row r="227" spans="1:74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</row>
    <row r="228" spans="1:74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</row>
    <row r="229" spans="1:74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</row>
    <row r="230" spans="1:74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</row>
    <row r="231" spans="1:74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</row>
    <row r="232" spans="1:74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</row>
    <row r="233" spans="1:74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</row>
    <row r="234" spans="1:74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</row>
    <row r="235" spans="1:74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</row>
    <row r="236" spans="1:74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</row>
    <row r="237" spans="1:74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</row>
    <row r="238" spans="1:74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</row>
    <row r="239" spans="1:74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</row>
    <row r="240" spans="1:74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</row>
    <row r="241" spans="1:74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</row>
    <row r="242" spans="1:74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</row>
    <row r="243" spans="1:74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</row>
    <row r="244" spans="1:74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</row>
    <row r="245" spans="1:74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</row>
    <row r="246" spans="1:74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</row>
    <row r="247" spans="1:74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</row>
    <row r="248" spans="1:74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</row>
    <row r="249" spans="1:74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</row>
    <row r="250" spans="1:74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</row>
    <row r="251" spans="1:74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</row>
    <row r="252" spans="1:74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</row>
    <row r="253" spans="1:74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</row>
    <row r="254" spans="1:74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</row>
    <row r="255" spans="1:74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</row>
    <row r="256" spans="1:74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</row>
    <row r="257" spans="1:74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</row>
    <row r="258" spans="1:74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</row>
    <row r="259" spans="1:74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</row>
    <row r="260" spans="1:74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</row>
    <row r="261" spans="1:74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</row>
    <row r="262" spans="1:74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</row>
    <row r="263" spans="1:74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</row>
    <row r="264" spans="1:74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</row>
    <row r="265" spans="1:74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</row>
    <row r="266" spans="1:74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</row>
    <row r="267" spans="1:74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</row>
    <row r="268" spans="1:74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</row>
    <row r="269" spans="1:74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</row>
    <row r="270" spans="1:74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</row>
    <row r="271" spans="1:74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</row>
    <row r="272" spans="1:74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</row>
    <row r="273" spans="1:74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</row>
    <row r="274" spans="1:74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</row>
    <row r="275" spans="1:74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</row>
    <row r="276" spans="1:74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</row>
    <row r="277" spans="1:74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</row>
    <row r="278" spans="1:74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</row>
    <row r="279" spans="1:74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</row>
    <row r="280" spans="1:74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</row>
    <row r="281" spans="1:74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</row>
    <row r="282" spans="1:74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</row>
    <row r="283" spans="1:74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</row>
    <row r="284" spans="1:74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</row>
    <row r="285" spans="1:74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</row>
    <row r="286" spans="1:74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</row>
    <row r="287" spans="1:74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</row>
    <row r="288" spans="1:74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</row>
    <row r="289" spans="1:74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</row>
    <row r="290" spans="1:74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</row>
    <row r="291" spans="1:74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</row>
    <row r="292" spans="1:74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</row>
    <row r="293" spans="1:74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</row>
    <row r="294" spans="1:74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</row>
    <row r="295" spans="1:74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</row>
    <row r="296" spans="1:74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</row>
    <row r="297" spans="1:74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</row>
    <row r="298" spans="1:74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</row>
    <row r="299" spans="1:74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</row>
    <row r="300" spans="1:74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</row>
    <row r="301" spans="1:74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</row>
    <row r="302" spans="1:74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</row>
    <row r="303" spans="1:74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</row>
    <row r="304" spans="1:74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</row>
    <row r="305" spans="1:74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</row>
    <row r="306" spans="1:74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</row>
    <row r="307" spans="1:74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</row>
    <row r="308" spans="1:74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</row>
    <row r="309" spans="1:74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</row>
    <row r="310" spans="1:74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</row>
    <row r="311" spans="1:74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</row>
    <row r="312" spans="1:74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</row>
    <row r="313" spans="1:74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</row>
    <row r="314" spans="1:74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</row>
    <row r="315" spans="1:74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</row>
    <row r="316" spans="1:74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</row>
    <row r="317" spans="1:74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</row>
    <row r="318" spans="1:74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</row>
    <row r="319" spans="1:74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</row>
    <row r="320" spans="1:74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</row>
    <row r="321" spans="1:74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</row>
    <row r="322" spans="1:74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</row>
    <row r="323" spans="1:74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</row>
    <row r="324" spans="1:74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</row>
    <row r="325" spans="1:74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</row>
    <row r="326" spans="1:74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</row>
    <row r="327" spans="1:74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</row>
    <row r="328" spans="1:74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</row>
    <row r="329" spans="1:74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</row>
    <row r="330" spans="1:74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</row>
    <row r="331" spans="1:74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</row>
    <row r="332" spans="1:74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</row>
    <row r="333" spans="1:74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</row>
    <row r="334" spans="1:74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</row>
  </sheetData>
  <mergeCells count="6">
    <mergeCell ref="B2:H2"/>
    <mergeCell ref="B5:H5"/>
    <mergeCell ref="D3:E3"/>
    <mergeCell ref="D4:E4"/>
    <mergeCell ref="F3:G3"/>
    <mergeCell ref="F4:G4"/>
  </mergeCells>
  <hyperlinks>
    <hyperlink ref="B5" r:id="rId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677"/>
  <sheetViews>
    <sheetView showGridLines="0" workbookViewId="0">
      <pane ySplit="6" topLeftCell="A47" activePane="bottomLeft" state="frozen"/>
      <selection activeCell="A2" sqref="A2:L2"/>
      <selection pane="bottomLeft" activeCell="A2" sqref="A2:L2"/>
    </sheetView>
  </sheetViews>
  <sheetFormatPr baseColWidth="10" defaultRowHeight="13" x14ac:dyDescent="0.3"/>
  <cols>
    <col min="1" max="1" width="3.81640625" style="2" customWidth="1"/>
    <col min="2" max="2" width="9.81640625" style="5" customWidth="1"/>
    <col min="3" max="3" width="11.453125" style="6"/>
    <col min="4" max="4" width="12.453125" style="7" bestFit="1" customWidth="1"/>
    <col min="5" max="5" width="4.81640625" style="2" customWidth="1"/>
    <col min="6" max="10" width="11.453125" style="2"/>
    <col min="11" max="11" width="15.81640625" style="2" customWidth="1"/>
    <col min="12" max="12" width="13.81640625" style="2" customWidth="1"/>
    <col min="13" max="13" width="5.453125" style="2" customWidth="1"/>
    <col min="14" max="254" width="11.453125" style="2"/>
    <col min="255" max="255" width="9.81640625" style="2" customWidth="1"/>
    <col min="256" max="256" width="2.81640625" style="2" customWidth="1"/>
    <col min="257" max="510" width="11.453125" style="2"/>
    <col min="511" max="511" width="9.81640625" style="2" customWidth="1"/>
    <col min="512" max="512" width="2.81640625" style="2" customWidth="1"/>
    <col min="513" max="766" width="11.453125" style="2"/>
    <col min="767" max="767" width="9.81640625" style="2" customWidth="1"/>
    <col min="768" max="768" width="2.81640625" style="2" customWidth="1"/>
    <col min="769" max="1022" width="11.453125" style="2"/>
    <col min="1023" max="1023" width="9.81640625" style="2" customWidth="1"/>
    <col min="1024" max="1024" width="2.81640625" style="2" customWidth="1"/>
    <col min="1025" max="1278" width="11.453125" style="2"/>
    <col min="1279" max="1279" width="9.81640625" style="2" customWidth="1"/>
    <col min="1280" max="1280" width="2.81640625" style="2" customWidth="1"/>
    <col min="1281" max="1534" width="11.453125" style="2"/>
    <col min="1535" max="1535" width="9.81640625" style="2" customWidth="1"/>
    <col min="1536" max="1536" width="2.81640625" style="2" customWidth="1"/>
    <col min="1537" max="1790" width="11.453125" style="2"/>
    <col min="1791" max="1791" width="9.81640625" style="2" customWidth="1"/>
    <col min="1792" max="1792" width="2.81640625" style="2" customWidth="1"/>
    <col min="1793" max="2046" width="11.453125" style="2"/>
    <col min="2047" max="2047" width="9.81640625" style="2" customWidth="1"/>
    <col min="2048" max="2048" width="2.81640625" style="2" customWidth="1"/>
    <col min="2049" max="2302" width="11.453125" style="2"/>
    <col min="2303" max="2303" width="9.81640625" style="2" customWidth="1"/>
    <col min="2304" max="2304" width="2.81640625" style="2" customWidth="1"/>
    <col min="2305" max="2558" width="11.453125" style="2"/>
    <col min="2559" max="2559" width="9.81640625" style="2" customWidth="1"/>
    <col min="2560" max="2560" width="2.81640625" style="2" customWidth="1"/>
    <col min="2561" max="2814" width="11.453125" style="2"/>
    <col min="2815" max="2815" width="9.81640625" style="2" customWidth="1"/>
    <col min="2816" max="2816" width="2.81640625" style="2" customWidth="1"/>
    <col min="2817" max="3070" width="11.453125" style="2"/>
    <col min="3071" max="3071" width="9.81640625" style="2" customWidth="1"/>
    <col min="3072" max="3072" width="2.81640625" style="2" customWidth="1"/>
    <col min="3073" max="3326" width="11.453125" style="2"/>
    <col min="3327" max="3327" width="9.81640625" style="2" customWidth="1"/>
    <col min="3328" max="3328" width="2.81640625" style="2" customWidth="1"/>
    <col min="3329" max="3582" width="11.453125" style="2"/>
    <col min="3583" max="3583" width="9.81640625" style="2" customWidth="1"/>
    <col min="3584" max="3584" width="2.81640625" style="2" customWidth="1"/>
    <col min="3585" max="3838" width="11.453125" style="2"/>
    <col min="3839" max="3839" width="9.81640625" style="2" customWidth="1"/>
    <col min="3840" max="3840" width="2.81640625" style="2" customWidth="1"/>
    <col min="3841" max="4094" width="11.453125" style="2"/>
    <col min="4095" max="4095" width="9.81640625" style="2" customWidth="1"/>
    <col min="4096" max="4096" width="2.81640625" style="2" customWidth="1"/>
    <col min="4097" max="4350" width="11.453125" style="2"/>
    <col min="4351" max="4351" width="9.81640625" style="2" customWidth="1"/>
    <col min="4352" max="4352" width="2.81640625" style="2" customWidth="1"/>
    <col min="4353" max="4606" width="11.453125" style="2"/>
    <col min="4607" max="4607" width="9.81640625" style="2" customWidth="1"/>
    <col min="4608" max="4608" width="2.81640625" style="2" customWidth="1"/>
    <col min="4609" max="4862" width="11.453125" style="2"/>
    <col min="4863" max="4863" width="9.81640625" style="2" customWidth="1"/>
    <col min="4864" max="4864" width="2.81640625" style="2" customWidth="1"/>
    <col min="4865" max="5118" width="11.453125" style="2"/>
    <col min="5119" max="5119" width="9.81640625" style="2" customWidth="1"/>
    <col min="5120" max="5120" width="2.81640625" style="2" customWidth="1"/>
    <col min="5121" max="5374" width="11.453125" style="2"/>
    <col min="5375" max="5375" width="9.81640625" style="2" customWidth="1"/>
    <col min="5376" max="5376" width="2.81640625" style="2" customWidth="1"/>
    <col min="5377" max="5630" width="11.453125" style="2"/>
    <col min="5631" max="5631" width="9.81640625" style="2" customWidth="1"/>
    <col min="5632" max="5632" width="2.81640625" style="2" customWidth="1"/>
    <col min="5633" max="5886" width="11.453125" style="2"/>
    <col min="5887" max="5887" width="9.81640625" style="2" customWidth="1"/>
    <col min="5888" max="5888" width="2.81640625" style="2" customWidth="1"/>
    <col min="5889" max="6142" width="11.453125" style="2"/>
    <col min="6143" max="6143" width="9.81640625" style="2" customWidth="1"/>
    <col min="6144" max="6144" width="2.81640625" style="2" customWidth="1"/>
    <col min="6145" max="6398" width="11.453125" style="2"/>
    <col min="6399" max="6399" width="9.81640625" style="2" customWidth="1"/>
    <col min="6400" max="6400" width="2.81640625" style="2" customWidth="1"/>
    <col min="6401" max="6654" width="11.453125" style="2"/>
    <col min="6655" max="6655" width="9.81640625" style="2" customWidth="1"/>
    <col min="6656" max="6656" width="2.81640625" style="2" customWidth="1"/>
    <col min="6657" max="6910" width="11.453125" style="2"/>
    <col min="6911" max="6911" width="9.81640625" style="2" customWidth="1"/>
    <col min="6912" max="6912" width="2.81640625" style="2" customWidth="1"/>
    <col min="6913" max="7166" width="11.453125" style="2"/>
    <col min="7167" max="7167" width="9.81640625" style="2" customWidth="1"/>
    <col min="7168" max="7168" width="2.81640625" style="2" customWidth="1"/>
    <col min="7169" max="7422" width="11.453125" style="2"/>
    <col min="7423" max="7423" width="9.81640625" style="2" customWidth="1"/>
    <col min="7424" max="7424" width="2.81640625" style="2" customWidth="1"/>
    <col min="7425" max="7678" width="11.453125" style="2"/>
    <col min="7679" max="7679" width="9.81640625" style="2" customWidth="1"/>
    <col min="7680" max="7680" width="2.81640625" style="2" customWidth="1"/>
    <col min="7681" max="7934" width="11.453125" style="2"/>
    <col min="7935" max="7935" width="9.81640625" style="2" customWidth="1"/>
    <col min="7936" max="7936" width="2.81640625" style="2" customWidth="1"/>
    <col min="7937" max="8190" width="11.453125" style="2"/>
    <col min="8191" max="8191" width="9.81640625" style="2" customWidth="1"/>
    <col min="8192" max="8192" width="2.81640625" style="2" customWidth="1"/>
    <col min="8193" max="8446" width="11.453125" style="2"/>
    <col min="8447" max="8447" width="9.81640625" style="2" customWidth="1"/>
    <col min="8448" max="8448" width="2.81640625" style="2" customWidth="1"/>
    <col min="8449" max="8702" width="11.453125" style="2"/>
    <col min="8703" max="8703" width="9.81640625" style="2" customWidth="1"/>
    <col min="8704" max="8704" width="2.81640625" style="2" customWidth="1"/>
    <col min="8705" max="8958" width="11.453125" style="2"/>
    <col min="8959" max="8959" width="9.81640625" style="2" customWidth="1"/>
    <col min="8960" max="8960" width="2.81640625" style="2" customWidth="1"/>
    <col min="8961" max="9214" width="11.453125" style="2"/>
    <col min="9215" max="9215" width="9.81640625" style="2" customWidth="1"/>
    <col min="9216" max="9216" width="2.81640625" style="2" customWidth="1"/>
    <col min="9217" max="9470" width="11.453125" style="2"/>
    <col min="9471" max="9471" width="9.81640625" style="2" customWidth="1"/>
    <col min="9472" max="9472" width="2.81640625" style="2" customWidth="1"/>
    <col min="9473" max="9726" width="11.453125" style="2"/>
    <col min="9727" max="9727" width="9.81640625" style="2" customWidth="1"/>
    <col min="9728" max="9728" width="2.81640625" style="2" customWidth="1"/>
    <col min="9729" max="9982" width="11.453125" style="2"/>
    <col min="9983" max="9983" width="9.81640625" style="2" customWidth="1"/>
    <col min="9984" max="9984" width="2.81640625" style="2" customWidth="1"/>
    <col min="9985" max="10238" width="11.453125" style="2"/>
    <col min="10239" max="10239" width="9.81640625" style="2" customWidth="1"/>
    <col min="10240" max="10240" width="2.81640625" style="2" customWidth="1"/>
    <col min="10241" max="10494" width="11.453125" style="2"/>
    <col min="10495" max="10495" width="9.81640625" style="2" customWidth="1"/>
    <col min="10496" max="10496" width="2.81640625" style="2" customWidth="1"/>
    <col min="10497" max="10750" width="11.453125" style="2"/>
    <col min="10751" max="10751" width="9.81640625" style="2" customWidth="1"/>
    <col min="10752" max="10752" width="2.81640625" style="2" customWidth="1"/>
    <col min="10753" max="11006" width="11.453125" style="2"/>
    <col min="11007" max="11007" width="9.81640625" style="2" customWidth="1"/>
    <col min="11008" max="11008" width="2.81640625" style="2" customWidth="1"/>
    <col min="11009" max="11262" width="11.453125" style="2"/>
    <col min="11263" max="11263" width="9.81640625" style="2" customWidth="1"/>
    <col min="11264" max="11264" width="2.81640625" style="2" customWidth="1"/>
    <col min="11265" max="11518" width="11.453125" style="2"/>
    <col min="11519" max="11519" width="9.81640625" style="2" customWidth="1"/>
    <col min="11520" max="11520" width="2.81640625" style="2" customWidth="1"/>
    <col min="11521" max="11774" width="11.453125" style="2"/>
    <col min="11775" max="11775" width="9.81640625" style="2" customWidth="1"/>
    <col min="11776" max="11776" width="2.81640625" style="2" customWidth="1"/>
    <col min="11777" max="12030" width="11.453125" style="2"/>
    <col min="12031" max="12031" width="9.81640625" style="2" customWidth="1"/>
    <col min="12032" max="12032" width="2.81640625" style="2" customWidth="1"/>
    <col min="12033" max="12286" width="11.453125" style="2"/>
    <col min="12287" max="12287" width="9.81640625" style="2" customWidth="1"/>
    <col min="12288" max="12288" width="2.81640625" style="2" customWidth="1"/>
    <col min="12289" max="12542" width="11.453125" style="2"/>
    <col min="12543" max="12543" width="9.81640625" style="2" customWidth="1"/>
    <col min="12544" max="12544" width="2.81640625" style="2" customWidth="1"/>
    <col min="12545" max="12798" width="11.453125" style="2"/>
    <col min="12799" max="12799" width="9.81640625" style="2" customWidth="1"/>
    <col min="12800" max="12800" width="2.81640625" style="2" customWidth="1"/>
    <col min="12801" max="13054" width="11.453125" style="2"/>
    <col min="13055" max="13055" width="9.81640625" style="2" customWidth="1"/>
    <col min="13056" max="13056" width="2.81640625" style="2" customWidth="1"/>
    <col min="13057" max="13310" width="11.453125" style="2"/>
    <col min="13311" max="13311" width="9.81640625" style="2" customWidth="1"/>
    <col min="13312" max="13312" width="2.81640625" style="2" customWidth="1"/>
    <col min="13313" max="13566" width="11.453125" style="2"/>
    <col min="13567" max="13567" width="9.81640625" style="2" customWidth="1"/>
    <col min="13568" max="13568" width="2.81640625" style="2" customWidth="1"/>
    <col min="13569" max="13822" width="11.453125" style="2"/>
    <col min="13823" max="13823" width="9.81640625" style="2" customWidth="1"/>
    <col min="13824" max="13824" width="2.81640625" style="2" customWidth="1"/>
    <col min="13825" max="14078" width="11.453125" style="2"/>
    <col min="14079" max="14079" width="9.81640625" style="2" customWidth="1"/>
    <col min="14080" max="14080" width="2.81640625" style="2" customWidth="1"/>
    <col min="14081" max="14334" width="11.453125" style="2"/>
    <col min="14335" max="14335" width="9.81640625" style="2" customWidth="1"/>
    <col min="14336" max="14336" width="2.81640625" style="2" customWidth="1"/>
    <col min="14337" max="14590" width="11.453125" style="2"/>
    <col min="14591" max="14591" width="9.81640625" style="2" customWidth="1"/>
    <col min="14592" max="14592" width="2.81640625" style="2" customWidth="1"/>
    <col min="14593" max="14846" width="11.453125" style="2"/>
    <col min="14847" max="14847" width="9.81640625" style="2" customWidth="1"/>
    <col min="14848" max="14848" width="2.81640625" style="2" customWidth="1"/>
    <col min="14849" max="15102" width="11.453125" style="2"/>
    <col min="15103" max="15103" width="9.81640625" style="2" customWidth="1"/>
    <col min="15104" max="15104" width="2.81640625" style="2" customWidth="1"/>
    <col min="15105" max="15358" width="11.453125" style="2"/>
    <col min="15359" max="15359" width="9.81640625" style="2" customWidth="1"/>
    <col min="15360" max="15360" width="2.81640625" style="2" customWidth="1"/>
    <col min="15361" max="15614" width="11.453125" style="2"/>
    <col min="15615" max="15615" width="9.81640625" style="2" customWidth="1"/>
    <col min="15616" max="15616" width="2.81640625" style="2" customWidth="1"/>
    <col min="15617" max="15870" width="11.453125" style="2"/>
    <col min="15871" max="15871" width="9.81640625" style="2" customWidth="1"/>
    <col min="15872" max="15872" width="2.81640625" style="2" customWidth="1"/>
    <col min="15873" max="16126" width="11.453125" style="2"/>
    <col min="16127" max="16127" width="9.81640625" style="2" customWidth="1"/>
    <col min="16128" max="16128" width="2.81640625" style="2" customWidth="1"/>
    <col min="16129" max="16384" width="11.453125" style="2"/>
  </cols>
  <sheetData>
    <row r="1" spans="1:105" ht="13.5" thickBot="1" x14ac:dyDescent="0.3">
      <c r="A1" s="44"/>
      <c r="B1" s="377"/>
      <c r="C1" s="378"/>
      <c r="D1" s="378"/>
      <c r="E1" s="45"/>
      <c r="F1" s="45"/>
      <c r="G1" s="45"/>
      <c r="H1" s="45"/>
      <c r="I1" s="45"/>
      <c r="J1" s="45"/>
      <c r="K1" s="45"/>
      <c r="L1" s="45"/>
      <c r="M1" s="4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</row>
    <row r="2" spans="1:105" s="13" customFormat="1" ht="16" thickBot="1" x14ac:dyDescent="0.3">
      <c r="A2" s="381" t="s">
        <v>13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3"/>
      <c r="M2" s="47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30"/>
      <c r="CT2" s="30"/>
      <c r="CU2" s="30"/>
      <c r="CV2" s="30"/>
      <c r="CW2" s="30"/>
      <c r="CX2" s="30"/>
      <c r="CY2" s="30"/>
      <c r="CZ2" s="30"/>
      <c r="DA2" s="30"/>
    </row>
    <row r="3" spans="1:105" s="13" customFormat="1" ht="16" thickBot="1" x14ac:dyDescent="0.3">
      <c r="A3" s="384" t="s">
        <v>67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6"/>
      <c r="M3" s="47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30"/>
      <c r="CT3" s="30"/>
      <c r="CU3" s="30"/>
      <c r="CV3" s="30"/>
      <c r="CW3" s="30"/>
      <c r="CX3" s="30"/>
      <c r="CY3" s="30"/>
      <c r="CZ3" s="30"/>
      <c r="DA3" s="30"/>
    </row>
    <row r="4" spans="1:105" x14ac:dyDescent="0.25">
      <c r="A4" s="48"/>
      <c r="B4" s="14"/>
      <c r="C4" s="14"/>
      <c r="D4" s="14"/>
      <c r="E4" s="3"/>
      <c r="F4" s="3"/>
      <c r="G4" s="27"/>
      <c r="H4" s="27"/>
      <c r="I4" s="27"/>
      <c r="J4" s="27"/>
      <c r="K4" s="27"/>
      <c r="L4" s="27"/>
      <c r="M4" s="49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28"/>
      <c r="CT4" s="28"/>
      <c r="CU4" s="28"/>
      <c r="CV4" s="28"/>
      <c r="CW4" s="28"/>
      <c r="CX4" s="28"/>
      <c r="CY4" s="28"/>
      <c r="CZ4" s="28"/>
      <c r="DA4" s="28"/>
    </row>
    <row r="5" spans="1:105" ht="12.5" x14ac:dyDescent="0.25">
      <c r="A5" s="48"/>
      <c r="B5" s="379" t="s">
        <v>14</v>
      </c>
      <c r="C5" s="380" t="s">
        <v>15</v>
      </c>
      <c r="D5" s="39" t="s">
        <v>16</v>
      </c>
      <c r="E5" s="3"/>
      <c r="F5" s="3"/>
      <c r="G5" s="27"/>
      <c r="H5" s="27"/>
      <c r="I5" s="27"/>
      <c r="J5" s="27"/>
      <c r="K5" s="27"/>
      <c r="L5" s="27"/>
      <c r="M5" s="49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28"/>
      <c r="CT5" s="28"/>
      <c r="CU5" s="28"/>
      <c r="CV5" s="28"/>
      <c r="CW5" s="28"/>
      <c r="CX5" s="28"/>
      <c r="CY5" s="28"/>
      <c r="CZ5" s="28"/>
      <c r="DA5" s="28"/>
    </row>
    <row r="6" spans="1:105" ht="12.5" x14ac:dyDescent="0.25">
      <c r="A6" s="48"/>
      <c r="B6" s="379"/>
      <c r="C6" s="380"/>
      <c r="D6" s="39" t="s">
        <v>17</v>
      </c>
      <c r="E6" s="3"/>
      <c r="F6" s="3"/>
      <c r="G6" s="27"/>
      <c r="H6" s="27"/>
      <c r="I6" s="27"/>
      <c r="J6" s="27"/>
      <c r="K6" s="27"/>
      <c r="L6" s="27"/>
      <c r="M6" s="49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28"/>
      <c r="CV6" s="28"/>
      <c r="CW6" s="28"/>
      <c r="CX6" s="28"/>
      <c r="CY6" s="28"/>
      <c r="CZ6" s="28"/>
      <c r="DA6" s="28"/>
    </row>
    <row r="7" spans="1:105" s="3" customFormat="1" x14ac:dyDescent="0.3">
      <c r="A7" s="48"/>
      <c r="B7" s="40">
        <v>41640</v>
      </c>
      <c r="C7" s="41">
        <v>688.67</v>
      </c>
      <c r="D7" s="42"/>
      <c r="G7" s="27"/>
      <c r="H7" s="27"/>
      <c r="I7" s="27"/>
      <c r="J7" s="27"/>
      <c r="K7" s="27"/>
      <c r="L7" s="27"/>
      <c r="M7" s="49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</row>
    <row r="8" spans="1:105" x14ac:dyDescent="0.3">
      <c r="A8" s="48"/>
      <c r="B8" s="40">
        <v>41671</v>
      </c>
      <c r="C8" s="41">
        <v>723.94</v>
      </c>
      <c r="D8" s="42">
        <f>(C8/C7-1)*1</f>
        <v>5.1214660142012924E-2</v>
      </c>
      <c r="E8" s="3"/>
      <c r="F8" s="3"/>
      <c r="G8" s="27"/>
      <c r="H8" s="27"/>
      <c r="I8" s="27"/>
      <c r="J8" s="27"/>
      <c r="K8" s="27"/>
      <c r="L8" s="27"/>
      <c r="M8" s="49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28"/>
      <c r="CT8" s="28"/>
      <c r="CU8" s="28"/>
      <c r="CV8" s="28"/>
      <c r="CW8" s="28"/>
      <c r="CX8" s="28"/>
      <c r="CY8" s="28"/>
      <c r="CZ8" s="28"/>
      <c r="DA8" s="28"/>
    </row>
    <row r="9" spans="1:105" x14ac:dyDescent="0.3">
      <c r="A9" s="48"/>
      <c r="B9" s="40">
        <v>41699</v>
      </c>
      <c r="C9" s="41">
        <v>741.56</v>
      </c>
      <c r="D9" s="42">
        <f>(C9/C8-1)*1</f>
        <v>2.4339033621570749E-2</v>
      </c>
      <c r="E9" s="3"/>
      <c r="F9" s="3"/>
      <c r="G9" s="27"/>
      <c r="H9" s="27"/>
      <c r="I9" s="27"/>
      <c r="J9" s="27"/>
      <c r="K9" s="27"/>
      <c r="L9" s="27"/>
      <c r="M9" s="49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28"/>
      <c r="CT9" s="28"/>
      <c r="CU9" s="28"/>
      <c r="CV9" s="28"/>
      <c r="CW9" s="28"/>
      <c r="CX9" s="28"/>
      <c r="CY9" s="28"/>
      <c r="CZ9" s="28"/>
      <c r="DA9" s="28"/>
    </row>
    <row r="10" spans="1:105" x14ac:dyDescent="0.3">
      <c r="A10" s="50"/>
      <c r="B10" s="40">
        <v>41730</v>
      </c>
      <c r="C10" s="41">
        <v>754.31</v>
      </c>
      <c r="D10" s="42">
        <f>(C10/C9-1)*1</f>
        <v>1.719348400668852E-2</v>
      </c>
      <c r="E10" s="3"/>
      <c r="F10" s="3"/>
      <c r="G10" s="3"/>
      <c r="H10" s="3"/>
      <c r="I10" s="3"/>
      <c r="J10" s="3"/>
      <c r="K10" s="3"/>
      <c r="L10" s="3"/>
      <c r="M10" s="5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28"/>
      <c r="CT10" s="28"/>
      <c r="CU10" s="28"/>
      <c r="CV10" s="28"/>
      <c r="CW10" s="28"/>
      <c r="CX10" s="28"/>
      <c r="CY10" s="28"/>
      <c r="CZ10" s="28"/>
      <c r="DA10" s="28"/>
    </row>
    <row r="11" spans="1:105" x14ac:dyDescent="0.3">
      <c r="A11" s="50"/>
      <c r="B11" s="40">
        <v>41760</v>
      </c>
      <c r="C11" s="41">
        <v>768.4</v>
      </c>
      <c r="D11" s="42">
        <f>(C11/C10-1)*1</f>
        <v>1.8679322824833422E-2</v>
      </c>
      <c r="E11" s="3"/>
      <c r="F11" s="3"/>
      <c r="G11" s="3"/>
      <c r="H11" s="3"/>
      <c r="I11" s="3"/>
      <c r="J11" s="3"/>
      <c r="K11" s="3"/>
      <c r="L11" s="3"/>
      <c r="M11" s="5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28"/>
      <c r="CT11" s="28"/>
      <c r="CU11" s="28"/>
      <c r="CV11" s="28"/>
      <c r="CW11" s="28"/>
      <c r="CX11" s="28"/>
      <c r="CY11" s="28"/>
      <c r="CZ11" s="28"/>
      <c r="DA11" s="28"/>
    </row>
    <row r="12" spans="1:105" x14ac:dyDescent="0.3">
      <c r="A12" s="50"/>
      <c r="B12" s="40">
        <v>41791</v>
      </c>
      <c r="C12" s="41">
        <v>779.97</v>
      </c>
      <c r="D12" s="42">
        <f t="shared" ref="D12:D24" si="0">(C12/C11-1)*1</f>
        <v>1.5057261842790215E-2</v>
      </c>
      <c r="E12" s="3"/>
      <c r="F12" s="3"/>
      <c r="G12" s="3"/>
      <c r="H12" s="3"/>
      <c r="I12" s="3"/>
      <c r="J12" s="3"/>
      <c r="K12" s="3"/>
      <c r="L12" s="3"/>
      <c r="M12" s="5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28"/>
      <c r="CT12" s="28"/>
      <c r="CU12" s="28"/>
      <c r="CV12" s="28"/>
      <c r="CW12" s="28"/>
      <c r="CX12" s="28"/>
      <c r="CY12" s="28"/>
      <c r="CZ12" s="28"/>
      <c r="DA12" s="28"/>
    </row>
    <row r="13" spans="1:105" x14ac:dyDescent="0.3">
      <c r="A13" s="50"/>
      <c r="B13" s="40">
        <v>41821</v>
      </c>
      <c r="C13" s="41">
        <v>790.47</v>
      </c>
      <c r="D13" s="42">
        <f t="shared" si="0"/>
        <v>1.3462056232931952E-2</v>
      </c>
      <c r="E13" s="3"/>
      <c r="F13" s="3"/>
      <c r="G13" s="3"/>
      <c r="H13" s="3"/>
      <c r="I13" s="3"/>
      <c r="J13" s="3"/>
      <c r="K13" s="3"/>
      <c r="L13" s="3"/>
      <c r="M13" s="5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28"/>
      <c r="CT13" s="28"/>
      <c r="CU13" s="28"/>
      <c r="CV13" s="28"/>
      <c r="CW13" s="28"/>
      <c r="CX13" s="28"/>
      <c r="CY13" s="28"/>
      <c r="CZ13" s="28"/>
      <c r="DA13" s="28"/>
    </row>
    <row r="14" spans="1:105" x14ac:dyDescent="0.3">
      <c r="A14" s="50"/>
      <c r="B14" s="40">
        <v>41852</v>
      </c>
      <c r="C14" s="43">
        <v>803.37</v>
      </c>
      <c r="D14" s="42">
        <f t="shared" si="0"/>
        <v>1.6319404911002255E-2</v>
      </c>
      <c r="E14" s="3"/>
      <c r="F14" s="3"/>
      <c r="G14" s="3"/>
      <c r="H14" s="3"/>
      <c r="I14" s="3"/>
      <c r="J14" s="3"/>
      <c r="K14" s="3"/>
      <c r="L14" s="3"/>
      <c r="M14" s="5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28"/>
      <c r="CT14" s="28"/>
      <c r="CU14" s="28"/>
      <c r="CV14" s="28"/>
      <c r="CW14" s="28"/>
      <c r="CX14" s="28"/>
      <c r="CY14" s="28"/>
      <c r="CZ14" s="28"/>
      <c r="DA14" s="28"/>
    </row>
    <row r="15" spans="1:105" x14ac:dyDescent="0.3">
      <c r="A15" s="50"/>
      <c r="B15" s="40">
        <v>41883</v>
      </c>
      <c r="C15" s="43">
        <v>816.18</v>
      </c>
      <c r="D15" s="42">
        <f t="shared" si="0"/>
        <v>1.5945330296127436E-2</v>
      </c>
      <c r="E15" s="3"/>
      <c r="F15" s="3"/>
      <c r="G15" s="3"/>
      <c r="H15" s="3"/>
      <c r="I15" s="3"/>
      <c r="J15" s="3"/>
      <c r="K15" s="3"/>
      <c r="L15" s="3"/>
      <c r="M15" s="5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28"/>
      <c r="CT15" s="28"/>
      <c r="CU15" s="28"/>
      <c r="CV15" s="28"/>
      <c r="CW15" s="28"/>
      <c r="CX15" s="28"/>
      <c r="CY15" s="28"/>
      <c r="CZ15" s="28"/>
      <c r="DA15" s="28"/>
    </row>
    <row r="16" spans="1:105" x14ac:dyDescent="0.3">
      <c r="A16" s="50"/>
      <c r="B16" s="40">
        <v>41913</v>
      </c>
      <c r="C16" s="43">
        <v>826.18</v>
      </c>
      <c r="D16" s="42">
        <f t="shared" si="0"/>
        <v>1.2252199269768838E-2</v>
      </c>
      <c r="E16" s="3"/>
      <c r="F16" s="3"/>
      <c r="G16" s="3"/>
      <c r="H16" s="3"/>
      <c r="I16" s="3"/>
      <c r="J16" s="3"/>
      <c r="K16" s="3"/>
      <c r="L16" s="3"/>
      <c r="M16" s="5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28"/>
      <c r="CT16" s="28"/>
      <c r="CU16" s="28"/>
      <c r="CV16" s="28"/>
      <c r="CW16" s="28"/>
      <c r="CX16" s="28"/>
      <c r="CY16" s="28"/>
      <c r="CZ16" s="28"/>
      <c r="DA16" s="28"/>
    </row>
    <row r="17" spans="1:105" x14ac:dyDescent="0.3">
      <c r="A17" s="50"/>
      <c r="B17" s="40">
        <v>41944</v>
      </c>
      <c r="C17" s="43">
        <v>833.72</v>
      </c>
      <c r="D17" s="42">
        <f t="shared" si="0"/>
        <v>9.1263405069115233E-3</v>
      </c>
      <c r="E17" s="3"/>
      <c r="F17" s="3"/>
      <c r="G17" s="3"/>
      <c r="H17" s="3"/>
      <c r="I17" s="3"/>
      <c r="J17" s="3"/>
      <c r="K17" s="3"/>
      <c r="L17" s="3"/>
      <c r="M17" s="5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28"/>
      <c r="CT17" s="28"/>
      <c r="CU17" s="28"/>
      <c r="CV17" s="28"/>
      <c r="CW17" s="28"/>
      <c r="CX17" s="28"/>
      <c r="CY17" s="28"/>
      <c r="CZ17" s="28"/>
      <c r="DA17" s="28"/>
    </row>
    <row r="18" spans="1:105" x14ac:dyDescent="0.3">
      <c r="A18" s="50"/>
      <c r="B18" s="40">
        <v>41974</v>
      </c>
      <c r="C18" s="43">
        <v>841.66</v>
      </c>
      <c r="D18" s="42">
        <f t="shared" si="0"/>
        <v>9.523581058388908E-3</v>
      </c>
      <c r="E18" s="3"/>
      <c r="F18" s="3"/>
      <c r="G18" s="3"/>
      <c r="H18" s="3"/>
      <c r="I18" s="3"/>
      <c r="J18" s="3"/>
      <c r="K18" s="3"/>
      <c r="L18" s="3"/>
      <c r="M18" s="5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28"/>
      <c r="CT18" s="28"/>
      <c r="CU18" s="28"/>
      <c r="CV18" s="28"/>
      <c r="CW18" s="28"/>
      <c r="CX18" s="28"/>
      <c r="CY18" s="28"/>
      <c r="CZ18" s="28"/>
      <c r="DA18" s="28"/>
    </row>
    <row r="19" spans="1:105" s="11" customFormat="1" x14ac:dyDescent="0.3">
      <c r="A19" s="50"/>
      <c r="B19" s="40">
        <v>42005</v>
      </c>
      <c r="C19" s="43">
        <v>843.35</v>
      </c>
      <c r="D19" s="42">
        <f t="shared" si="0"/>
        <v>2.007936696528434E-3</v>
      </c>
      <c r="E19" s="3"/>
      <c r="F19" s="3"/>
      <c r="G19" s="3"/>
      <c r="H19" s="3"/>
      <c r="I19" s="3"/>
      <c r="J19" s="3"/>
      <c r="K19" s="3"/>
      <c r="L19" s="3"/>
      <c r="M19" s="5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2"/>
      <c r="CT19" s="32"/>
      <c r="CU19" s="32"/>
      <c r="CV19" s="32"/>
      <c r="CW19" s="32"/>
      <c r="CX19" s="32"/>
      <c r="CY19" s="32"/>
      <c r="CZ19" s="32"/>
      <c r="DA19" s="32"/>
    </row>
    <row r="20" spans="1:105" x14ac:dyDescent="0.3">
      <c r="A20" s="50"/>
      <c r="B20" s="40">
        <v>42036</v>
      </c>
      <c r="C20" s="43">
        <v>845.45</v>
      </c>
      <c r="D20" s="42">
        <f t="shared" si="0"/>
        <v>2.490069366217984E-3</v>
      </c>
      <c r="E20" s="3"/>
      <c r="F20" s="3"/>
      <c r="G20" s="3"/>
      <c r="H20" s="3"/>
      <c r="I20" s="3"/>
      <c r="J20" s="3"/>
      <c r="K20" s="3"/>
      <c r="L20" s="3"/>
      <c r="M20" s="5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28"/>
      <c r="CT20" s="28"/>
      <c r="CU20" s="28"/>
      <c r="CV20" s="28"/>
      <c r="CW20" s="28"/>
      <c r="CX20" s="28"/>
      <c r="CY20" s="28"/>
      <c r="CZ20" s="28"/>
      <c r="DA20" s="28"/>
    </row>
    <row r="21" spans="1:105" x14ac:dyDescent="0.3">
      <c r="A21" s="50"/>
      <c r="B21" s="40">
        <v>42064</v>
      </c>
      <c r="C21" s="43">
        <v>853.74</v>
      </c>
      <c r="D21" s="42">
        <f t="shared" si="0"/>
        <v>9.8054290614464357E-3</v>
      </c>
      <c r="E21" s="3"/>
      <c r="F21" s="3"/>
      <c r="G21" s="3"/>
      <c r="H21" s="3"/>
      <c r="I21" s="3"/>
      <c r="J21" s="3"/>
      <c r="K21" s="3"/>
      <c r="L21" s="3"/>
      <c r="M21" s="5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28"/>
      <c r="CT21" s="28"/>
      <c r="CU21" s="28"/>
      <c r="CV21" s="28"/>
      <c r="CW21" s="28"/>
      <c r="CX21" s="28"/>
      <c r="CY21" s="28"/>
      <c r="CZ21" s="28"/>
      <c r="DA21" s="28"/>
    </row>
    <row r="22" spans="1:105" x14ac:dyDescent="0.3">
      <c r="A22" s="50"/>
      <c r="B22" s="40">
        <v>42095</v>
      </c>
      <c r="C22" s="43">
        <v>860.11</v>
      </c>
      <c r="D22" s="42">
        <f t="shared" si="0"/>
        <v>7.4612879799471621E-3</v>
      </c>
      <c r="E22" s="3"/>
      <c r="F22" s="3"/>
      <c r="G22" s="3"/>
      <c r="H22" s="3"/>
      <c r="I22" s="3"/>
      <c r="J22" s="3"/>
      <c r="K22" s="3"/>
      <c r="L22" s="3"/>
      <c r="M22" s="5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28"/>
      <c r="CT22" s="28"/>
      <c r="CU22" s="28"/>
      <c r="CV22" s="28"/>
      <c r="CW22" s="28"/>
      <c r="CX22" s="28"/>
      <c r="CY22" s="28"/>
      <c r="CZ22" s="28"/>
      <c r="DA22" s="28"/>
    </row>
    <row r="23" spans="1:105" x14ac:dyDescent="0.3">
      <c r="A23" s="50"/>
      <c r="B23" s="40">
        <v>42125</v>
      </c>
      <c r="C23" s="43">
        <v>872.85</v>
      </c>
      <c r="D23" s="42">
        <f t="shared" si="0"/>
        <v>1.4812058922695881E-2</v>
      </c>
      <c r="E23" s="3"/>
      <c r="F23" s="3"/>
      <c r="G23" s="3"/>
      <c r="H23" s="3"/>
      <c r="I23" s="3"/>
      <c r="J23" s="3"/>
      <c r="K23" s="3"/>
      <c r="L23" s="3"/>
      <c r="M23" s="5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28"/>
      <c r="CT23" s="28"/>
      <c r="CU23" s="28"/>
      <c r="CV23" s="28"/>
      <c r="CW23" s="28"/>
      <c r="CX23" s="28"/>
      <c r="CY23" s="28"/>
      <c r="CZ23" s="28"/>
      <c r="DA23" s="28"/>
    </row>
    <row r="24" spans="1:105" x14ac:dyDescent="0.3">
      <c r="A24" s="50"/>
      <c r="B24" s="40">
        <v>42156</v>
      </c>
      <c r="C24" s="43">
        <v>884.33</v>
      </c>
      <c r="D24" s="42">
        <f t="shared" si="0"/>
        <v>1.3152317122071322E-2</v>
      </c>
      <c r="E24" s="3"/>
      <c r="F24" s="3"/>
      <c r="G24" s="3"/>
      <c r="H24" s="3"/>
      <c r="I24" s="3"/>
      <c r="J24" s="3"/>
      <c r="K24" s="3"/>
      <c r="L24" s="3"/>
      <c r="M24" s="5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28"/>
      <c r="CT24" s="28"/>
      <c r="CU24" s="28"/>
      <c r="CV24" s="28"/>
      <c r="CW24" s="28"/>
      <c r="CX24" s="28"/>
      <c r="CY24" s="28"/>
      <c r="CZ24" s="28"/>
      <c r="DA24" s="28"/>
    </row>
    <row r="25" spans="1:105" x14ac:dyDescent="0.3">
      <c r="A25" s="50"/>
      <c r="B25" s="40">
        <v>42186</v>
      </c>
      <c r="C25" s="43">
        <v>897.04</v>
      </c>
      <c r="D25" s="42">
        <f>(C25/C24-1)*1</f>
        <v>1.4372462768423411E-2</v>
      </c>
      <c r="E25" s="3"/>
      <c r="F25" s="3"/>
      <c r="G25" s="3"/>
      <c r="H25" s="3"/>
      <c r="I25" s="3"/>
      <c r="J25" s="3"/>
      <c r="K25" s="3"/>
      <c r="L25" s="3"/>
      <c r="M25" s="5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28"/>
      <c r="CT25" s="28"/>
      <c r="CU25" s="28"/>
      <c r="CV25" s="28"/>
      <c r="CW25" s="28"/>
      <c r="CX25" s="28"/>
      <c r="CY25" s="28"/>
      <c r="CZ25" s="28"/>
      <c r="DA25" s="28"/>
    </row>
    <row r="26" spans="1:105" x14ac:dyDescent="0.3">
      <c r="A26" s="50"/>
      <c r="B26" s="40">
        <v>42217</v>
      </c>
      <c r="C26" s="43">
        <v>909.85</v>
      </c>
      <c r="D26" s="42">
        <f>(C26/C25-1)*1</f>
        <v>1.4280299652189576E-2</v>
      </c>
      <c r="E26" s="3"/>
      <c r="F26" s="3"/>
      <c r="G26" s="3"/>
      <c r="H26" s="3"/>
      <c r="I26" s="3"/>
      <c r="J26" s="3"/>
      <c r="K26" s="3"/>
      <c r="L26" s="3"/>
      <c r="M26" s="5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28"/>
      <c r="CT26" s="28"/>
      <c r="CU26" s="28"/>
      <c r="CV26" s="28"/>
      <c r="CW26" s="28"/>
      <c r="CX26" s="28"/>
      <c r="CY26" s="28"/>
      <c r="CZ26" s="28"/>
      <c r="DA26" s="28"/>
    </row>
    <row r="27" spans="1:105" x14ac:dyDescent="0.3">
      <c r="A27" s="50"/>
      <c r="B27" s="40">
        <v>42248</v>
      </c>
      <c r="C27" s="43">
        <v>922.1</v>
      </c>
      <c r="D27" s="42">
        <f>(C27/C26-1)*1</f>
        <v>1.3463757762268491E-2</v>
      </c>
      <c r="E27" s="3"/>
      <c r="F27" s="3"/>
      <c r="G27" s="3"/>
      <c r="H27" s="3"/>
      <c r="I27" s="3"/>
      <c r="J27" s="3"/>
      <c r="K27" s="3"/>
      <c r="L27" s="3"/>
      <c r="M27" s="5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 x14ac:dyDescent="0.3">
      <c r="A28" s="50"/>
      <c r="B28" s="40">
        <v>42278</v>
      </c>
      <c r="C28" s="43">
        <v>930.69</v>
      </c>
      <c r="D28" s="42">
        <f>(C28/C27-1)*1</f>
        <v>9.3156924411670339E-3</v>
      </c>
      <c r="E28" s="3"/>
      <c r="F28" s="3"/>
      <c r="G28" s="3"/>
      <c r="H28" s="3"/>
      <c r="I28" s="3"/>
      <c r="J28" s="3"/>
      <c r="K28" s="3"/>
      <c r="L28" s="3"/>
      <c r="M28" s="5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28"/>
      <c r="CT28" s="28"/>
      <c r="CU28" s="28"/>
      <c r="CV28" s="28"/>
      <c r="CW28" s="28"/>
      <c r="CX28" s="28"/>
      <c r="CY28" s="28"/>
      <c r="CZ28" s="28"/>
      <c r="DA28" s="28"/>
    </row>
    <row r="29" spans="1:105" x14ac:dyDescent="0.3">
      <c r="A29" s="50"/>
      <c r="B29" s="40">
        <v>42309</v>
      </c>
      <c r="C29" s="43">
        <f>+C28*(1+D29)</f>
        <v>951.16518000000008</v>
      </c>
      <c r="D29" s="42">
        <v>2.1999999999999999E-2</v>
      </c>
      <c r="E29" s="3"/>
      <c r="F29" s="3"/>
      <c r="G29" s="3"/>
      <c r="H29" s="3"/>
      <c r="I29" s="3"/>
      <c r="J29" s="3"/>
      <c r="K29" s="3"/>
      <c r="L29" s="3"/>
      <c r="M29" s="5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28"/>
      <c r="CT29" s="28"/>
      <c r="CU29" s="28"/>
      <c r="CV29" s="28"/>
      <c r="CW29" s="28"/>
      <c r="CX29" s="28"/>
      <c r="CY29" s="28"/>
      <c r="CZ29" s="28"/>
      <c r="DA29" s="28"/>
    </row>
    <row r="30" spans="1:105" x14ac:dyDescent="0.3">
      <c r="A30" s="50"/>
      <c r="B30" s="40">
        <v>42339</v>
      </c>
      <c r="C30" s="43">
        <f t="shared" ref="C30:C47" si="1">+C29*(1+D30)</f>
        <v>987.30945684000017</v>
      </c>
      <c r="D30" s="42">
        <v>3.7999999999999999E-2</v>
      </c>
      <c r="E30" s="3"/>
      <c r="F30" s="3"/>
      <c r="G30" s="3"/>
      <c r="H30" s="3"/>
      <c r="I30" s="3"/>
      <c r="J30" s="3"/>
      <c r="K30" s="3"/>
      <c r="L30" s="3"/>
      <c r="M30" s="5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 s="10" customFormat="1" ht="15" customHeight="1" x14ac:dyDescent="0.3">
      <c r="A31" s="52"/>
      <c r="B31" s="40">
        <v>42370</v>
      </c>
      <c r="C31" s="43">
        <f t="shared" si="1"/>
        <v>1076.1673079556003</v>
      </c>
      <c r="D31" s="42">
        <v>0.09</v>
      </c>
      <c r="E31" s="12"/>
      <c r="F31" s="12"/>
      <c r="G31" s="12"/>
      <c r="H31" s="12"/>
      <c r="I31" s="12"/>
      <c r="J31" s="12"/>
      <c r="K31" s="12"/>
      <c r="L31" s="12"/>
      <c r="M31" s="5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4"/>
      <c r="CT31" s="34"/>
      <c r="CU31" s="34"/>
      <c r="CV31" s="34"/>
      <c r="CW31" s="34"/>
      <c r="CX31" s="34"/>
      <c r="CY31" s="34"/>
      <c r="CZ31" s="34"/>
      <c r="DA31" s="34"/>
    </row>
    <row r="32" spans="1:105" s="4" customFormat="1" x14ac:dyDescent="0.3">
      <c r="A32" s="52"/>
      <c r="B32" s="40">
        <v>42401</v>
      </c>
      <c r="C32" s="43">
        <f t="shared" si="1"/>
        <v>1129.9756733533804</v>
      </c>
      <c r="D32" s="42">
        <v>0.05</v>
      </c>
      <c r="E32" s="12"/>
      <c r="F32" s="12"/>
      <c r="G32" s="12"/>
      <c r="H32" s="12"/>
      <c r="I32" s="12"/>
      <c r="J32" s="12"/>
      <c r="K32" s="12"/>
      <c r="L32" s="12"/>
      <c r="M32" s="53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</row>
    <row r="33" spans="1:105" x14ac:dyDescent="0.3">
      <c r="A33" s="50"/>
      <c r="B33" s="40">
        <v>42430</v>
      </c>
      <c r="C33" s="43">
        <f t="shared" si="1"/>
        <v>1157.0950895138617</v>
      </c>
      <c r="D33" s="42">
        <v>2.4E-2</v>
      </c>
      <c r="E33" s="3"/>
      <c r="F33" s="3"/>
      <c r="G33" s="3"/>
      <c r="H33" s="3"/>
      <c r="I33" s="3"/>
      <c r="J33" s="3"/>
      <c r="K33" s="3"/>
      <c r="L33" s="3"/>
      <c r="M33" s="5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</row>
    <row r="34" spans="1:105" x14ac:dyDescent="0.3">
      <c r="A34" s="50"/>
      <c r="B34" s="40">
        <v>42461</v>
      </c>
      <c r="C34" s="43">
        <f t="shared" si="1"/>
        <v>1174.4515158565696</v>
      </c>
      <c r="D34" s="42">
        <v>1.4999999999999999E-2</v>
      </c>
      <c r="E34" s="3"/>
      <c r="F34" s="3"/>
      <c r="G34" s="3"/>
      <c r="H34" s="3"/>
      <c r="I34" s="3"/>
      <c r="J34" s="3"/>
      <c r="K34" s="3"/>
      <c r="L34" s="3"/>
      <c r="M34" s="5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</row>
    <row r="35" spans="1:105" x14ac:dyDescent="0.3">
      <c r="A35" s="50"/>
      <c r="B35" s="40">
        <v>42491</v>
      </c>
      <c r="C35" s="43">
        <f t="shared" si="1"/>
        <v>1216.7317704274062</v>
      </c>
      <c r="D35" s="42">
        <v>3.5999999999999997E-2</v>
      </c>
      <c r="E35" s="3"/>
      <c r="F35" s="3"/>
      <c r="G35" s="3"/>
      <c r="H35" s="3"/>
      <c r="I35" s="3"/>
      <c r="J35" s="3"/>
      <c r="K35" s="3"/>
      <c r="L35" s="3"/>
      <c r="M35" s="5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</row>
    <row r="36" spans="1:105" x14ac:dyDescent="0.3">
      <c r="A36" s="50"/>
      <c r="B36" s="40">
        <v>42522</v>
      </c>
      <c r="C36" s="43">
        <f t="shared" si="1"/>
        <v>1252.0169917698008</v>
      </c>
      <c r="D36" s="42">
        <v>2.9000000000000001E-2</v>
      </c>
      <c r="E36" s="3"/>
      <c r="F36" s="3"/>
      <c r="G36" s="3"/>
      <c r="H36" s="3"/>
      <c r="I36" s="3"/>
      <c r="J36" s="3"/>
      <c r="K36" s="3"/>
      <c r="L36" s="3"/>
      <c r="M36" s="5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</row>
    <row r="37" spans="1:105" x14ac:dyDescent="0.3">
      <c r="A37" s="50"/>
      <c r="B37" s="40">
        <v>42552</v>
      </c>
      <c r="C37" s="43">
        <f t="shared" si="1"/>
        <v>1285.8214505475853</v>
      </c>
      <c r="D37" s="42">
        <v>2.7E-2</v>
      </c>
      <c r="E37" s="3"/>
      <c r="F37" s="3"/>
      <c r="G37" s="3"/>
      <c r="H37" s="3"/>
      <c r="I37" s="3"/>
      <c r="J37" s="3"/>
      <c r="K37" s="3"/>
      <c r="L37" s="3"/>
      <c r="M37" s="5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</row>
    <row r="38" spans="1:105" x14ac:dyDescent="0.3">
      <c r="A38" s="50"/>
      <c r="B38" s="40">
        <v>42583</v>
      </c>
      <c r="C38" s="43">
        <f t="shared" si="1"/>
        <v>1290.9647363497756</v>
      </c>
      <c r="D38" s="42">
        <v>4.0000000000000001E-3</v>
      </c>
      <c r="E38" s="3"/>
      <c r="F38" s="3"/>
      <c r="G38" s="3"/>
      <c r="H38" s="3"/>
      <c r="I38" s="3"/>
      <c r="J38" s="3"/>
      <c r="K38" s="3"/>
      <c r="L38" s="3"/>
      <c r="M38" s="5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</row>
    <row r="39" spans="1:105" x14ac:dyDescent="0.3">
      <c r="A39" s="50"/>
      <c r="B39" s="40">
        <v>42614</v>
      </c>
      <c r="C39" s="43">
        <f t="shared" si="1"/>
        <v>1296.1285952951748</v>
      </c>
      <c r="D39" s="42">
        <v>4.0000000000000001E-3</v>
      </c>
      <c r="E39" s="3"/>
      <c r="F39" s="3"/>
      <c r="G39" s="3"/>
      <c r="H39" s="3"/>
      <c r="I39" s="3"/>
      <c r="J39" s="3"/>
      <c r="K39" s="3"/>
      <c r="L39" s="3"/>
      <c r="M39" s="5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</row>
    <row r="40" spans="1:105" x14ac:dyDescent="0.3">
      <c r="A40" s="50"/>
      <c r="B40" s="40">
        <v>42644</v>
      </c>
      <c r="C40" s="43">
        <f t="shared" si="1"/>
        <v>1303.9053668669458</v>
      </c>
      <c r="D40" s="42">
        <v>6.0000000000000001E-3</v>
      </c>
      <c r="E40" s="3"/>
      <c r="F40" s="3"/>
      <c r="G40" s="3"/>
      <c r="H40" s="3"/>
      <c r="I40" s="3"/>
      <c r="J40" s="3"/>
      <c r="K40" s="3"/>
      <c r="L40" s="3"/>
      <c r="M40" s="5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</row>
    <row r="41" spans="1:105" x14ac:dyDescent="0.3">
      <c r="A41" s="50"/>
      <c r="B41" s="40">
        <v>42675</v>
      </c>
      <c r="C41" s="43">
        <f t="shared" si="1"/>
        <v>1318.2483259024821</v>
      </c>
      <c r="D41" s="42">
        <v>1.0999999999999999E-2</v>
      </c>
      <c r="E41" s="3"/>
      <c r="F41" s="3"/>
      <c r="G41" s="3"/>
      <c r="H41" s="3"/>
      <c r="I41" s="3"/>
      <c r="J41" s="3"/>
      <c r="K41" s="3"/>
      <c r="L41" s="3"/>
      <c r="M41" s="5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</row>
    <row r="42" spans="1:105" x14ac:dyDescent="0.3">
      <c r="A42" s="50"/>
      <c r="B42" s="40">
        <v>42705</v>
      </c>
      <c r="C42" s="43">
        <f t="shared" si="1"/>
        <v>1328.794312509702</v>
      </c>
      <c r="D42" s="42">
        <v>8.0000000000000002E-3</v>
      </c>
      <c r="E42" s="3" t="s">
        <v>70</v>
      </c>
      <c r="F42" s="3"/>
      <c r="G42" s="3"/>
      <c r="H42" s="3"/>
      <c r="I42" s="3"/>
      <c r="J42" s="3"/>
      <c r="K42" s="3"/>
      <c r="L42" s="3"/>
      <c r="M42" s="5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</row>
    <row r="43" spans="1:105" x14ac:dyDescent="0.3">
      <c r="A43" s="50"/>
      <c r="B43" s="40">
        <v>42736</v>
      </c>
      <c r="C43" s="43">
        <f t="shared" si="1"/>
        <v>1348.7262271973473</v>
      </c>
      <c r="D43" s="42">
        <v>1.4999999999999999E-2</v>
      </c>
      <c r="E43" s="3">
        <v>1.3</v>
      </c>
      <c r="F43" s="3"/>
      <c r="G43" s="3"/>
      <c r="H43" s="3"/>
      <c r="I43" s="3"/>
      <c r="J43" s="3"/>
      <c r="K43" s="3"/>
      <c r="L43" s="3"/>
      <c r="M43" s="51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</row>
    <row r="44" spans="1:105" x14ac:dyDescent="0.3">
      <c r="A44" s="50"/>
      <c r="B44" s="40">
        <v>42767</v>
      </c>
      <c r="C44" s="43">
        <f t="shared" si="1"/>
        <v>1371.654573059702</v>
      </c>
      <c r="D44" s="42">
        <v>1.7000000000000001E-2</v>
      </c>
      <c r="E44" s="3">
        <v>2.5</v>
      </c>
      <c r="F44" s="3"/>
      <c r="G44" s="3"/>
      <c r="H44" s="3"/>
      <c r="I44" s="3"/>
      <c r="J44" s="3"/>
      <c r="K44" s="3"/>
      <c r="L44" s="3"/>
      <c r="M44" s="51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</row>
    <row r="45" spans="1:105" x14ac:dyDescent="0.3">
      <c r="A45" s="50"/>
      <c r="B45" s="40">
        <v>42795</v>
      </c>
      <c r="C45" s="43">
        <f t="shared" si="1"/>
        <v>1383.9994642172392</v>
      </c>
      <c r="D45" s="42">
        <v>8.9999999999999993E-3</v>
      </c>
      <c r="E45" s="3">
        <v>2.4</v>
      </c>
      <c r="F45" s="3"/>
      <c r="G45" s="3"/>
      <c r="H45" s="3"/>
      <c r="I45" s="3"/>
      <c r="J45" s="3"/>
      <c r="K45" s="3"/>
      <c r="L45" s="3"/>
      <c r="M45" s="51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</row>
    <row r="46" spans="1:105" x14ac:dyDescent="0.3">
      <c r="A46" s="50"/>
      <c r="B46" s="40">
        <v>42826</v>
      </c>
      <c r="C46" s="43">
        <f t="shared" si="1"/>
        <v>1390.9194615383253</v>
      </c>
      <c r="D46" s="42">
        <v>5.0000000000000001E-3</v>
      </c>
      <c r="E46" s="3">
        <v>2.6</v>
      </c>
      <c r="F46" s="3"/>
      <c r="G46" s="3"/>
      <c r="H46" s="3"/>
      <c r="I46" s="3"/>
      <c r="J46" s="3"/>
      <c r="K46" s="3"/>
      <c r="L46" s="3"/>
      <c r="M46" s="51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</row>
    <row r="47" spans="1:105" x14ac:dyDescent="0.3">
      <c r="A47" s="50"/>
      <c r="B47" s="40">
        <v>42856</v>
      </c>
      <c r="C47" s="43">
        <f t="shared" si="1"/>
        <v>1403.4377366921701</v>
      </c>
      <c r="D47" s="42">
        <v>8.9999999999999993E-3</v>
      </c>
      <c r="E47" s="3">
        <v>1.3</v>
      </c>
      <c r="F47" s="3"/>
      <c r="G47" s="3"/>
      <c r="H47" s="3"/>
      <c r="I47" s="3"/>
      <c r="J47" s="3"/>
      <c r="K47" s="3"/>
      <c r="L47" s="3"/>
      <c r="M47" s="51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</row>
    <row r="48" spans="1:105" x14ac:dyDescent="0.3">
      <c r="A48" s="50"/>
      <c r="B48" s="40">
        <v>42887</v>
      </c>
      <c r="C48" s="43">
        <f t="shared" ref="C48:C55" si="2">+C47*(1+D48)</f>
        <v>1430.1030536893213</v>
      </c>
      <c r="D48" s="42">
        <v>1.9E-2</v>
      </c>
      <c r="E48" s="3">
        <v>1.2</v>
      </c>
      <c r="F48" s="3"/>
      <c r="G48" s="3"/>
      <c r="H48" s="3"/>
      <c r="I48" s="3"/>
      <c r="J48" s="3"/>
      <c r="K48" s="3"/>
      <c r="L48" s="3"/>
      <c r="M48" s="51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</row>
    <row r="49" spans="1:105" x14ac:dyDescent="0.3">
      <c r="A49" s="50"/>
      <c r="B49" s="40">
        <v>42917</v>
      </c>
      <c r="C49" s="43">
        <f t="shared" si="2"/>
        <v>1467.2857330852437</v>
      </c>
      <c r="D49" s="42">
        <v>2.5999999999999999E-2</v>
      </c>
      <c r="E49" s="3">
        <v>1.7</v>
      </c>
      <c r="F49" s="3"/>
      <c r="G49" s="3"/>
      <c r="H49" s="3"/>
      <c r="I49" s="3"/>
      <c r="J49" s="3"/>
      <c r="K49" s="3"/>
      <c r="L49" s="3"/>
      <c r="M49" s="51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</row>
    <row r="50" spans="1:105" x14ac:dyDescent="0.3">
      <c r="A50" s="50"/>
      <c r="B50" s="40">
        <v>42948</v>
      </c>
      <c r="C50" s="43">
        <f t="shared" si="2"/>
        <v>1495.1641620138632</v>
      </c>
      <c r="D50" s="42">
        <v>1.9E-2</v>
      </c>
      <c r="E50" s="3">
        <v>1.4</v>
      </c>
      <c r="F50" s="3"/>
      <c r="G50" s="3"/>
      <c r="H50" s="3"/>
      <c r="I50" s="3"/>
      <c r="J50" s="3"/>
      <c r="K50" s="3"/>
      <c r="L50" s="3"/>
      <c r="M50" s="51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</row>
    <row r="51" spans="1:105" x14ac:dyDescent="0.3">
      <c r="A51" s="50"/>
      <c r="B51" s="40">
        <v>42979</v>
      </c>
      <c r="C51" s="43">
        <f t="shared" si="2"/>
        <v>1510.1158036340018</v>
      </c>
      <c r="D51" s="42">
        <v>0.01</v>
      </c>
      <c r="E51" s="3">
        <v>1.9</v>
      </c>
      <c r="F51" s="3"/>
      <c r="G51" s="3"/>
      <c r="H51" s="3"/>
      <c r="I51" s="3"/>
      <c r="J51" s="3"/>
      <c r="K51" s="3"/>
      <c r="L51" s="3"/>
      <c r="M51" s="51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</row>
    <row r="52" spans="1:105" x14ac:dyDescent="0.3">
      <c r="A52" s="50"/>
      <c r="B52" s="40">
        <v>43009</v>
      </c>
      <c r="C52" s="43">
        <f t="shared" si="2"/>
        <v>1532.7675406885116</v>
      </c>
      <c r="D52" s="42">
        <v>1.4999999999999999E-2</v>
      </c>
      <c r="E52" s="3">
        <v>1.5</v>
      </c>
      <c r="F52" s="3"/>
      <c r="G52" s="3"/>
      <c r="H52" s="3"/>
      <c r="I52" s="3"/>
      <c r="J52" s="3"/>
      <c r="K52" s="3"/>
      <c r="L52" s="3"/>
      <c r="M52" s="51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</row>
    <row r="53" spans="1:105" x14ac:dyDescent="0.3">
      <c r="A53" s="50"/>
      <c r="B53" s="40">
        <v>43040</v>
      </c>
      <c r="C53" s="43">
        <f t="shared" si="2"/>
        <v>1555.7590537988392</v>
      </c>
      <c r="D53" s="42">
        <v>1.4999999999999999E-2</v>
      </c>
      <c r="E53" s="3">
        <v>1.4</v>
      </c>
      <c r="F53" s="3"/>
      <c r="G53" s="3"/>
      <c r="H53" s="3"/>
      <c r="I53" s="3"/>
      <c r="J53" s="3"/>
      <c r="K53" s="3"/>
      <c r="L53" s="3"/>
      <c r="M53" s="51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</row>
    <row r="54" spans="1:105" x14ac:dyDescent="0.3">
      <c r="A54" s="50"/>
      <c r="B54" s="40">
        <v>43070</v>
      </c>
      <c r="C54" s="43">
        <f t="shared" si="2"/>
        <v>1580.6511986596206</v>
      </c>
      <c r="D54" s="42">
        <v>1.6E-2</v>
      </c>
      <c r="E54" s="3">
        <v>3.1</v>
      </c>
      <c r="F54" s="3"/>
      <c r="G54" s="3"/>
      <c r="H54" s="3"/>
      <c r="I54" s="3"/>
      <c r="J54" s="3"/>
      <c r="K54" s="3"/>
      <c r="L54" s="3"/>
      <c r="M54" s="51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</row>
    <row r="55" spans="1:105" x14ac:dyDescent="0.3">
      <c r="A55" s="50"/>
      <c r="B55" s="40">
        <v>43101</v>
      </c>
      <c r="C55" s="43">
        <f t="shared" si="2"/>
        <v>1653.3611537979632</v>
      </c>
      <c r="D55" s="42">
        <v>4.5999999999999999E-2</v>
      </c>
      <c r="E55" s="3">
        <v>1.8</v>
      </c>
      <c r="F55" s="3"/>
      <c r="G55" s="3"/>
      <c r="H55" s="3"/>
      <c r="I55" s="3"/>
      <c r="J55" s="3"/>
      <c r="K55" s="3"/>
      <c r="L55" s="3"/>
      <c r="M55" s="51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</row>
    <row r="56" spans="1:105" x14ac:dyDescent="0.3">
      <c r="A56" s="50"/>
      <c r="B56" s="40">
        <v>43132</v>
      </c>
      <c r="C56" s="43">
        <f t="shared" ref="C56:C61" si="3">+C55*(1+D56)</f>
        <v>1732.7224891802655</v>
      </c>
      <c r="D56" s="42">
        <v>4.8000000000000001E-2</v>
      </c>
      <c r="E56" s="3">
        <v>2.4</v>
      </c>
      <c r="F56" s="3"/>
      <c r="G56" s="3"/>
      <c r="H56" s="3"/>
      <c r="I56" s="3"/>
      <c r="J56" s="3"/>
      <c r="K56" s="3"/>
      <c r="L56" s="3"/>
      <c r="M56" s="51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</row>
    <row r="57" spans="1:105" x14ac:dyDescent="0.3">
      <c r="A57" s="50"/>
      <c r="B57" s="40">
        <v>43160</v>
      </c>
      <c r="C57" s="43">
        <f t="shared" si="3"/>
        <v>1765.6442164746904</v>
      </c>
      <c r="D57" s="42">
        <v>1.9E-2</v>
      </c>
      <c r="E57" s="3">
        <v>2.2999999999999998</v>
      </c>
      <c r="F57" s="3"/>
      <c r="G57" s="3"/>
      <c r="H57" s="3"/>
      <c r="I57" s="3"/>
      <c r="J57" s="3"/>
      <c r="K57" s="3"/>
      <c r="L57" s="3"/>
      <c r="M57" s="51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</row>
    <row r="58" spans="1:105" ht="13" customHeight="1" x14ac:dyDescent="0.3">
      <c r="A58" s="50"/>
      <c r="B58" s="40">
        <v>43191</v>
      </c>
      <c r="C58" s="43">
        <f t="shared" si="3"/>
        <v>1797.425812371235</v>
      </c>
      <c r="D58" s="42">
        <v>1.7999999999999999E-2</v>
      </c>
      <c r="E58" s="3">
        <v>2.7</v>
      </c>
      <c r="F58" s="3"/>
      <c r="G58" s="3"/>
      <c r="H58" s="3"/>
      <c r="I58" s="3"/>
      <c r="J58" s="3"/>
      <c r="K58" s="3"/>
      <c r="L58" s="3"/>
      <c r="M58" s="51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</row>
    <row r="59" spans="1:105" ht="13" customHeight="1" x14ac:dyDescent="0.3">
      <c r="A59" s="50"/>
      <c r="B59" s="40">
        <v>43221</v>
      </c>
      <c r="C59" s="43">
        <f t="shared" si="3"/>
        <v>1932.2327482990775</v>
      </c>
      <c r="D59" s="42">
        <v>7.4999999999999997E-2</v>
      </c>
      <c r="E59" s="3">
        <v>2.1</v>
      </c>
      <c r="F59" s="3"/>
      <c r="G59" s="3"/>
      <c r="H59" s="3"/>
      <c r="I59" s="3"/>
      <c r="J59" s="3"/>
      <c r="K59" s="3"/>
      <c r="L59" s="3"/>
      <c r="M59" s="51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</row>
    <row r="60" spans="1:105" ht="13" customHeight="1" x14ac:dyDescent="0.3">
      <c r="A60" s="50"/>
      <c r="B60" s="40">
        <v>43252</v>
      </c>
      <c r="C60" s="43">
        <f t="shared" si="3"/>
        <v>2057.8278769385174</v>
      </c>
      <c r="D60" s="42">
        <v>6.5000000000000002E-2</v>
      </c>
      <c r="E60" s="3">
        <v>3.7</v>
      </c>
      <c r="F60" s="3"/>
      <c r="G60" s="3"/>
      <c r="H60" s="3"/>
      <c r="I60" s="3"/>
      <c r="J60" s="3"/>
      <c r="K60" s="3"/>
      <c r="L60" s="3"/>
      <c r="M60" s="51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</row>
    <row r="61" spans="1:105" x14ac:dyDescent="0.3">
      <c r="A61" s="50"/>
      <c r="B61" s="40">
        <v>43282</v>
      </c>
      <c r="C61" s="43">
        <f t="shared" si="3"/>
        <v>2154.5457871546278</v>
      </c>
      <c r="D61" s="42">
        <v>4.7E-2</v>
      </c>
      <c r="E61" s="3">
        <v>3.1</v>
      </c>
      <c r="F61" s="3"/>
      <c r="G61" s="3"/>
      <c r="H61" s="3"/>
      <c r="I61" s="3"/>
      <c r="J61" s="3"/>
      <c r="K61" s="3"/>
      <c r="L61" s="3"/>
      <c r="M61" s="51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</row>
    <row r="62" spans="1:105" x14ac:dyDescent="0.3">
      <c r="A62" s="50"/>
      <c r="B62" s="40">
        <v>43313</v>
      </c>
      <c r="C62" s="43">
        <f t="shared" ref="C62:C67" si="4">+C61*(1+D62)</f>
        <v>2260.1185307252044</v>
      </c>
      <c r="D62" s="42">
        <v>4.9000000000000002E-2</v>
      </c>
      <c r="E62" s="3">
        <v>3.1</v>
      </c>
      <c r="F62" s="3"/>
      <c r="G62" s="3"/>
      <c r="H62" s="3"/>
      <c r="I62" s="3"/>
      <c r="J62" s="3"/>
      <c r="K62" s="3"/>
      <c r="L62" s="3"/>
      <c r="M62" s="51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</row>
    <row r="63" spans="1:105" x14ac:dyDescent="0.3">
      <c r="A63" s="50"/>
      <c r="B63" s="40">
        <v>43344</v>
      </c>
      <c r="C63" s="43">
        <f t="shared" si="4"/>
        <v>2621.7374956412368</v>
      </c>
      <c r="D63" s="42">
        <v>0.16</v>
      </c>
      <c r="E63" s="3">
        <v>6.5</v>
      </c>
      <c r="F63" s="3"/>
      <c r="G63" s="3"/>
      <c r="H63" s="3"/>
      <c r="I63" s="3"/>
      <c r="J63" s="3"/>
      <c r="K63" s="3"/>
      <c r="L63" s="3"/>
      <c r="M63" s="51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</row>
    <row r="64" spans="1:105" x14ac:dyDescent="0.3">
      <c r="A64" s="50"/>
      <c r="B64" s="40">
        <v>43374</v>
      </c>
      <c r="C64" s="43">
        <f t="shared" si="4"/>
        <v>2700.3896205104738</v>
      </c>
      <c r="D64" s="42">
        <v>0.03</v>
      </c>
      <c r="E64" s="3"/>
      <c r="F64" s="3"/>
      <c r="G64" s="3"/>
      <c r="H64" s="3"/>
      <c r="I64" s="3"/>
      <c r="J64" s="3"/>
      <c r="K64" s="3"/>
      <c r="L64" s="3"/>
      <c r="M64" s="51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</row>
    <row r="65" spans="1:105" x14ac:dyDescent="0.3">
      <c r="A65" s="50"/>
      <c r="B65" s="40">
        <v>43405</v>
      </c>
      <c r="C65" s="43">
        <f t="shared" si="4"/>
        <v>2703.090010130984</v>
      </c>
      <c r="D65" s="42">
        <v>1E-3</v>
      </c>
      <c r="E65" s="3"/>
      <c r="F65" s="64"/>
      <c r="G65" s="3"/>
      <c r="H65" s="3"/>
      <c r="I65" s="3"/>
      <c r="J65" s="3"/>
      <c r="K65" s="3"/>
      <c r="L65" s="3"/>
      <c r="M65" s="51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</row>
    <row r="66" spans="1:105" x14ac:dyDescent="0.3">
      <c r="A66" s="50"/>
      <c r="B66" s="40">
        <v>43435</v>
      </c>
      <c r="C66" s="43">
        <f t="shared" si="4"/>
        <v>2738.2301802626866</v>
      </c>
      <c r="D66" s="42">
        <v>1.2999999999999999E-2</v>
      </c>
      <c r="E66" s="3"/>
      <c r="F66" s="3"/>
      <c r="G66" s="3"/>
      <c r="H66" s="3"/>
      <c r="I66" s="3"/>
      <c r="J66" s="3"/>
      <c r="K66" s="3"/>
      <c r="L66" s="3"/>
      <c r="M66" s="51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</row>
    <row r="67" spans="1:105" x14ac:dyDescent="0.3">
      <c r="A67" s="50"/>
      <c r="B67" s="40">
        <v>43466</v>
      </c>
      <c r="C67" s="43">
        <f t="shared" si="4"/>
        <v>2754.6595613442628</v>
      </c>
      <c r="D67" s="42">
        <v>6.0000000000000001E-3</v>
      </c>
      <c r="E67" s="3"/>
      <c r="F67" s="3"/>
      <c r="G67" s="3"/>
      <c r="H67" s="3"/>
      <c r="I67" s="3"/>
      <c r="J67" s="3"/>
      <c r="K67" s="3"/>
      <c r="L67" s="3"/>
      <c r="M67" s="51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</row>
    <row r="68" spans="1:105" x14ac:dyDescent="0.3">
      <c r="A68" s="50"/>
      <c r="B68" s="40">
        <v>43497</v>
      </c>
      <c r="C68" s="43">
        <f t="shared" ref="C68" si="5">+C67*(1+D68)</f>
        <v>2848.3179864299677</v>
      </c>
      <c r="D68" s="42">
        <v>3.4000000000000002E-2</v>
      </c>
      <c r="E68" s="3"/>
      <c r="F68" s="3"/>
      <c r="G68" s="3"/>
      <c r="H68" s="3"/>
      <c r="I68" s="3"/>
      <c r="J68" s="3"/>
      <c r="K68" s="3"/>
      <c r="L68" s="3"/>
      <c r="M68" s="51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</row>
    <row r="69" spans="1:105" x14ac:dyDescent="0.3">
      <c r="A69" s="50"/>
      <c r="B69" s="40">
        <v>43525</v>
      </c>
      <c r="C69" s="43"/>
      <c r="D69" s="42"/>
      <c r="E69" s="3"/>
      <c r="F69" s="3"/>
      <c r="G69" s="3"/>
      <c r="H69" s="3"/>
      <c r="I69" s="3"/>
      <c r="J69" s="3"/>
      <c r="K69" s="3"/>
      <c r="L69" s="3"/>
      <c r="M69" s="51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</row>
    <row r="70" spans="1:105" x14ac:dyDescent="0.3">
      <c r="A70" s="50"/>
      <c r="B70" s="40">
        <v>43556</v>
      </c>
      <c r="C70" s="43"/>
      <c r="D70" s="42"/>
      <c r="E70" s="3"/>
      <c r="F70" s="3"/>
      <c r="G70" s="3"/>
      <c r="H70" s="3"/>
      <c r="I70" s="3"/>
      <c r="J70" s="3"/>
      <c r="K70" s="3"/>
      <c r="L70" s="3"/>
      <c r="M70" s="51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</row>
    <row r="71" spans="1:105" x14ac:dyDescent="0.3">
      <c r="A71" s="50"/>
      <c r="B71" s="40">
        <v>43586</v>
      </c>
      <c r="C71" s="43"/>
      <c r="D71" s="42"/>
      <c r="E71" s="3"/>
      <c r="F71" s="3"/>
      <c r="G71" s="3"/>
      <c r="H71" s="3"/>
      <c r="I71" s="3"/>
      <c r="J71" s="3"/>
      <c r="K71" s="3"/>
      <c r="L71" s="3"/>
      <c r="M71" s="51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</row>
    <row r="72" spans="1:105" x14ac:dyDescent="0.3">
      <c r="A72" s="50"/>
      <c r="B72" s="40">
        <v>43617</v>
      </c>
      <c r="C72" s="43"/>
      <c r="D72" s="42"/>
      <c r="E72" s="3"/>
      <c r="F72" s="3"/>
      <c r="G72" s="3"/>
      <c r="H72" s="3"/>
      <c r="I72" s="3"/>
      <c r="J72" s="3"/>
      <c r="K72" s="3"/>
      <c r="L72" s="3"/>
      <c r="M72" s="51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</row>
    <row r="73" spans="1:105" x14ac:dyDescent="0.3">
      <c r="A73" s="50"/>
      <c r="B73" s="40">
        <v>43647</v>
      </c>
      <c r="C73" s="43"/>
      <c r="D73" s="42"/>
      <c r="E73" s="3"/>
      <c r="F73" s="3"/>
      <c r="G73" s="3"/>
      <c r="H73" s="3"/>
      <c r="I73" s="3"/>
      <c r="J73" s="3"/>
      <c r="K73" s="3"/>
      <c r="L73" s="3"/>
      <c r="M73" s="51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</row>
    <row r="74" spans="1:105" x14ac:dyDescent="0.3">
      <c r="A74" s="50"/>
      <c r="B74" s="40">
        <v>43678</v>
      </c>
      <c r="C74" s="43"/>
      <c r="D74" s="42"/>
      <c r="E74" s="3"/>
      <c r="F74" s="3"/>
      <c r="G74" s="3"/>
      <c r="H74" s="3"/>
      <c r="I74" s="3"/>
      <c r="J74" s="3"/>
      <c r="K74" s="3"/>
      <c r="L74" s="3"/>
      <c r="M74" s="51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</row>
    <row r="75" spans="1:105" x14ac:dyDescent="0.3">
      <c r="A75" s="50"/>
      <c r="B75" s="40">
        <v>43709</v>
      </c>
      <c r="C75" s="43"/>
      <c r="D75" s="42"/>
      <c r="E75" s="3"/>
      <c r="F75" s="3"/>
      <c r="G75" s="3"/>
      <c r="H75" s="3"/>
      <c r="I75" s="3"/>
      <c r="J75" s="3"/>
      <c r="K75" s="3"/>
      <c r="L75" s="3"/>
      <c r="M75" s="51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</row>
    <row r="76" spans="1:105" x14ac:dyDescent="0.3">
      <c r="A76" s="50"/>
      <c r="B76" s="40">
        <v>43739</v>
      </c>
      <c r="C76" s="43"/>
      <c r="D76" s="42"/>
      <c r="E76" s="3"/>
      <c r="F76" s="3"/>
      <c r="G76" s="3"/>
      <c r="H76" s="3"/>
      <c r="I76" s="3"/>
      <c r="J76" s="3"/>
      <c r="K76" s="3"/>
      <c r="L76" s="3"/>
      <c r="M76" s="51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</row>
    <row r="77" spans="1:105" x14ac:dyDescent="0.3">
      <c r="A77" s="50"/>
      <c r="B77" s="40">
        <v>43770</v>
      </c>
      <c r="C77" s="43"/>
      <c r="D77" s="42"/>
      <c r="E77" s="3"/>
      <c r="F77" s="3"/>
      <c r="G77" s="3"/>
      <c r="H77" s="3"/>
      <c r="I77" s="3"/>
      <c r="J77" s="3"/>
      <c r="K77" s="3"/>
      <c r="L77" s="3"/>
      <c r="M77" s="51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</row>
    <row r="78" spans="1:105" x14ac:dyDescent="0.3">
      <c r="A78" s="50"/>
      <c r="B78" s="40">
        <v>43800</v>
      </c>
      <c r="C78" s="43"/>
      <c r="D78" s="42"/>
      <c r="E78" s="3"/>
      <c r="F78" s="3"/>
      <c r="G78" s="3"/>
      <c r="H78" s="3"/>
      <c r="I78" s="3"/>
      <c r="J78" s="3"/>
      <c r="K78" s="3"/>
      <c r="L78" s="3"/>
      <c r="M78" s="51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</row>
    <row r="79" spans="1:105" x14ac:dyDescent="0.3">
      <c r="A79" s="28"/>
      <c r="B79" s="38"/>
      <c r="C79" s="36"/>
      <c r="D79" s="3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</row>
    <row r="80" spans="1:105" x14ac:dyDescent="0.3">
      <c r="A80" s="28"/>
      <c r="B80" s="38"/>
      <c r="C80" s="36"/>
      <c r="D80" s="3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</row>
    <row r="81" spans="1:105" x14ac:dyDescent="0.3">
      <c r="A81" s="28"/>
      <c r="B81" s="38"/>
      <c r="C81" s="36"/>
      <c r="D81" s="3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</row>
    <row r="82" spans="1:105" x14ac:dyDescent="0.3">
      <c r="A82" s="28"/>
      <c r="B82" s="38"/>
      <c r="C82" s="36"/>
      <c r="D82" s="3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</row>
    <row r="83" spans="1:105" x14ac:dyDescent="0.3">
      <c r="A83" s="28"/>
      <c r="B83" s="38"/>
      <c r="C83" s="36"/>
      <c r="D83" s="3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</row>
    <row r="84" spans="1:105" x14ac:dyDescent="0.3">
      <c r="A84" s="28"/>
      <c r="B84" s="38"/>
      <c r="C84" s="36"/>
      <c r="D84" s="3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</row>
    <row r="85" spans="1:105" x14ac:dyDescent="0.3">
      <c r="A85" s="28"/>
      <c r="B85" s="38"/>
      <c r="C85" s="36"/>
      <c r="D85" s="3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</row>
    <row r="86" spans="1:105" x14ac:dyDescent="0.3">
      <c r="A86" s="28"/>
      <c r="B86" s="38"/>
      <c r="C86" s="36"/>
      <c r="D86" s="3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</row>
    <row r="87" spans="1:105" x14ac:dyDescent="0.3">
      <c r="A87" s="28"/>
      <c r="B87" s="38"/>
      <c r="C87" s="36"/>
      <c r="D87" s="3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</row>
    <row r="88" spans="1:105" x14ac:dyDescent="0.3">
      <c r="A88" s="28"/>
      <c r="B88" s="38"/>
      <c r="C88" s="36"/>
      <c r="D88" s="3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</row>
    <row r="89" spans="1:105" x14ac:dyDescent="0.3">
      <c r="A89" s="28"/>
      <c r="B89" s="38"/>
      <c r="C89" s="36"/>
      <c r="D89" s="3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</row>
    <row r="90" spans="1:105" x14ac:dyDescent="0.3">
      <c r="A90" s="28"/>
      <c r="B90" s="38"/>
      <c r="C90" s="36"/>
      <c r="D90" s="3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</row>
    <row r="91" spans="1:105" x14ac:dyDescent="0.3">
      <c r="A91" s="28"/>
      <c r="B91" s="38"/>
      <c r="C91" s="36"/>
      <c r="D91" s="3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</row>
    <row r="92" spans="1:105" x14ac:dyDescent="0.3">
      <c r="A92" s="28"/>
      <c r="B92" s="38"/>
      <c r="C92" s="36"/>
      <c r="D92" s="3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</row>
    <row r="93" spans="1:105" x14ac:dyDescent="0.3">
      <c r="A93" s="28"/>
      <c r="B93" s="38"/>
      <c r="C93" s="36"/>
      <c r="D93" s="3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</row>
    <row r="94" spans="1:105" x14ac:dyDescent="0.3">
      <c r="A94" s="28"/>
      <c r="B94" s="38"/>
      <c r="C94" s="36"/>
      <c r="D94" s="3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</row>
    <row r="95" spans="1:105" x14ac:dyDescent="0.3">
      <c r="A95" s="28"/>
      <c r="B95" s="38"/>
      <c r="C95" s="36"/>
      <c r="D95" s="3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</row>
    <row r="96" spans="1:105" x14ac:dyDescent="0.3">
      <c r="A96" s="28"/>
      <c r="B96" s="38"/>
      <c r="C96" s="36"/>
      <c r="D96" s="3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</row>
    <row r="97" spans="1:105" x14ac:dyDescent="0.3">
      <c r="A97" s="28"/>
      <c r="B97" s="38"/>
      <c r="C97" s="36"/>
      <c r="D97" s="3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</row>
    <row r="98" spans="1:105" x14ac:dyDescent="0.3">
      <c r="A98" s="28"/>
      <c r="B98" s="38"/>
      <c r="C98" s="36"/>
      <c r="D98" s="3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</row>
    <row r="99" spans="1:105" x14ac:dyDescent="0.3">
      <c r="A99" s="28"/>
      <c r="B99" s="38"/>
      <c r="C99" s="36"/>
      <c r="D99" s="3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</row>
    <row r="100" spans="1:105" x14ac:dyDescent="0.3">
      <c r="A100" s="28"/>
      <c r="B100" s="38"/>
      <c r="C100" s="36"/>
      <c r="D100" s="3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</row>
    <row r="101" spans="1:105" x14ac:dyDescent="0.3">
      <c r="A101" s="28"/>
      <c r="B101" s="38"/>
      <c r="C101" s="36"/>
      <c r="D101" s="3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</row>
    <row r="102" spans="1:105" x14ac:dyDescent="0.3">
      <c r="A102" s="28"/>
      <c r="B102" s="38"/>
      <c r="C102" s="36"/>
      <c r="D102" s="3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</row>
    <row r="103" spans="1:105" x14ac:dyDescent="0.3">
      <c r="A103" s="28"/>
      <c r="B103" s="38"/>
      <c r="C103" s="36"/>
      <c r="D103" s="37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</row>
    <row r="104" spans="1:105" x14ac:dyDescent="0.3">
      <c r="A104" s="28"/>
      <c r="B104" s="38"/>
      <c r="C104" s="36"/>
      <c r="D104" s="3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</row>
    <row r="105" spans="1:105" x14ac:dyDescent="0.3">
      <c r="A105" s="28"/>
      <c r="B105" s="38"/>
      <c r="C105" s="36"/>
      <c r="D105" s="37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</row>
    <row r="106" spans="1:105" x14ac:dyDescent="0.3">
      <c r="A106" s="28"/>
      <c r="B106" s="38"/>
      <c r="C106" s="36"/>
      <c r="D106" s="3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</row>
    <row r="107" spans="1:105" x14ac:dyDescent="0.3">
      <c r="A107" s="28"/>
      <c r="B107" s="38"/>
      <c r="C107" s="36"/>
      <c r="D107" s="37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</row>
    <row r="108" spans="1:105" x14ac:dyDescent="0.3">
      <c r="A108" s="28"/>
      <c r="B108" s="38"/>
      <c r="C108" s="36"/>
      <c r="D108" s="3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</row>
    <row r="109" spans="1:105" x14ac:dyDescent="0.3">
      <c r="A109" s="28"/>
      <c r="B109" s="38"/>
      <c r="C109" s="36"/>
      <c r="D109" s="37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</row>
    <row r="110" spans="1:105" x14ac:dyDescent="0.3">
      <c r="A110" s="28"/>
      <c r="B110" s="38"/>
      <c r="C110" s="36"/>
      <c r="D110" s="3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</row>
    <row r="111" spans="1:105" x14ac:dyDescent="0.3">
      <c r="A111" s="28"/>
      <c r="B111" s="38"/>
      <c r="C111" s="36"/>
      <c r="D111" s="3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</row>
    <row r="112" spans="1:105" x14ac:dyDescent="0.3">
      <c r="A112" s="28"/>
      <c r="B112" s="38"/>
      <c r="C112" s="36"/>
      <c r="D112" s="3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</row>
    <row r="113" spans="1:105" x14ac:dyDescent="0.3">
      <c r="A113" s="28"/>
      <c r="B113" s="38"/>
      <c r="C113" s="36"/>
      <c r="D113" s="37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</row>
    <row r="114" spans="1:105" x14ac:dyDescent="0.3">
      <c r="A114" s="28"/>
      <c r="B114" s="38"/>
      <c r="C114" s="36"/>
      <c r="D114" s="3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</row>
    <row r="115" spans="1:105" x14ac:dyDescent="0.3">
      <c r="A115" s="28"/>
      <c r="B115" s="38"/>
      <c r="C115" s="36"/>
      <c r="D115" s="37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</row>
    <row r="116" spans="1:105" x14ac:dyDescent="0.3">
      <c r="A116" s="28"/>
      <c r="B116" s="38"/>
      <c r="C116" s="36"/>
      <c r="D116" s="3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</row>
    <row r="117" spans="1:105" x14ac:dyDescent="0.3">
      <c r="A117" s="28"/>
      <c r="B117" s="38"/>
      <c r="C117" s="36"/>
      <c r="D117" s="37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</row>
    <row r="118" spans="1:105" x14ac:dyDescent="0.3">
      <c r="A118" s="28"/>
      <c r="B118" s="38"/>
      <c r="C118" s="36"/>
      <c r="D118" s="3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</row>
    <row r="119" spans="1:105" x14ac:dyDescent="0.3">
      <c r="A119" s="28"/>
      <c r="B119" s="38"/>
      <c r="C119" s="36"/>
      <c r="D119" s="37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</row>
    <row r="120" spans="1:105" x14ac:dyDescent="0.3">
      <c r="A120" s="28"/>
      <c r="B120" s="38"/>
      <c r="C120" s="36"/>
      <c r="D120" s="3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</row>
    <row r="121" spans="1:105" x14ac:dyDescent="0.3">
      <c r="A121" s="28"/>
      <c r="B121" s="38"/>
      <c r="C121" s="36"/>
      <c r="D121" s="3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</row>
    <row r="122" spans="1:105" x14ac:dyDescent="0.3">
      <c r="A122" s="28"/>
      <c r="B122" s="38"/>
      <c r="C122" s="36"/>
      <c r="D122" s="3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</row>
    <row r="123" spans="1:105" x14ac:dyDescent="0.3">
      <c r="A123" s="28"/>
      <c r="B123" s="38"/>
      <c r="C123" s="36"/>
      <c r="D123" s="3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</row>
    <row r="124" spans="1:105" x14ac:dyDescent="0.3">
      <c r="A124" s="28"/>
      <c r="B124" s="38"/>
      <c r="C124" s="36"/>
      <c r="D124" s="3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</row>
    <row r="125" spans="1:105" x14ac:dyDescent="0.3">
      <c r="A125" s="28"/>
      <c r="B125" s="38"/>
      <c r="C125" s="36"/>
      <c r="D125" s="3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</row>
    <row r="126" spans="1:105" x14ac:dyDescent="0.3">
      <c r="A126" s="28"/>
      <c r="B126" s="38"/>
      <c r="C126" s="36"/>
      <c r="D126" s="3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</row>
    <row r="127" spans="1:105" x14ac:dyDescent="0.3">
      <c r="A127" s="28"/>
      <c r="B127" s="38"/>
      <c r="C127" s="36"/>
      <c r="D127" s="37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</row>
    <row r="128" spans="1:105" x14ac:dyDescent="0.3">
      <c r="A128" s="28"/>
      <c r="B128" s="38"/>
      <c r="C128" s="36"/>
      <c r="D128" s="3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</row>
    <row r="129" spans="1:105" x14ac:dyDescent="0.3">
      <c r="A129" s="28"/>
      <c r="B129" s="38"/>
      <c r="C129" s="36"/>
      <c r="D129" s="37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</row>
    <row r="130" spans="1:105" x14ac:dyDescent="0.3">
      <c r="A130" s="28"/>
      <c r="B130" s="38"/>
      <c r="C130" s="36"/>
      <c r="D130" s="3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</row>
    <row r="131" spans="1:105" x14ac:dyDescent="0.3">
      <c r="A131" s="28"/>
      <c r="B131" s="38"/>
      <c r="C131" s="36"/>
      <c r="D131" s="3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</row>
    <row r="132" spans="1:105" x14ac:dyDescent="0.3">
      <c r="A132" s="28"/>
      <c r="B132" s="38"/>
      <c r="C132" s="36"/>
      <c r="D132" s="3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</row>
    <row r="133" spans="1:105" x14ac:dyDescent="0.3">
      <c r="A133" s="28"/>
      <c r="B133" s="38"/>
      <c r="C133" s="36"/>
      <c r="D133" s="37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</row>
    <row r="134" spans="1:105" x14ac:dyDescent="0.3">
      <c r="A134" s="28"/>
      <c r="B134" s="38"/>
      <c r="C134" s="36"/>
      <c r="D134" s="3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</row>
    <row r="135" spans="1:105" x14ac:dyDescent="0.3">
      <c r="A135" s="28"/>
      <c r="B135" s="38"/>
      <c r="C135" s="36"/>
      <c r="D135" s="37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</row>
    <row r="136" spans="1:105" x14ac:dyDescent="0.3">
      <c r="A136" s="28"/>
      <c r="B136" s="38"/>
      <c r="C136" s="36"/>
      <c r="D136" s="3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</row>
    <row r="137" spans="1:105" x14ac:dyDescent="0.3">
      <c r="A137" s="28"/>
      <c r="B137" s="38"/>
      <c r="C137" s="36"/>
      <c r="D137" s="37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</row>
    <row r="138" spans="1:105" x14ac:dyDescent="0.3">
      <c r="A138" s="28"/>
      <c r="B138" s="38"/>
      <c r="C138" s="36"/>
      <c r="D138" s="3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</row>
    <row r="139" spans="1:105" x14ac:dyDescent="0.3">
      <c r="A139" s="28"/>
      <c r="B139" s="38"/>
      <c r="C139" s="36"/>
      <c r="D139" s="3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</row>
    <row r="140" spans="1:105" x14ac:dyDescent="0.3">
      <c r="A140" s="28"/>
      <c r="B140" s="38"/>
      <c r="C140" s="36"/>
      <c r="D140" s="3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</row>
    <row r="141" spans="1:105" x14ac:dyDescent="0.3">
      <c r="A141" s="28"/>
      <c r="B141" s="38"/>
      <c r="C141" s="36"/>
      <c r="D141" s="37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</row>
    <row r="142" spans="1:105" x14ac:dyDescent="0.3">
      <c r="A142" s="28"/>
      <c r="B142" s="38"/>
      <c r="C142" s="36"/>
      <c r="D142" s="3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</row>
    <row r="143" spans="1:105" x14ac:dyDescent="0.3">
      <c r="A143" s="28"/>
      <c r="B143" s="38"/>
      <c r="C143" s="36"/>
      <c r="D143" s="37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</row>
    <row r="144" spans="1:105" x14ac:dyDescent="0.3">
      <c r="A144" s="28"/>
      <c r="B144" s="38"/>
      <c r="C144" s="36"/>
      <c r="D144" s="3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</row>
    <row r="145" spans="1:105" x14ac:dyDescent="0.3">
      <c r="A145" s="28"/>
      <c r="B145" s="38"/>
      <c r="C145" s="36"/>
      <c r="D145" s="37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</row>
    <row r="146" spans="1:105" x14ac:dyDescent="0.3">
      <c r="A146" s="28"/>
      <c r="B146" s="38"/>
      <c r="C146" s="36"/>
      <c r="D146" s="3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</row>
    <row r="147" spans="1:105" x14ac:dyDescent="0.3">
      <c r="A147" s="28"/>
      <c r="B147" s="38"/>
      <c r="C147" s="36"/>
      <c r="D147" s="37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</row>
    <row r="148" spans="1:105" x14ac:dyDescent="0.3">
      <c r="A148" s="28"/>
      <c r="B148" s="38"/>
      <c r="C148" s="36"/>
      <c r="D148" s="3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</row>
    <row r="149" spans="1:105" x14ac:dyDescent="0.3">
      <c r="A149" s="28"/>
      <c r="B149" s="38"/>
      <c r="C149" s="36"/>
      <c r="D149" s="3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</row>
    <row r="150" spans="1:105" x14ac:dyDescent="0.3">
      <c r="A150" s="28"/>
      <c r="B150" s="38"/>
      <c r="C150" s="36"/>
      <c r="D150" s="37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</row>
    <row r="151" spans="1:105" x14ac:dyDescent="0.3">
      <c r="A151" s="28"/>
      <c r="B151" s="38"/>
      <c r="C151" s="36"/>
      <c r="D151" s="37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</row>
    <row r="152" spans="1:105" x14ac:dyDescent="0.3">
      <c r="A152" s="28"/>
      <c r="B152" s="38"/>
      <c r="C152" s="36"/>
      <c r="D152" s="37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</row>
    <row r="153" spans="1:105" x14ac:dyDescent="0.3">
      <c r="A153" s="28"/>
      <c r="B153" s="38"/>
      <c r="C153" s="36"/>
      <c r="D153" s="37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</row>
    <row r="154" spans="1:105" x14ac:dyDescent="0.3">
      <c r="A154" s="28"/>
      <c r="B154" s="38"/>
      <c r="C154" s="36"/>
      <c r="D154" s="37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</row>
    <row r="155" spans="1:105" x14ac:dyDescent="0.3">
      <c r="A155" s="28"/>
      <c r="B155" s="38"/>
      <c r="C155" s="36"/>
      <c r="D155" s="37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</row>
    <row r="156" spans="1:105" x14ac:dyDescent="0.3">
      <c r="A156" s="28"/>
      <c r="B156" s="38"/>
      <c r="C156" s="36"/>
      <c r="D156" s="37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</row>
    <row r="157" spans="1:105" x14ac:dyDescent="0.3">
      <c r="A157" s="28"/>
      <c r="B157" s="38"/>
      <c r="C157" s="36"/>
      <c r="D157" s="3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</row>
    <row r="158" spans="1:105" x14ac:dyDescent="0.3">
      <c r="A158" s="28"/>
      <c r="B158" s="38"/>
      <c r="C158" s="36"/>
      <c r="D158" s="3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</row>
    <row r="159" spans="1:105" x14ac:dyDescent="0.3">
      <c r="A159" s="28"/>
      <c r="B159" s="38"/>
      <c r="C159" s="36"/>
      <c r="D159" s="37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</row>
    <row r="160" spans="1:105" x14ac:dyDescent="0.3">
      <c r="A160" s="28"/>
      <c r="B160" s="38"/>
      <c r="C160" s="36"/>
      <c r="D160" s="37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</row>
    <row r="161" spans="1:105" x14ac:dyDescent="0.3">
      <c r="A161" s="28"/>
      <c r="B161" s="38"/>
      <c r="C161" s="36"/>
      <c r="D161" s="37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</row>
    <row r="162" spans="1:105" x14ac:dyDescent="0.3">
      <c r="A162" s="28"/>
      <c r="B162" s="38"/>
      <c r="C162" s="36"/>
      <c r="D162" s="37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</row>
    <row r="163" spans="1:105" x14ac:dyDescent="0.3">
      <c r="A163" s="28"/>
      <c r="B163" s="38"/>
      <c r="C163" s="36"/>
      <c r="D163" s="37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</row>
    <row r="164" spans="1:105" x14ac:dyDescent="0.3">
      <c r="A164" s="28"/>
      <c r="B164" s="38"/>
      <c r="C164" s="36"/>
      <c r="D164" s="37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</row>
    <row r="165" spans="1:105" x14ac:dyDescent="0.3">
      <c r="A165" s="28"/>
      <c r="B165" s="38"/>
      <c r="C165" s="36"/>
      <c r="D165" s="3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</row>
    <row r="166" spans="1:105" x14ac:dyDescent="0.3">
      <c r="A166" s="28"/>
      <c r="B166" s="38"/>
      <c r="C166" s="36"/>
      <c r="D166" s="3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</row>
    <row r="167" spans="1:105" x14ac:dyDescent="0.3">
      <c r="A167" s="28"/>
      <c r="B167" s="38"/>
      <c r="C167" s="36"/>
      <c r="D167" s="37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</row>
    <row r="168" spans="1:105" x14ac:dyDescent="0.3">
      <c r="A168" s="28"/>
      <c r="B168" s="38"/>
      <c r="C168" s="36"/>
      <c r="D168" s="37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</row>
    <row r="169" spans="1:105" x14ac:dyDescent="0.3">
      <c r="A169" s="28"/>
      <c r="B169" s="38"/>
      <c r="C169" s="36"/>
      <c r="D169" s="37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</row>
    <row r="170" spans="1:105" x14ac:dyDescent="0.3">
      <c r="A170" s="28"/>
      <c r="B170" s="38"/>
      <c r="C170" s="36"/>
      <c r="D170" s="37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</row>
    <row r="171" spans="1:105" x14ac:dyDescent="0.3">
      <c r="A171" s="28"/>
      <c r="B171" s="38"/>
      <c r="C171" s="36"/>
      <c r="D171" s="37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</row>
    <row r="172" spans="1:105" x14ac:dyDescent="0.3">
      <c r="A172" s="28"/>
      <c r="B172" s="38"/>
      <c r="C172" s="36"/>
      <c r="D172" s="37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</row>
    <row r="173" spans="1:105" x14ac:dyDescent="0.3">
      <c r="A173" s="28"/>
      <c r="B173" s="38"/>
      <c r="C173" s="36"/>
      <c r="D173" s="37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</row>
    <row r="174" spans="1:105" x14ac:dyDescent="0.3">
      <c r="A174" s="28"/>
      <c r="B174" s="38"/>
      <c r="C174" s="36"/>
      <c r="D174" s="3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</row>
    <row r="175" spans="1:105" x14ac:dyDescent="0.3">
      <c r="A175" s="28"/>
      <c r="B175" s="38"/>
      <c r="C175" s="36"/>
      <c r="D175" s="3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</row>
    <row r="176" spans="1:105" x14ac:dyDescent="0.3">
      <c r="A176" s="28"/>
      <c r="B176" s="38"/>
      <c r="C176" s="36"/>
      <c r="D176" s="37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</row>
    <row r="177" spans="1:105" x14ac:dyDescent="0.3">
      <c r="A177" s="28"/>
      <c r="B177" s="38"/>
      <c r="C177" s="36"/>
      <c r="D177" s="37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</row>
    <row r="178" spans="1:105" x14ac:dyDescent="0.3">
      <c r="A178" s="28"/>
      <c r="B178" s="38"/>
      <c r="C178" s="36"/>
      <c r="D178" s="37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</row>
    <row r="179" spans="1:105" x14ac:dyDescent="0.3">
      <c r="A179" s="28"/>
      <c r="B179" s="38"/>
      <c r="C179" s="36"/>
      <c r="D179" s="37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</row>
    <row r="180" spans="1:105" x14ac:dyDescent="0.3">
      <c r="A180" s="28"/>
      <c r="B180" s="38"/>
      <c r="C180" s="36"/>
      <c r="D180" s="3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</row>
    <row r="181" spans="1:105" x14ac:dyDescent="0.3">
      <c r="A181" s="28"/>
      <c r="B181" s="38"/>
      <c r="C181" s="36"/>
      <c r="D181" s="3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</row>
    <row r="182" spans="1:105" x14ac:dyDescent="0.3">
      <c r="A182" s="28"/>
      <c r="B182" s="38"/>
      <c r="C182" s="36"/>
      <c r="D182" s="3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</row>
    <row r="183" spans="1:105" x14ac:dyDescent="0.3">
      <c r="A183" s="28"/>
      <c r="B183" s="38"/>
      <c r="C183" s="36"/>
      <c r="D183" s="3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</row>
    <row r="184" spans="1:105" x14ac:dyDescent="0.3">
      <c r="A184" s="28"/>
      <c r="B184" s="38"/>
      <c r="C184" s="36"/>
      <c r="D184" s="3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</row>
    <row r="185" spans="1:105" x14ac:dyDescent="0.3">
      <c r="A185" s="28"/>
      <c r="B185" s="38"/>
      <c r="C185" s="36"/>
      <c r="D185" s="37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</row>
    <row r="186" spans="1:105" x14ac:dyDescent="0.3">
      <c r="A186" s="28"/>
      <c r="B186" s="38"/>
      <c r="C186" s="36"/>
      <c r="D186" s="37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</row>
    <row r="187" spans="1:105" x14ac:dyDescent="0.3">
      <c r="A187" s="28"/>
      <c r="B187" s="38"/>
      <c r="C187" s="36"/>
      <c r="D187" s="37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</row>
    <row r="188" spans="1:105" x14ac:dyDescent="0.3">
      <c r="A188" s="28"/>
      <c r="B188" s="38"/>
      <c r="C188" s="36"/>
      <c r="D188" s="37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</row>
    <row r="189" spans="1:105" x14ac:dyDescent="0.3">
      <c r="A189" s="28"/>
      <c r="B189" s="38"/>
      <c r="C189" s="36"/>
      <c r="D189" s="37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</row>
    <row r="190" spans="1:105" x14ac:dyDescent="0.3">
      <c r="A190" s="28"/>
      <c r="B190" s="38"/>
      <c r="C190" s="36"/>
      <c r="D190" s="37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</row>
    <row r="191" spans="1:105" x14ac:dyDescent="0.3">
      <c r="A191" s="28"/>
      <c r="B191" s="38"/>
      <c r="C191" s="36"/>
      <c r="D191" s="37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</row>
    <row r="192" spans="1:105" x14ac:dyDescent="0.3">
      <c r="A192" s="28"/>
      <c r="B192" s="38"/>
      <c r="C192" s="36"/>
      <c r="D192" s="37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</row>
    <row r="193" spans="1:105" x14ac:dyDescent="0.3">
      <c r="A193" s="28"/>
      <c r="B193" s="38"/>
      <c r="C193" s="36"/>
      <c r="D193" s="3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</row>
    <row r="194" spans="1:105" x14ac:dyDescent="0.3">
      <c r="A194" s="28"/>
      <c r="B194" s="38"/>
      <c r="C194" s="36"/>
      <c r="D194" s="37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</row>
    <row r="195" spans="1:105" x14ac:dyDescent="0.3">
      <c r="A195" s="28"/>
      <c r="B195" s="38"/>
      <c r="C195" s="36"/>
      <c r="D195" s="37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</row>
    <row r="196" spans="1:105" x14ac:dyDescent="0.3">
      <c r="A196" s="28"/>
      <c r="B196" s="38"/>
      <c r="C196" s="36"/>
      <c r="D196" s="37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</row>
    <row r="197" spans="1:105" x14ac:dyDescent="0.3">
      <c r="A197" s="28"/>
      <c r="B197" s="38"/>
      <c r="C197" s="36"/>
      <c r="D197" s="37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</row>
    <row r="198" spans="1:105" x14ac:dyDescent="0.3">
      <c r="A198" s="28"/>
      <c r="B198" s="38"/>
      <c r="C198" s="36"/>
      <c r="D198" s="37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</row>
    <row r="199" spans="1:105" x14ac:dyDescent="0.3">
      <c r="A199" s="28"/>
      <c r="B199" s="38"/>
      <c r="C199" s="36"/>
      <c r="D199" s="37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</row>
    <row r="200" spans="1:105" x14ac:dyDescent="0.3">
      <c r="A200" s="28"/>
      <c r="B200" s="38"/>
      <c r="C200" s="36"/>
      <c r="D200" s="37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</row>
    <row r="201" spans="1:105" x14ac:dyDescent="0.3">
      <c r="A201" s="28"/>
      <c r="B201" s="38"/>
      <c r="C201" s="36"/>
      <c r="D201" s="37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</row>
    <row r="202" spans="1:105" x14ac:dyDescent="0.3">
      <c r="A202" s="28"/>
      <c r="B202" s="38"/>
      <c r="C202" s="36"/>
      <c r="D202" s="37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</row>
    <row r="203" spans="1:105" x14ac:dyDescent="0.3">
      <c r="A203" s="28"/>
      <c r="B203" s="38"/>
      <c r="C203" s="36"/>
      <c r="D203" s="37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</row>
    <row r="204" spans="1:105" x14ac:dyDescent="0.3">
      <c r="A204" s="28"/>
      <c r="B204" s="38"/>
      <c r="C204" s="36"/>
      <c r="D204" s="37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</row>
    <row r="205" spans="1:105" x14ac:dyDescent="0.3">
      <c r="A205" s="28"/>
      <c r="B205" s="38"/>
      <c r="C205" s="36"/>
      <c r="D205" s="37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</row>
    <row r="206" spans="1:105" x14ac:dyDescent="0.3">
      <c r="A206" s="28"/>
      <c r="B206" s="38"/>
      <c r="C206" s="36"/>
      <c r="D206" s="37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</row>
    <row r="207" spans="1:105" x14ac:dyDescent="0.3">
      <c r="A207" s="28"/>
      <c r="B207" s="38"/>
      <c r="C207" s="36"/>
      <c r="D207" s="37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</row>
    <row r="208" spans="1:105" x14ac:dyDescent="0.3">
      <c r="A208" s="28"/>
      <c r="B208" s="38"/>
      <c r="C208" s="36"/>
      <c r="D208" s="37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</row>
    <row r="209" spans="1:105" x14ac:dyDescent="0.3">
      <c r="A209" s="28"/>
      <c r="B209" s="38"/>
      <c r="C209" s="36"/>
      <c r="D209" s="37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</row>
    <row r="210" spans="1:105" x14ac:dyDescent="0.3">
      <c r="A210" s="28"/>
      <c r="B210" s="38"/>
      <c r="C210" s="36"/>
      <c r="D210" s="37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</row>
    <row r="211" spans="1:105" x14ac:dyDescent="0.3">
      <c r="A211" s="28"/>
      <c r="B211" s="38"/>
      <c r="C211" s="36"/>
      <c r="D211" s="37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</row>
    <row r="212" spans="1:105" x14ac:dyDescent="0.3">
      <c r="A212" s="28"/>
      <c r="B212" s="38"/>
      <c r="C212" s="36"/>
      <c r="D212" s="37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</row>
    <row r="213" spans="1:105" x14ac:dyDescent="0.3">
      <c r="A213" s="28"/>
      <c r="B213" s="38"/>
      <c r="C213" s="36"/>
      <c r="D213" s="37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</row>
    <row r="214" spans="1:105" x14ac:dyDescent="0.3">
      <c r="A214" s="28"/>
      <c r="B214" s="38"/>
      <c r="C214" s="36"/>
      <c r="D214" s="37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</row>
    <row r="215" spans="1:105" x14ac:dyDescent="0.3">
      <c r="A215" s="28"/>
      <c r="B215" s="38"/>
      <c r="C215" s="36"/>
      <c r="D215" s="37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</row>
    <row r="216" spans="1:105" x14ac:dyDescent="0.3">
      <c r="A216" s="28"/>
      <c r="B216" s="38"/>
      <c r="C216" s="36"/>
      <c r="D216" s="37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</row>
    <row r="217" spans="1:105" x14ac:dyDescent="0.3">
      <c r="A217" s="28"/>
      <c r="B217" s="38"/>
      <c r="C217" s="36"/>
      <c r="D217" s="37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</row>
    <row r="218" spans="1:105" x14ac:dyDescent="0.3">
      <c r="A218" s="28"/>
      <c r="B218" s="38"/>
      <c r="C218" s="36"/>
      <c r="D218" s="37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</row>
    <row r="219" spans="1:105" x14ac:dyDescent="0.3">
      <c r="A219" s="28"/>
      <c r="B219" s="38"/>
      <c r="C219" s="36"/>
      <c r="D219" s="37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</row>
    <row r="220" spans="1:105" x14ac:dyDescent="0.3">
      <c r="A220" s="28"/>
      <c r="B220" s="38"/>
      <c r="C220" s="36"/>
      <c r="D220" s="37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</row>
    <row r="221" spans="1:105" x14ac:dyDescent="0.3">
      <c r="A221" s="28"/>
      <c r="B221" s="38"/>
      <c r="C221" s="36"/>
      <c r="D221" s="37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</row>
    <row r="222" spans="1:105" x14ac:dyDescent="0.3">
      <c r="A222" s="28"/>
      <c r="B222" s="38"/>
      <c r="C222" s="36"/>
      <c r="D222" s="37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</row>
    <row r="223" spans="1:105" x14ac:dyDescent="0.3">
      <c r="A223" s="28"/>
      <c r="B223" s="38"/>
      <c r="C223" s="36"/>
      <c r="D223" s="37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</row>
    <row r="224" spans="1:105" x14ac:dyDescent="0.3">
      <c r="A224" s="28"/>
      <c r="B224" s="38"/>
      <c r="C224" s="36"/>
      <c r="D224" s="37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</row>
    <row r="225" spans="1:105" x14ac:dyDescent="0.3">
      <c r="A225" s="28"/>
      <c r="B225" s="38"/>
      <c r="C225" s="36"/>
      <c r="D225" s="37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</row>
    <row r="226" spans="1:105" x14ac:dyDescent="0.3">
      <c r="A226" s="28"/>
      <c r="B226" s="38"/>
      <c r="C226" s="36"/>
      <c r="D226" s="37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</row>
    <row r="227" spans="1:105" x14ac:dyDescent="0.3">
      <c r="A227" s="28"/>
      <c r="B227" s="38"/>
      <c r="C227" s="36"/>
      <c r="D227" s="37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</row>
    <row r="228" spans="1:105" x14ac:dyDescent="0.3">
      <c r="A228" s="28"/>
      <c r="B228" s="38"/>
      <c r="C228" s="36"/>
      <c r="D228" s="37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</row>
    <row r="229" spans="1:105" x14ac:dyDescent="0.3">
      <c r="A229" s="28"/>
      <c r="B229" s="38"/>
      <c r="C229" s="36"/>
      <c r="D229" s="37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</row>
    <row r="230" spans="1:105" x14ac:dyDescent="0.3">
      <c r="A230" s="28"/>
      <c r="B230" s="38"/>
      <c r="C230" s="36"/>
      <c r="D230" s="37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</row>
    <row r="231" spans="1:105" x14ac:dyDescent="0.3">
      <c r="A231" s="28"/>
      <c r="B231" s="38"/>
      <c r="C231" s="36"/>
      <c r="D231" s="37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</row>
    <row r="232" spans="1:105" x14ac:dyDescent="0.3">
      <c r="A232" s="28"/>
      <c r="B232" s="38"/>
      <c r="C232" s="36"/>
      <c r="D232" s="37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</row>
    <row r="233" spans="1:105" x14ac:dyDescent="0.3">
      <c r="A233" s="28"/>
      <c r="B233" s="38"/>
      <c r="C233" s="36"/>
      <c r="D233" s="37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</row>
    <row r="234" spans="1:105" x14ac:dyDescent="0.3">
      <c r="A234" s="28"/>
      <c r="B234" s="38"/>
      <c r="C234" s="36"/>
      <c r="D234" s="37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</row>
    <row r="235" spans="1:105" x14ac:dyDescent="0.3">
      <c r="A235" s="28"/>
      <c r="B235" s="38"/>
      <c r="C235" s="36"/>
      <c r="D235" s="37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</row>
    <row r="236" spans="1:105" x14ac:dyDescent="0.3">
      <c r="A236" s="28"/>
      <c r="B236" s="38"/>
      <c r="C236" s="36"/>
      <c r="D236" s="37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</row>
    <row r="237" spans="1:105" x14ac:dyDescent="0.3">
      <c r="A237" s="28"/>
      <c r="B237" s="38"/>
      <c r="C237" s="36"/>
      <c r="D237" s="37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</row>
    <row r="238" spans="1:105" x14ac:dyDescent="0.3">
      <c r="A238" s="28"/>
      <c r="B238" s="38"/>
      <c r="C238" s="36"/>
      <c r="D238" s="3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</row>
    <row r="239" spans="1:105" x14ac:dyDescent="0.3">
      <c r="A239" s="28"/>
      <c r="B239" s="38"/>
      <c r="C239" s="36"/>
      <c r="D239" s="37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</row>
    <row r="240" spans="1:105" x14ac:dyDescent="0.3">
      <c r="A240" s="28"/>
      <c r="B240" s="38"/>
      <c r="C240" s="36"/>
      <c r="D240" s="37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</row>
    <row r="241" spans="1:105" x14ac:dyDescent="0.3">
      <c r="A241" s="28"/>
      <c r="B241" s="38"/>
      <c r="C241" s="36"/>
      <c r="D241" s="37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</row>
    <row r="242" spans="1:105" x14ac:dyDescent="0.3">
      <c r="A242" s="28"/>
      <c r="B242" s="38"/>
      <c r="C242" s="36"/>
      <c r="D242" s="37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</row>
    <row r="243" spans="1:105" x14ac:dyDescent="0.3">
      <c r="A243" s="28"/>
      <c r="B243" s="38"/>
      <c r="C243" s="36"/>
      <c r="D243" s="37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</row>
    <row r="244" spans="1:105" x14ac:dyDescent="0.3">
      <c r="A244" s="28"/>
      <c r="B244" s="38"/>
      <c r="C244" s="36"/>
      <c r="D244" s="37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</row>
    <row r="245" spans="1:105" x14ac:dyDescent="0.3">
      <c r="A245" s="28"/>
      <c r="B245" s="38"/>
      <c r="C245" s="36"/>
      <c r="D245" s="37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</row>
    <row r="246" spans="1:105" x14ac:dyDescent="0.3">
      <c r="A246" s="28"/>
      <c r="B246" s="38"/>
      <c r="C246" s="36"/>
      <c r="D246" s="37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</row>
    <row r="247" spans="1:105" x14ac:dyDescent="0.3">
      <c r="A247" s="28"/>
      <c r="B247" s="38"/>
      <c r="C247" s="36"/>
      <c r="D247" s="37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</row>
    <row r="248" spans="1:105" x14ac:dyDescent="0.3">
      <c r="A248" s="28"/>
      <c r="B248" s="38"/>
      <c r="C248" s="36"/>
      <c r="D248" s="37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</row>
    <row r="249" spans="1:105" x14ac:dyDescent="0.3">
      <c r="A249" s="28"/>
      <c r="B249" s="38"/>
      <c r="C249" s="36"/>
      <c r="D249" s="37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</row>
    <row r="250" spans="1:105" x14ac:dyDescent="0.3">
      <c r="A250" s="28"/>
      <c r="B250" s="38"/>
      <c r="C250" s="36"/>
      <c r="D250" s="37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</row>
    <row r="251" spans="1:105" x14ac:dyDescent="0.3">
      <c r="A251" s="28"/>
      <c r="B251" s="38"/>
      <c r="C251" s="36"/>
      <c r="D251" s="37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</row>
    <row r="252" spans="1:105" x14ac:dyDescent="0.3">
      <c r="A252" s="28"/>
      <c r="B252" s="38"/>
      <c r="C252" s="36"/>
      <c r="D252" s="37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</row>
    <row r="253" spans="1:105" x14ac:dyDescent="0.3">
      <c r="A253" s="28"/>
      <c r="B253" s="38"/>
      <c r="C253" s="36"/>
      <c r="D253" s="37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</row>
    <row r="254" spans="1:105" x14ac:dyDescent="0.3">
      <c r="A254" s="28"/>
      <c r="B254" s="38"/>
      <c r="C254" s="36"/>
      <c r="D254" s="37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</row>
    <row r="255" spans="1:105" x14ac:dyDescent="0.3">
      <c r="A255" s="28"/>
      <c r="B255" s="38"/>
      <c r="C255" s="36"/>
      <c r="D255" s="37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</row>
    <row r="256" spans="1:105" x14ac:dyDescent="0.3">
      <c r="A256" s="28"/>
      <c r="B256" s="38"/>
      <c r="C256" s="36"/>
      <c r="D256" s="37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</row>
    <row r="257" spans="1:105" x14ac:dyDescent="0.3">
      <c r="A257" s="28"/>
      <c r="B257" s="38"/>
      <c r="C257" s="36"/>
      <c r="D257" s="37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</row>
    <row r="258" spans="1:105" x14ac:dyDescent="0.3">
      <c r="A258" s="28"/>
      <c r="B258" s="38"/>
      <c r="C258" s="36"/>
      <c r="D258" s="37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</row>
    <row r="259" spans="1:105" x14ac:dyDescent="0.3">
      <c r="A259" s="28"/>
      <c r="B259" s="38"/>
      <c r="C259" s="36"/>
      <c r="D259" s="37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</row>
    <row r="260" spans="1:105" x14ac:dyDescent="0.3">
      <c r="A260" s="28"/>
      <c r="B260" s="38"/>
      <c r="C260" s="36"/>
      <c r="D260" s="37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</row>
    <row r="261" spans="1:105" x14ac:dyDescent="0.3">
      <c r="A261" s="28"/>
      <c r="B261" s="38"/>
      <c r="C261" s="36"/>
      <c r="D261" s="37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</row>
    <row r="262" spans="1:105" x14ac:dyDescent="0.3">
      <c r="A262" s="28"/>
      <c r="B262" s="38"/>
      <c r="C262" s="36"/>
      <c r="D262" s="37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</row>
    <row r="263" spans="1:105" x14ac:dyDescent="0.3">
      <c r="A263" s="28"/>
      <c r="B263" s="38"/>
      <c r="C263" s="36"/>
      <c r="D263" s="37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</row>
    <row r="264" spans="1:105" x14ac:dyDescent="0.3">
      <c r="A264" s="28"/>
      <c r="B264" s="38"/>
      <c r="C264" s="36"/>
      <c r="D264" s="37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</row>
    <row r="265" spans="1:105" x14ac:dyDescent="0.3">
      <c r="A265" s="28"/>
      <c r="B265" s="38"/>
      <c r="C265" s="36"/>
      <c r="D265" s="37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</row>
    <row r="266" spans="1:105" x14ac:dyDescent="0.3">
      <c r="A266" s="28"/>
      <c r="B266" s="38"/>
      <c r="C266" s="36"/>
      <c r="D266" s="37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</row>
    <row r="267" spans="1:105" x14ac:dyDescent="0.3">
      <c r="A267" s="28"/>
      <c r="B267" s="38"/>
      <c r="C267" s="36"/>
      <c r="D267" s="37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</row>
    <row r="268" spans="1:105" x14ac:dyDescent="0.3">
      <c r="A268" s="28"/>
      <c r="B268" s="38"/>
      <c r="C268" s="36"/>
      <c r="D268" s="37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</row>
    <row r="269" spans="1:105" x14ac:dyDescent="0.3">
      <c r="A269" s="28"/>
      <c r="B269" s="38"/>
      <c r="C269" s="36"/>
      <c r="D269" s="37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</row>
    <row r="270" spans="1:105" x14ac:dyDescent="0.3">
      <c r="A270" s="28"/>
      <c r="B270" s="38"/>
      <c r="C270" s="36"/>
      <c r="D270" s="37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</row>
    <row r="271" spans="1:105" x14ac:dyDescent="0.3">
      <c r="A271" s="28"/>
      <c r="B271" s="38"/>
      <c r="C271" s="36"/>
      <c r="D271" s="37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</row>
    <row r="272" spans="1:105" x14ac:dyDescent="0.3">
      <c r="A272" s="28"/>
      <c r="B272" s="38"/>
      <c r="C272" s="36"/>
      <c r="D272" s="37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</row>
    <row r="273" spans="1:105" x14ac:dyDescent="0.3">
      <c r="A273" s="28"/>
      <c r="B273" s="38"/>
      <c r="C273" s="36"/>
      <c r="D273" s="37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</row>
    <row r="274" spans="1:105" x14ac:dyDescent="0.3">
      <c r="A274" s="28"/>
      <c r="B274" s="38"/>
      <c r="C274" s="36"/>
      <c r="D274" s="37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</row>
    <row r="275" spans="1:105" x14ac:dyDescent="0.3">
      <c r="A275" s="28"/>
      <c r="B275" s="38"/>
      <c r="C275" s="36"/>
      <c r="D275" s="37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</row>
    <row r="276" spans="1:105" x14ac:dyDescent="0.3">
      <c r="A276" s="28"/>
      <c r="B276" s="38"/>
      <c r="C276" s="36"/>
      <c r="D276" s="37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</row>
    <row r="277" spans="1:105" x14ac:dyDescent="0.3">
      <c r="A277" s="28"/>
      <c r="B277" s="38"/>
      <c r="C277" s="36"/>
      <c r="D277" s="37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</row>
    <row r="278" spans="1:105" x14ac:dyDescent="0.3">
      <c r="A278" s="28"/>
      <c r="B278" s="38"/>
      <c r="C278" s="36"/>
      <c r="D278" s="37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</row>
    <row r="279" spans="1:105" x14ac:dyDescent="0.3">
      <c r="A279" s="28"/>
      <c r="B279" s="38"/>
      <c r="C279" s="36"/>
      <c r="D279" s="37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</row>
    <row r="280" spans="1:105" x14ac:dyDescent="0.3">
      <c r="A280" s="28"/>
      <c r="B280" s="38"/>
      <c r="C280" s="36"/>
      <c r="D280" s="37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</row>
    <row r="281" spans="1:105" x14ac:dyDescent="0.3">
      <c r="A281" s="28"/>
      <c r="B281" s="38"/>
      <c r="C281" s="36"/>
      <c r="D281" s="37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</row>
    <row r="282" spans="1:105" x14ac:dyDescent="0.3">
      <c r="A282" s="28"/>
      <c r="B282" s="38"/>
      <c r="C282" s="36"/>
      <c r="D282" s="37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</row>
    <row r="283" spans="1:105" x14ac:dyDescent="0.3">
      <c r="A283" s="28"/>
      <c r="B283" s="38"/>
      <c r="C283" s="36"/>
      <c r="D283" s="37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</row>
    <row r="284" spans="1:105" x14ac:dyDescent="0.3">
      <c r="A284" s="28"/>
      <c r="B284" s="38"/>
      <c r="C284" s="36"/>
      <c r="D284" s="37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</row>
    <row r="285" spans="1:105" x14ac:dyDescent="0.3">
      <c r="A285" s="28"/>
      <c r="B285" s="38"/>
      <c r="C285" s="36"/>
      <c r="D285" s="37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</row>
    <row r="286" spans="1:105" x14ac:dyDescent="0.3">
      <c r="A286" s="28"/>
      <c r="B286" s="38"/>
      <c r="C286" s="36"/>
      <c r="D286" s="37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</row>
    <row r="287" spans="1:105" x14ac:dyDescent="0.3">
      <c r="A287" s="28"/>
      <c r="B287" s="38"/>
      <c r="C287" s="36"/>
      <c r="D287" s="37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</row>
    <row r="288" spans="1:105" x14ac:dyDescent="0.3">
      <c r="A288" s="28"/>
      <c r="B288" s="38"/>
      <c r="C288" s="36"/>
      <c r="D288" s="37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</row>
    <row r="289" spans="1:105" x14ac:dyDescent="0.3">
      <c r="A289" s="28"/>
      <c r="B289" s="38"/>
      <c r="C289" s="36"/>
      <c r="D289" s="37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</row>
    <row r="290" spans="1:105" x14ac:dyDescent="0.3">
      <c r="A290" s="28"/>
      <c r="B290" s="38"/>
      <c r="C290" s="36"/>
      <c r="D290" s="37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</row>
    <row r="291" spans="1:105" x14ac:dyDescent="0.3">
      <c r="A291" s="28"/>
      <c r="B291" s="38"/>
      <c r="C291" s="36"/>
      <c r="D291" s="37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</row>
    <row r="292" spans="1:105" x14ac:dyDescent="0.3">
      <c r="A292" s="28"/>
      <c r="B292" s="38"/>
      <c r="C292" s="36"/>
      <c r="D292" s="37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</row>
    <row r="293" spans="1:105" x14ac:dyDescent="0.3">
      <c r="A293" s="28"/>
      <c r="B293" s="38"/>
      <c r="C293" s="36"/>
      <c r="D293" s="37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</row>
    <row r="294" spans="1:105" x14ac:dyDescent="0.3">
      <c r="A294" s="28"/>
      <c r="B294" s="38"/>
      <c r="C294" s="36"/>
      <c r="D294" s="37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</row>
    <row r="295" spans="1:105" x14ac:dyDescent="0.3">
      <c r="A295" s="28"/>
      <c r="B295" s="38"/>
      <c r="C295" s="36"/>
      <c r="D295" s="37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</row>
    <row r="296" spans="1:105" x14ac:dyDescent="0.3">
      <c r="A296" s="28"/>
      <c r="B296" s="38"/>
      <c r="C296" s="36"/>
      <c r="D296" s="37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</row>
    <row r="297" spans="1:105" x14ac:dyDescent="0.3">
      <c r="A297" s="28"/>
      <c r="B297" s="38"/>
      <c r="C297" s="36"/>
      <c r="D297" s="37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</row>
    <row r="298" spans="1:105" x14ac:dyDescent="0.3">
      <c r="A298" s="28"/>
      <c r="B298" s="38"/>
      <c r="C298" s="36"/>
      <c r="D298" s="37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</row>
    <row r="299" spans="1:105" x14ac:dyDescent="0.3">
      <c r="A299" s="28"/>
      <c r="B299" s="38"/>
      <c r="C299" s="36"/>
      <c r="D299" s="37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</row>
    <row r="300" spans="1:105" x14ac:dyDescent="0.3">
      <c r="A300" s="28"/>
      <c r="B300" s="38"/>
      <c r="C300" s="36"/>
      <c r="D300" s="37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</row>
    <row r="301" spans="1:105" x14ac:dyDescent="0.3">
      <c r="A301" s="28"/>
      <c r="B301" s="38"/>
      <c r="C301" s="36"/>
      <c r="D301" s="37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</row>
    <row r="302" spans="1:105" x14ac:dyDescent="0.3">
      <c r="A302" s="28"/>
      <c r="B302" s="38"/>
      <c r="C302" s="36"/>
      <c r="D302" s="37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</row>
    <row r="303" spans="1:105" x14ac:dyDescent="0.3">
      <c r="A303" s="28"/>
      <c r="B303" s="38"/>
      <c r="C303" s="36"/>
      <c r="D303" s="37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</row>
    <row r="304" spans="1:105" x14ac:dyDescent="0.3">
      <c r="A304" s="28"/>
      <c r="B304" s="38"/>
      <c r="C304" s="36"/>
      <c r="D304" s="37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</row>
    <row r="305" spans="1:105" x14ac:dyDescent="0.3">
      <c r="A305" s="28"/>
      <c r="B305" s="38"/>
      <c r="C305" s="36"/>
      <c r="D305" s="37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</row>
    <row r="306" spans="1:105" x14ac:dyDescent="0.3">
      <c r="A306" s="28"/>
      <c r="B306" s="38"/>
      <c r="C306" s="36"/>
      <c r="D306" s="37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</row>
    <row r="307" spans="1:105" x14ac:dyDescent="0.3">
      <c r="A307" s="28"/>
      <c r="B307" s="38"/>
      <c r="C307" s="36"/>
      <c r="D307" s="37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</row>
    <row r="308" spans="1:105" x14ac:dyDescent="0.3">
      <c r="A308" s="28"/>
      <c r="B308" s="38"/>
      <c r="C308" s="36"/>
      <c r="D308" s="37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</row>
    <row r="309" spans="1:105" x14ac:dyDescent="0.3">
      <c r="A309" s="28"/>
      <c r="B309" s="38"/>
      <c r="C309" s="36"/>
      <c r="D309" s="37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</row>
    <row r="310" spans="1:105" x14ac:dyDescent="0.3">
      <c r="A310" s="28"/>
      <c r="B310" s="38"/>
      <c r="C310" s="36"/>
      <c r="D310" s="37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</row>
    <row r="311" spans="1:105" x14ac:dyDescent="0.3">
      <c r="A311" s="28"/>
      <c r="B311" s="38"/>
      <c r="C311" s="36"/>
      <c r="D311" s="37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</row>
    <row r="312" spans="1:105" x14ac:dyDescent="0.3">
      <c r="A312" s="28"/>
      <c r="B312" s="38"/>
      <c r="C312" s="36"/>
      <c r="D312" s="37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</row>
    <row r="313" spans="1:105" x14ac:dyDescent="0.3">
      <c r="A313" s="28"/>
      <c r="B313" s="38"/>
      <c r="C313" s="36"/>
      <c r="D313" s="37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</row>
    <row r="314" spans="1:105" x14ac:dyDescent="0.3">
      <c r="A314" s="28"/>
      <c r="B314" s="38"/>
      <c r="C314" s="36"/>
      <c r="D314" s="37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</row>
    <row r="315" spans="1:105" x14ac:dyDescent="0.3">
      <c r="A315" s="28"/>
      <c r="B315" s="38"/>
      <c r="C315" s="36"/>
      <c r="D315" s="37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</row>
    <row r="316" spans="1:105" x14ac:dyDescent="0.3">
      <c r="A316" s="28"/>
      <c r="B316" s="38"/>
      <c r="C316" s="36"/>
      <c r="D316" s="37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</row>
    <row r="317" spans="1:105" x14ac:dyDescent="0.3">
      <c r="A317" s="28"/>
      <c r="B317" s="38"/>
      <c r="C317" s="36"/>
      <c r="D317" s="37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</row>
    <row r="318" spans="1:105" x14ac:dyDescent="0.3">
      <c r="A318" s="28"/>
      <c r="B318" s="38"/>
      <c r="C318" s="36"/>
      <c r="D318" s="37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</row>
    <row r="319" spans="1:105" x14ac:dyDescent="0.3">
      <c r="A319" s="28"/>
      <c r="B319" s="38"/>
      <c r="C319" s="36"/>
      <c r="D319" s="37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</row>
    <row r="320" spans="1:105" x14ac:dyDescent="0.3">
      <c r="A320" s="28"/>
      <c r="B320" s="38"/>
      <c r="C320" s="36"/>
      <c r="D320" s="37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</row>
    <row r="321" spans="1:105" x14ac:dyDescent="0.3">
      <c r="A321" s="28"/>
      <c r="B321" s="38"/>
      <c r="C321" s="36"/>
      <c r="D321" s="37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</row>
    <row r="322" spans="1:105" x14ac:dyDescent="0.3">
      <c r="A322" s="28"/>
      <c r="B322" s="38"/>
      <c r="C322" s="36"/>
      <c r="D322" s="37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</row>
    <row r="323" spans="1:105" x14ac:dyDescent="0.3">
      <c r="A323" s="28"/>
      <c r="B323" s="38"/>
      <c r="C323" s="36"/>
      <c r="D323" s="37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</row>
    <row r="324" spans="1:105" x14ac:dyDescent="0.3">
      <c r="A324" s="28"/>
      <c r="B324" s="38"/>
      <c r="C324" s="36"/>
      <c r="D324" s="37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</row>
    <row r="325" spans="1:105" x14ac:dyDescent="0.3">
      <c r="A325" s="28"/>
      <c r="B325" s="38"/>
      <c r="C325" s="36"/>
      <c r="D325" s="37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</row>
    <row r="326" spans="1:105" x14ac:dyDescent="0.3">
      <c r="A326" s="28"/>
      <c r="B326" s="38"/>
      <c r="C326" s="36"/>
      <c r="D326" s="37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</row>
    <row r="327" spans="1:105" x14ac:dyDescent="0.3">
      <c r="A327" s="28"/>
      <c r="B327" s="38"/>
      <c r="C327" s="36"/>
      <c r="D327" s="37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</row>
    <row r="328" spans="1:105" x14ac:dyDescent="0.3">
      <c r="A328" s="28"/>
      <c r="B328" s="38"/>
      <c r="C328" s="36"/>
      <c r="D328" s="37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</row>
    <row r="329" spans="1:105" x14ac:dyDescent="0.3">
      <c r="A329" s="28"/>
      <c r="B329" s="38"/>
      <c r="C329" s="36"/>
      <c r="D329" s="37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</row>
    <row r="330" spans="1:105" x14ac:dyDescent="0.3">
      <c r="A330" s="28"/>
      <c r="B330" s="38"/>
      <c r="C330" s="36"/>
      <c r="D330" s="37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</row>
    <row r="331" spans="1:105" x14ac:dyDescent="0.3">
      <c r="A331" s="28"/>
      <c r="B331" s="38"/>
      <c r="C331" s="36"/>
      <c r="D331" s="37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</row>
    <row r="332" spans="1:105" x14ac:dyDescent="0.3">
      <c r="A332" s="28"/>
      <c r="B332" s="38"/>
      <c r="C332" s="36"/>
      <c r="D332" s="37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</row>
    <row r="333" spans="1:105" x14ac:dyDescent="0.3">
      <c r="A333" s="28"/>
      <c r="B333" s="38"/>
      <c r="C333" s="36"/>
      <c r="D333" s="37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</row>
    <row r="334" spans="1:105" x14ac:dyDescent="0.3">
      <c r="A334" s="28"/>
      <c r="B334" s="38"/>
      <c r="C334" s="36"/>
      <c r="D334" s="37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</row>
    <row r="335" spans="1:105" x14ac:dyDescent="0.3">
      <c r="A335" s="28"/>
      <c r="B335" s="38"/>
      <c r="C335" s="36"/>
      <c r="D335" s="37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</row>
    <row r="336" spans="1:105" x14ac:dyDescent="0.3">
      <c r="A336" s="28"/>
      <c r="B336" s="38"/>
      <c r="C336" s="36"/>
      <c r="D336" s="37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</row>
    <row r="337" spans="1:105" x14ac:dyDescent="0.3">
      <c r="A337" s="28"/>
      <c r="B337" s="38"/>
      <c r="C337" s="36"/>
      <c r="D337" s="37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</row>
    <row r="338" spans="1:105" x14ac:dyDescent="0.3">
      <c r="A338" s="28"/>
      <c r="B338" s="38"/>
      <c r="C338" s="36"/>
      <c r="D338" s="37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</row>
    <row r="339" spans="1:105" x14ac:dyDescent="0.3">
      <c r="A339" s="28"/>
      <c r="B339" s="38"/>
      <c r="C339" s="36"/>
      <c r="D339" s="37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</row>
    <row r="340" spans="1:105" x14ac:dyDescent="0.3">
      <c r="A340" s="28"/>
      <c r="B340" s="38"/>
      <c r="C340" s="36"/>
      <c r="D340" s="37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</row>
    <row r="341" spans="1:105" x14ac:dyDescent="0.3">
      <c r="A341" s="28"/>
      <c r="B341" s="38"/>
      <c r="C341" s="36"/>
      <c r="D341" s="37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</row>
    <row r="342" spans="1:105" x14ac:dyDescent="0.3">
      <c r="A342" s="28"/>
      <c r="B342" s="38"/>
      <c r="C342" s="36"/>
      <c r="D342" s="37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</row>
    <row r="343" spans="1:105" x14ac:dyDescent="0.3">
      <c r="A343" s="28"/>
      <c r="B343" s="38"/>
      <c r="C343" s="36"/>
      <c r="D343" s="37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</row>
    <row r="344" spans="1:105" x14ac:dyDescent="0.3">
      <c r="A344" s="28"/>
      <c r="B344" s="38"/>
      <c r="C344" s="36"/>
      <c r="D344" s="37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</row>
    <row r="345" spans="1:105" x14ac:dyDescent="0.3">
      <c r="A345" s="28"/>
      <c r="B345" s="38"/>
      <c r="C345" s="36"/>
      <c r="D345" s="37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</row>
    <row r="346" spans="1:105" x14ac:dyDescent="0.3">
      <c r="A346" s="28"/>
      <c r="B346" s="38"/>
      <c r="C346" s="36"/>
      <c r="D346" s="37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</row>
    <row r="347" spans="1:105" x14ac:dyDescent="0.3">
      <c r="A347" s="28"/>
      <c r="B347" s="38"/>
      <c r="C347" s="36"/>
      <c r="D347" s="37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</row>
    <row r="348" spans="1:105" x14ac:dyDescent="0.3">
      <c r="A348" s="28"/>
      <c r="B348" s="38"/>
      <c r="C348" s="36"/>
      <c r="D348" s="37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</row>
    <row r="349" spans="1:105" x14ac:dyDescent="0.3">
      <c r="A349" s="28"/>
      <c r="B349" s="38"/>
      <c r="C349" s="36"/>
      <c r="D349" s="37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</row>
    <row r="350" spans="1:105" x14ac:dyDescent="0.3">
      <c r="A350" s="28"/>
      <c r="B350" s="38"/>
      <c r="C350" s="36"/>
      <c r="D350" s="37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</row>
    <row r="351" spans="1:105" x14ac:dyDescent="0.3">
      <c r="A351" s="28"/>
      <c r="B351" s="38"/>
      <c r="C351" s="36"/>
      <c r="D351" s="37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</row>
    <row r="352" spans="1:105" x14ac:dyDescent="0.3">
      <c r="A352" s="28"/>
      <c r="B352" s="38"/>
      <c r="C352" s="36"/>
      <c r="D352" s="37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</row>
    <row r="353" spans="1:105" x14ac:dyDescent="0.3">
      <c r="A353" s="28"/>
      <c r="B353" s="38"/>
      <c r="C353" s="36"/>
      <c r="D353" s="37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</row>
    <row r="354" spans="1:105" x14ac:dyDescent="0.3">
      <c r="A354" s="28"/>
      <c r="B354" s="38"/>
      <c r="C354" s="36"/>
      <c r="D354" s="37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</row>
    <row r="355" spans="1:105" x14ac:dyDescent="0.3">
      <c r="A355" s="28"/>
      <c r="B355" s="38"/>
      <c r="C355" s="36"/>
      <c r="D355" s="37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</row>
    <row r="356" spans="1:105" x14ac:dyDescent="0.3">
      <c r="A356" s="28"/>
      <c r="B356" s="38"/>
      <c r="C356" s="36"/>
      <c r="D356" s="37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</row>
    <row r="357" spans="1:105" x14ac:dyDescent="0.3">
      <c r="A357" s="28"/>
      <c r="B357" s="38"/>
      <c r="C357" s="36"/>
      <c r="D357" s="37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</row>
    <row r="358" spans="1:105" x14ac:dyDescent="0.3">
      <c r="A358" s="28"/>
      <c r="B358" s="38"/>
      <c r="C358" s="36"/>
      <c r="D358" s="37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</row>
    <row r="359" spans="1:105" x14ac:dyDescent="0.3">
      <c r="A359" s="28"/>
      <c r="B359" s="38"/>
      <c r="C359" s="36"/>
      <c r="D359" s="37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</row>
    <row r="360" spans="1:105" x14ac:dyDescent="0.3">
      <c r="A360" s="28"/>
      <c r="B360" s="38"/>
      <c r="C360" s="36"/>
      <c r="D360" s="37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</row>
    <row r="361" spans="1:105" x14ac:dyDescent="0.3">
      <c r="A361" s="28"/>
      <c r="B361" s="38"/>
      <c r="C361" s="36"/>
      <c r="D361" s="37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</row>
    <row r="362" spans="1:105" x14ac:dyDescent="0.3">
      <c r="A362" s="28"/>
      <c r="B362" s="38"/>
      <c r="C362" s="36"/>
      <c r="D362" s="37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</row>
    <row r="363" spans="1:105" x14ac:dyDescent="0.3">
      <c r="A363" s="28"/>
      <c r="B363" s="38"/>
      <c r="C363" s="36"/>
      <c r="D363" s="37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</row>
    <row r="364" spans="1:105" x14ac:dyDescent="0.3">
      <c r="A364" s="28"/>
      <c r="B364" s="38"/>
      <c r="C364" s="36"/>
      <c r="D364" s="37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</row>
    <row r="365" spans="1:105" x14ac:dyDescent="0.3">
      <c r="A365" s="28"/>
      <c r="B365" s="38"/>
      <c r="C365" s="36"/>
      <c r="D365" s="37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</row>
    <row r="366" spans="1:105" x14ac:dyDescent="0.3">
      <c r="A366" s="28"/>
      <c r="B366" s="38"/>
      <c r="C366" s="36"/>
      <c r="D366" s="37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</row>
    <row r="367" spans="1:105" x14ac:dyDescent="0.3">
      <c r="A367" s="28"/>
      <c r="B367" s="38"/>
      <c r="C367" s="36"/>
      <c r="D367" s="37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</row>
    <row r="368" spans="1:105" x14ac:dyDescent="0.3">
      <c r="A368" s="28"/>
      <c r="B368" s="38"/>
      <c r="C368" s="36"/>
      <c r="D368" s="37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</row>
    <row r="369" spans="1:105" x14ac:dyDescent="0.3">
      <c r="A369" s="28"/>
      <c r="B369" s="38"/>
      <c r="C369" s="36"/>
      <c r="D369" s="37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</row>
    <row r="370" spans="1:105" x14ac:dyDescent="0.3">
      <c r="A370" s="28"/>
      <c r="B370" s="38"/>
      <c r="C370" s="36"/>
      <c r="D370" s="37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</row>
    <row r="371" spans="1:105" x14ac:dyDescent="0.3">
      <c r="A371" s="28"/>
      <c r="B371" s="38"/>
      <c r="C371" s="36"/>
      <c r="D371" s="37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</row>
    <row r="372" spans="1:105" x14ac:dyDescent="0.3">
      <c r="A372" s="28"/>
      <c r="B372" s="38"/>
      <c r="C372" s="36"/>
      <c r="D372" s="37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</row>
    <row r="373" spans="1:105" x14ac:dyDescent="0.3">
      <c r="A373" s="28"/>
      <c r="B373" s="38"/>
      <c r="C373" s="36"/>
      <c r="D373" s="37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</row>
    <row r="374" spans="1:105" x14ac:dyDescent="0.3">
      <c r="A374" s="28"/>
      <c r="B374" s="38"/>
      <c r="C374" s="36"/>
      <c r="D374" s="37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</row>
    <row r="375" spans="1:105" x14ac:dyDescent="0.3">
      <c r="A375" s="28"/>
      <c r="B375" s="38"/>
      <c r="C375" s="36"/>
      <c r="D375" s="37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</row>
    <row r="376" spans="1:105" x14ac:dyDescent="0.3">
      <c r="A376" s="28"/>
      <c r="B376" s="38"/>
      <c r="C376" s="36"/>
      <c r="D376" s="37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</row>
    <row r="377" spans="1:105" x14ac:dyDescent="0.3">
      <c r="A377" s="28"/>
      <c r="B377" s="38"/>
      <c r="C377" s="36"/>
      <c r="D377" s="37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</row>
    <row r="378" spans="1:105" x14ac:dyDescent="0.3">
      <c r="A378" s="28"/>
      <c r="B378" s="38"/>
      <c r="C378" s="36"/>
      <c r="D378" s="37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</row>
    <row r="379" spans="1:105" x14ac:dyDescent="0.3">
      <c r="A379" s="28"/>
      <c r="B379" s="38"/>
      <c r="C379" s="36"/>
      <c r="D379" s="37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</row>
    <row r="380" spans="1:105" x14ac:dyDescent="0.3">
      <c r="A380" s="28"/>
      <c r="B380" s="38"/>
      <c r="C380" s="36"/>
      <c r="D380" s="37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</row>
    <row r="381" spans="1:105" x14ac:dyDescent="0.3">
      <c r="A381" s="28"/>
      <c r="B381" s="38"/>
      <c r="C381" s="36"/>
      <c r="D381" s="37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</row>
    <row r="382" spans="1:105" x14ac:dyDescent="0.3">
      <c r="A382" s="28"/>
      <c r="B382" s="38"/>
      <c r="C382" s="36"/>
      <c r="D382" s="37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</row>
    <row r="383" spans="1:105" x14ac:dyDescent="0.3">
      <c r="A383" s="28"/>
      <c r="B383" s="38"/>
      <c r="C383" s="36"/>
      <c r="D383" s="37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</row>
    <row r="384" spans="1:105" x14ac:dyDescent="0.3">
      <c r="A384" s="28"/>
      <c r="B384" s="38"/>
      <c r="C384" s="36"/>
      <c r="D384" s="37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</row>
    <row r="385" spans="1:105" x14ac:dyDescent="0.3">
      <c r="A385" s="28"/>
      <c r="B385" s="38"/>
      <c r="C385" s="36"/>
      <c r="D385" s="37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</row>
    <row r="386" spans="1:105" x14ac:dyDescent="0.3">
      <c r="A386" s="28"/>
      <c r="B386" s="38"/>
      <c r="C386" s="36"/>
      <c r="D386" s="37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</row>
    <row r="387" spans="1:105" x14ac:dyDescent="0.3">
      <c r="A387" s="28"/>
      <c r="B387" s="38"/>
      <c r="C387" s="36"/>
      <c r="D387" s="37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</row>
    <row r="388" spans="1:105" x14ac:dyDescent="0.3">
      <c r="A388" s="28"/>
      <c r="B388" s="38"/>
      <c r="C388" s="36"/>
      <c r="D388" s="37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</row>
    <row r="389" spans="1:105" x14ac:dyDescent="0.3">
      <c r="A389" s="28"/>
      <c r="B389" s="38"/>
      <c r="C389" s="36"/>
      <c r="D389" s="37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</row>
    <row r="390" spans="1:105" x14ac:dyDescent="0.3">
      <c r="A390" s="28"/>
      <c r="B390" s="38"/>
      <c r="C390" s="36"/>
      <c r="D390" s="37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</row>
    <row r="391" spans="1:105" x14ac:dyDescent="0.3">
      <c r="A391" s="28"/>
      <c r="B391" s="38"/>
      <c r="C391" s="36"/>
      <c r="D391" s="37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</row>
    <row r="392" spans="1:105" x14ac:dyDescent="0.3">
      <c r="A392" s="28"/>
      <c r="B392" s="38"/>
      <c r="C392" s="36"/>
      <c r="D392" s="37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</row>
    <row r="393" spans="1:105" x14ac:dyDescent="0.3">
      <c r="A393" s="28"/>
      <c r="B393" s="38"/>
      <c r="C393" s="36"/>
      <c r="D393" s="37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</row>
    <row r="394" spans="1:105" x14ac:dyDescent="0.3">
      <c r="A394" s="28"/>
      <c r="B394" s="38"/>
      <c r="C394" s="36"/>
      <c r="D394" s="37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</row>
    <row r="395" spans="1:105" x14ac:dyDescent="0.3">
      <c r="A395" s="28"/>
      <c r="B395" s="38"/>
      <c r="C395" s="36"/>
      <c r="D395" s="37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</row>
    <row r="396" spans="1:105" x14ac:dyDescent="0.3">
      <c r="A396" s="28"/>
      <c r="B396" s="38"/>
      <c r="C396" s="36"/>
      <c r="D396" s="37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</row>
    <row r="397" spans="1:105" x14ac:dyDescent="0.3">
      <c r="A397" s="28"/>
      <c r="B397" s="38"/>
      <c r="C397" s="36"/>
      <c r="D397" s="37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</row>
    <row r="398" spans="1:105" x14ac:dyDescent="0.3">
      <c r="A398" s="28"/>
      <c r="B398" s="38"/>
      <c r="C398" s="36"/>
      <c r="D398" s="37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</row>
    <row r="399" spans="1:105" x14ac:dyDescent="0.3">
      <c r="A399" s="28"/>
      <c r="B399" s="38"/>
      <c r="C399" s="36"/>
      <c r="D399" s="37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</row>
    <row r="400" spans="1:105" x14ac:dyDescent="0.3">
      <c r="A400" s="28"/>
      <c r="B400" s="38"/>
      <c r="C400" s="36"/>
      <c r="D400" s="37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</row>
    <row r="401" spans="1:105" x14ac:dyDescent="0.3">
      <c r="A401" s="28"/>
      <c r="B401" s="38"/>
      <c r="C401" s="36"/>
      <c r="D401" s="37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</row>
    <row r="402" spans="1:105" x14ac:dyDescent="0.3">
      <c r="A402" s="28"/>
      <c r="B402" s="38"/>
      <c r="C402" s="36"/>
      <c r="D402" s="37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</row>
    <row r="403" spans="1:105" x14ac:dyDescent="0.3">
      <c r="A403" s="28"/>
      <c r="B403" s="38"/>
      <c r="C403" s="36"/>
      <c r="D403" s="37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</row>
    <row r="404" spans="1:105" x14ac:dyDescent="0.3">
      <c r="A404" s="28"/>
      <c r="B404" s="38"/>
      <c r="C404" s="36"/>
      <c r="D404" s="37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</row>
    <row r="405" spans="1:105" x14ac:dyDescent="0.3">
      <c r="A405" s="28"/>
      <c r="B405" s="38"/>
      <c r="C405" s="36"/>
      <c r="D405" s="37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</row>
    <row r="406" spans="1:105" x14ac:dyDescent="0.3">
      <c r="A406" s="28"/>
      <c r="B406" s="38"/>
      <c r="C406" s="36"/>
      <c r="D406" s="37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</row>
    <row r="407" spans="1:105" x14ac:dyDescent="0.3">
      <c r="A407" s="28"/>
      <c r="B407" s="38"/>
      <c r="C407" s="36"/>
      <c r="D407" s="37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</row>
    <row r="408" spans="1:105" x14ac:dyDescent="0.3">
      <c r="A408" s="28"/>
      <c r="B408" s="38"/>
      <c r="C408" s="36"/>
      <c r="D408" s="37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</row>
    <row r="409" spans="1:105" x14ac:dyDescent="0.3">
      <c r="A409" s="28"/>
      <c r="B409" s="38"/>
      <c r="C409" s="36"/>
      <c r="D409" s="37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</row>
    <row r="410" spans="1:105" x14ac:dyDescent="0.3">
      <c r="A410" s="28"/>
      <c r="B410" s="38"/>
      <c r="C410" s="36"/>
      <c r="D410" s="37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</row>
    <row r="411" spans="1:105" x14ac:dyDescent="0.3">
      <c r="A411" s="28"/>
      <c r="B411" s="38"/>
      <c r="C411" s="36"/>
      <c r="D411" s="37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</row>
    <row r="412" spans="1:105" x14ac:dyDescent="0.3">
      <c r="A412" s="28"/>
      <c r="B412" s="38"/>
      <c r="C412" s="36"/>
      <c r="D412" s="37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</row>
    <row r="413" spans="1:105" x14ac:dyDescent="0.3">
      <c r="A413" s="28"/>
      <c r="B413" s="38"/>
      <c r="C413" s="36"/>
      <c r="D413" s="37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</row>
    <row r="414" spans="1:105" x14ac:dyDescent="0.3">
      <c r="A414" s="28"/>
      <c r="B414" s="38"/>
      <c r="C414" s="36"/>
      <c r="D414" s="37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</row>
    <row r="415" spans="1:105" x14ac:dyDescent="0.3">
      <c r="A415" s="28"/>
      <c r="B415" s="38"/>
      <c r="C415" s="36"/>
      <c r="D415" s="37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</row>
    <row r="416" spans="1:105" x14ac:dyDescent="0.3">
      <c r="A416" s="28"/>
      <c r="B416" s="38"/>
      <c r="C416" s="36"/>
      <c r="D416" s="37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</row>
    <row r="417" spans="1:105" x14ac:dyDescent="0.3">
      <c r="A417" s="28"/>
      <c r="B417" s="38"/>
      <c r="C417" s="36"/>
      <c r="D417" s="37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</row>
    <row r="418" spans="1:105" x14ac:dyDescent="0.3">
      <c r="A418" s="28"/>
      <c r="B418" s="38"/>
      <c r="C418" s="36"/>
      <c r="D418" s="37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</row>
    <row r="419" spans="1:105" x14ac:dyDescent="0.3">
      <c r="A419" s="28"/>
      <c r="B419" s="38"/>
      <c r="C419" s="36"/>
      <c r="D419" s="37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</row>
    <row r="420" spans="1:105" x14ac:dyDescent="0.3">
      <c r="A420" s="28"/>
      <c r="B420" s="38"/>
      <c r="C420" s="36"/>
      <c r="D420" s="37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</row>
    <row r="421" spans="1:105" x14ac:dyDescent="0.3">
      <c r="A421" s="28"/>
      <c r="B421" s="38"/>
      <c r="C421" s="36"/>
      <c r="D421" s="37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</row>
    <row r="422" spans="1:105" x14ac:dyDescent="0.3">
      <c r="A422" s="28"/>
      <c r="B422" s="38"/>
      <c r="C422" s="36"/>
      <c r="D422" s="37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</row>
    <row r="423" spans="1:105" x14ac:dyDescent="0.3">
      <c r="A423" s="28"/>
      <c r="B423" s="38"/>
      <c r="C423" s="36"/>
      <c r="D423" s="37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</row>
    <row r="424" spans="1:105" x14ac:dyDescent="0.3">
      <c r="A424" s="28"/>
      <c r="B424" s="38"/>
      <c r="C424" s="36"/>
      <c r="D424" s="37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</row>
    <row r="425" spans="1:105" x14ac:dyDescent="0.3">
      <c r="A425" s="28"/>
      <c r="B425" s="38"/>
      <c r="C425" s="36"/>
      <c r="D425" s="37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</row>
    <row r="426" spans="1:105" x14ac:dyDescent="0.3">
      <c r="A426" s="28"/>
      <c r="B426" s="38"/>
      <c r="C426" s="36"/>
      <c r="D426" s="37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</row>
    <row r="427" spans="1:105" x14ac:dyDescent="0.3">
      <c r="A427" s="28"/>
      <c r="B427" s="38"/>
      <c r="C427" s="36"/>
      <c r="D427" s="37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</row>
    <row r="428" spans="1:105" x14ac:dyDescent="0.3">
      <c r="A428" s="28"/>
      <c r="B428" s="38"/>
      <c r="C428" s="36"/>
      <c r="D428" s="37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</row>
    <row r="429" spans="1:105" x14ac:dyDescent="0.3">
      <c r="A429" s="28"/>
      <c r="B429" s="38"/>
      <c r="C429" s="36"/>
      <c r="D429" s="37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  <c r="CS429" s="28"/>
      <c r="CT429" s="28"/>
      <c r="CU429" s="28"/>
      <c r="CV429" s="28"/>
      <c r="CW429" s="28"/>
      <c r="CX429" s="28"/>
      <c r="CY429" s="28"/>
      <c r="CZ429" s="28"/>
      <c r="DA429" s="28"/>
    </row>
    <row r="430" spans="1:105" x14ac:dyDescent="0.3">
      <c r="A430" s="28"/>
      <c r="B430" s="38"/>
      <c r="C430" s="36"/>
      <c r="D430" s="37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8"/>
      <c r="CP430" s="28"/>
      <c r="CQ430" s="28"/>
      <c r="CR430" s="28"/>
      <c r="CS430" s="28"/>
      <c r="CT430" s="28"/>
      <c r="CU430" s="28"/>
      <c r="CV430" s="28"/>
      <c r="CW430" s="28"/>
      <c r="CX430" s="28"/>
      <c r="CY430" s="28"/>
      <c r="CZ430" s="28"/>
      <c r="DA430" s="28"/>
    </row>
    <row r="431" spans="1:105" x14ac:dyDescent="0.3">
      <c r="A431" s="28"/>
      <c r="B431" s="38"/>
      <c r="C431" s="36"/>
      <c r="D431" s="37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8"/>
      <c r="CP431" s="28"/>
      <c r="CQ431" s="28"/>
      <c r="CR431" s="28"/>
      <c r="CS431" s="28"/>
      <c r="CT431" s="28"/>
      <c r="CU431" s="28"/>
      <c r="CV431" s="28"/>
      <c r="CW431" s="28"/>
      <c r="CX431" s="28"/>
      <c r="CY431" s="28"/>
      <c r="CZ431" s="28"/>
      <c r="DA431" s="28"/>
    </row>
    <row r="432" spans="1:105" x14ac:dyDescent="0.3">
      <c r="A432" s="28"/>
      <c r="B432" s="38"/>
      <c r="C432" s="36"/>
      <c r="D432" s="37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8"/>
      <c r="CP432" s="28"/>
      <c r="CQ432" s="28"/>
      <c r="CR432" s="28"/>
      <c r="CS432" s="28"/>
      <c r="CT432" s="28"/>
      <c r="CU432" s="28"/>
      <c r="CV432" s="28"/>
      <c r="CW432" s="28"/>
      <c r="CX432" s="28"/>
      <c r="CY432" s="28"/>
      <c r="CZ432" s="28"/>
      <c r="DA432" s="28"/>
    </row>
    <row r="433" spans="1:105" x14ac:dyDescent="0.3">
      <c r="A433" s="28"/>
      <c r="B433" s="38"/>
      <c r="C433" s="36"/>
      <c r="D433" s="37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</row>
    <row r="434" spans="1:105" x14ac:dyDescent="0.3">
      <c r="A434" s="28"/>
      <c r="B434" s="38"/>
      <c r="C434" s="36"/>
      <c r="D434" s="37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</row>
    <row r="435" spans="1:105" x14ac:dyDescent="0.3">
      <c r="A435" s="28"/>
      <c r="B435" s="38"/>
      <c r="C435" s="36"/>
      <c r="D435" s="37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8"/>
      <c r="CP435" s="28"/>
      <c r="CQ435" s="28"/>
      <c r="CR435" s="28"/>
      <c r="CS435" s="28"/>
      <c r="CT435" s="28"/>
      <c r="CU435" s="28"/>
      <c r="CV435" s="28"/>
      <c r="CW435" s="28"/>
      <c r="CX435" s="28"/>
      <c r="CY435" s="28"/>
      <c r="CZ435" s="28"/>
      <c r="DA435" s="28"/>
    </row>
    <row r="436" spans="1:105" x14ac:dyDescent="0.3">
      <c r="A436" s="28"/>
      <c r="B436" s="38"/>
      <c r="C436" s="36"/>
      <c r="D436" s="37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</row>
    <row r="437" spans="1:105" x14ac:dyDescent="0.3">
      <c r="A437" s="28"/>
      <c r="B437" s="38"/>
      <c r="C437" s="36"/>
      <c r="D437" s="37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</row>
    <row r="438" spans="1:105" x14ac:dyDescent="0.3">
      <c r="A438" s="28"/>
      <c r="B438" s="38"/>
      <c r="C438" s="36"/>
      <c r="D438" s="37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8"/>
      <c r="CP438" s="28"/>
      <c r="CQ438" s="28"/>
      <c r="CR438" s="28"/>
      <c r="CS438" s="28"/>
      <c r="CT438" s="28"/>
      <c r="CU438" s="28"/>
      <c r="CV438" s="28"/>
      <c r="CW438" s="28"/>
      <c r="CX438" s="28"/>
      <c r="CY438" s="28"/>
      <c r="CZ438" s="28"/>
      <c r="DA438" s="28"/>
    </row>
    <row r="439" spans="1:105" x14ac:dyDescent="0.3">
      <c r="A439" s="28"/>
      <c r="B439" s="38"/>
      <c r="C439" s="36"/>
      <c r="D439" s="37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8"/>
      <c r="CP439" s="28"/>
      <c r="CQ439" s="28"/>
      <c r="CR439" s="28"/>
      <c r="CS439" s="28"/>
      <c r="CT439" s="28"/>
      <c r="CU439" s="28"/>
      <c r="CV439" s="28"/>
      <c r="CW439" s="28"/>
      <c r="CX439" s="28"/>
      <c r="CY439" s="28"/>
      <c r="CZ439" s="28"/>
      <c r="DA439" s="28"/>
    </row>
    <row r="440" spans="1:105" x14ac:dyDescent="0.3">
      <c r="A440" s="28"/>
      <c r="B440" s="38"/>
      <c r="C440" s="36"/>
      <c r="D440" s="37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8"/>
      <c r="CP440" s="28"/>
      <c r="CQ440" s="28"/>
      <c r="CR440" s="28"/>
      <c r="CS440" s="28"/>
      <c r="CT440" s="28"/>
      <c r="CU440" s="28"/>
      <c r="CV440" s="28"/>
      <c r="CW440" s="28"/>
      <c r="CX440" s="28"/>
      <c r="CY440" s="28"/>
      <c r="CZ440" s="28"/>
      <c r="DA440" s="28"/>
    </row>
    <row r="441" spans="1:105" x14ac:dyDescent="0.3">
      <c r="A441" s="28"/>
      <c r="B441" s="38"/>
      <c r="C441" s="36"/>
      <c r="D441" s="37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8"/>
      <c r="CP441" s="28"/>
      <c r="CQ441" s="28"/>
      <c r="CR441" s="28"/>
      <c r="CS441" s="28"/>
      <c r="CT441" s="28"/>
      <c r="CU441" s="28"/>
      <c r="CV441" s="28"/>
      <c r="CW441" s="28"/>
      <c r="CX441" s="28"/>
      <c r="CY441" s="28"/>
      <c r="CZ441" s="28"/>
      <c r="DA441" s="28"/>
    </row>
    <row r="442" spans="1:105" x14ac:dyDescent="0.3">
      <c r="A442" s="28"/>
      <c r="B442" s="38"/>
      <c r="C442" s="36"/>
      <c r="D442" s="37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8"/>
      <c r="CP442" s="28"/>
      <c r="CQ442" s="28"/>
      <c r="CR442" s="28"/>
      <c r="CS442" s="28"/>
      <c r="CT442" s="28"/>
      <c r="CU442" s="28"/>
      <c r="CV442" s="28"/>
      <c r="CW442" s="28"/>
      <c r="CX442" s="28"/>
      <c r="CY442" s="28"/>
      <c r="CZ442" s="28"/>
      <c r="DA442" s="28"/>
    </row>
    <row r="443" spans="1:105" x14ac:dyDescent="0.3">
      <c r="A443" s="28"/>
      <c r="B443" s="38"/>
      <c r="C443" s="36"/>
      <c r="D443" s="37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8"/>
      <c r="CP443" s="28"/>
      <c r="CQ443" s="28"/>
      <c r="CR443" s="28"/>
      <c r="CS443" s="28"/>
      <c r="CT443" s="28"/>
      <c r="CU443" s="28"/>
      <c r="CV443" s="28"/>
      <c r="CW443" s="28"/>
      <c r="CX443" s="28"/>
      <c r="CY443" s="28"/>
      <c r="CZ443" s="28"/>
      <c r="DA443" s="28"/>
    </row>
    <row r="444" spans="1:105" x14ac:dyDescent="0.3">
      <c r="A444" s="28"/>
      <c r="B444" s="38"/>
      <c r="C444" s="36"/>
      <c r="D444" s="37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8"/>
      <c r="CP444" s="28"/>
      <c r="CQ444" s="28"/>
      <c r="CR444" s="28"/>
      <c r="CS444" s="28"/>
      <c r="CT444" s="28"/>
      <c r="CU444" s="28"/>
      <c r="CV444" s="28"/>
      <c r="CW444" s="28"/>
      <c r="CX444" s="28"/>
      <c r="CY444" s="28"/>
      <c r="CZ444" s="28"/>
      <c r="DA444" s="28"/>
    </row>
    <row r="445" spans="1:105" x14ac:dyDescent="0.3">
      <c r="A445" s="28"/>
      <c r="B445" s="38"/>
      <c r="C445" s="36"/>
      <c r="D445" s="37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8"/>
      <c r="CP445" s="28"/>
      <c r="CQ445" s="28"/>
      <c r="CR445" s="28"/>
      <c r="CS445" s="28"/>
      <c r="CT445" s="28"/>
      <c r="CU445" s="28"/>
      <c r="CV445" s="28"/>
      <c r="CW445" s="28"/>
      <c r="CX445" s="28"/>
      <c r="CY445" s="28"/>
      <c r="CZ445" s="28"/>
      <c r="DA445" s="28"/>
    </row>
    <row r="446" spans="1:105" x14ac:dyDescent="0.3">
      <c r="A446" s="28"/>
      <c r="B446" s="38"/>
      <c r="C446" s="36"/>
      <c r="D446" s="37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</row>
    <row r="447" spans="1:105" x14ac:dyDescent="0.3">
      <c r="A447" s="28"/>
      <c r="B447" s="38"/>
      <c r="C447" s="36"/>
      <c r="D447" s="37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8"/>
      <c r="CP447" s="28"/>
      <c r="CQ447" s="28"/>
      <c r="CR447" s="28"/>
      <c r="CS447" s="28"/>
      <c r="CT447" s="28"/>
      <c r="CU447" s="28"/>
      <c r="CV447" s="28"/>
      <c r="CW447" s="28"/>
      <c r="CX447" s="28"/>
      <c r="CY447" s="28"/>
      <c r="CZ447" s="28"/>
      <c r="DA447" s="28"/>
    </row>
    <row r="448" spans="1:105" x14ac:dyDescent="0.3">
      <c r="A448" s="28"/>
      <c r="B448" s="38"/>
      <c r="C448" s="36"/>
      <c r="D448" s="37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  <c r="CS448" s="28"/>
      <c r="CT448" s="28"/>
      <c r="CU448" s="28"/>
      <c r="CV448" s="28"/>
      <c r="CW448" s="28"/>
      <c r="CX448" s="28"/>
      <c r="CY448" s="28"/>
      <c r="CZ448" s="28"/>
      <c r="DA448" s="28"/>
    </row>
    <row r="449" spans="1:105" x14ac:dyDescent="0.3">
      <c r="A449" s="28"/>
      <c r="B449" s="38"/>
      <c r="C449" s="36"/>
      <c r="D449" s="37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</row>
    <row r="450" spans="1:105" x14ac:dyDescent="0.3">
      <c r="A450" s="28"/>
      <c r="B450" s="38"/>
      <c r="C450" s="36"/>
      <c r="D450" s="37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8"/>
      <c r="CP450" s="28"/>
      <c r="CQ450" s="28"/>
      <c r="CR450" s="28"/>
      <c r="CS450" s="28"/>
      <c r="CT450" s="28"/>
      <c r="CU450" s="28"/>
      <c r="CV450" s="28"/>
      <c r="CW450" s="28"/>
      <c r="CX450" s="28"/>
      <c r="CY450" s="28"/>
      <c r="CZ450" s="28"/>
      <c r="DA450" s="28"/>
    </row>
    <row r="451" spans="1:105" x14ac:dyDescent="0.3">
      <c r="A451" s="28"/>
      <c r="B451" s="38"/>
      <c r="C451" s="36"/>
      <c r="D451" s="37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8"/>
      <c r="CP451" s="28"/>
      <c r="CQ451" s="28"/>
      <c r="CR451" s="28"/>
      <c r="CS451" s="28"/>
      <c r="CT451" s="28"/>
      <c r="CU451" s="28"/>
      <c r="CV451" s="28"/>
      <c r="CW451" s="28"/>
      <c r="CX451" s="28"/>
      <c r="CY451" s="28"/>
      <c r="CZ451" s="28"/>
      <c r="DA451" s="28"/>
    </row>
    <row r="452" spans="1:105" x14ac:dyDescent="0.3">
      <c r="A452" s="28"/>
      <c r="B452" s="38"/>
      <c r="C452" s="36"/>
      <c r="D452" s="37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8"/>
      <c r="CP452" s="28"/>
      <c r="CQ452" s="28"/>
      <c r="CR452" s="28"/>
      <c r="CS452" s="28"/>
      <c r="CT452" s="28"/>
      <c r="CU452" s="28"/>
      <c r="CV452" s="28"/>
      <c r="CW452" s="28"/>
      <c r="CX452" s="28"/>
      <c r="CY452" s="28"/>
      <c r="CZ452" s="28"/>
      <c r="DA452" s="28"/>
    </row>
    <row r="453" spans="1:105" x14ac:dyDescent="0.3">
      <c r="A453" s="28"/>
      <c r="B453" s="38"/>
      <c r="C453" s="36"/>
      <c r="D453" s="37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8"/>
      <c r="CP453" s="28"/>
      <c r="CQ453" s="28"/>
      <c r="CR453" s="28"/>
      <c r="CS453" s="28"/>
      <c r="CT453" s="28"/>
      <c r="CU453" s="28"/>
      <c r="CV453" s="28"/>
      <c r="CW453" s="28"/>
      <c r="CX453" s="28"/>
      <c r="CY453" s="28"/>
      <c r="CZ453" s="28"/>
      <c r="DA453" s="28"/>
    </row>
    <row r="454" spans="1:105" x14ac:dyDescent="0.3">
      <c r="A454" s="28"/>
      <c r="B454" s="38"/>
      <c r="C454" s="36"/>
      <c r="D454" s="37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8"/>
      <c r="CP454" s="28"/>
      <c r="CQ454" s="28"/>
      <c r="CR454" s="28"/>
      <c r="CS454" s="28"/>
      <c r="CT454" s="28"/>
      <c r="CU454" s="28"/>
      <c r="CV454" s="28"/>
      <c r="CW454" s="28"/>
      <c r="CX454" s="28"/>
      <c r="CY454" s="28"/>
      <c r="CZ454" s="28"/>
      <c r="DA454" s="28"/>
    </row>
    <row r="455" spans="1:105" x14ac:dyDescent="0.3">
      <c r="A455" s="28"/>
      <c r="B455" s="38"/>
      <c r="C455" s="36"/>
      <c r="D455" s="37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8"/>
      <c r="CP455" s="28"/>
      <c r="CQ455" s="28"/>
      <c r="CR455" s="28"/>
      <c r="CS455" s="28"/>
      <c r="CT455" s="28"/>
      <c r="CU455" s="28"/>
      <c r="CV455" s="28"/>
      <c r="CW455" s="28"/>
      <c r="CX455" s="28"/>
      <c r="CY455" s="28"/>
      <c r="CZ455" s="28"/>
      <c r="DA455" s="28"/>
    </row>
    <row r="456" spans="1:105" x14ac:dyDescent="0.3">
      <c r="A456" s="28"/>
      <c r="B456" s="38"/>
      <c r="C456" s="36"/>
      <c r="D456" s="37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8"/>
      <c r="CP456" s="28"/>
      <c r="CQ456" s="28"/>
      <c r="CR456" s="28"/>
      <c r="CS456" s="28"/>
      <c r="CT456" s="28"/>
      <c r="CU456" s="28"/>
      <c r="CV456" s="28"/>
      <c r="CW456" s="28"/>
      <c r="CX456" s="28"/>
      <c r="CY456" s="28"/>
      <c r="CZ456" s="28"/>
      <c r="DA456" s="28"/>
    </row>
    <row r="457" spans="1:105" x14ac:dyDescent="0.3">
      <c r="A457" s="28"/>
      <c r="B457" s="38"/>
      <c r="C457" s="36"/>
      <c r="D457" s="37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8"/>
      <c r="CP457" s="28"/>
      <c r="CQ457" s="28"/>
      <c r="CR457" s="28"/>
      <c r="CS457" s="28"/>
      <c r="CT457" s="28"/>
      <c r="CU457" s="28"/>
      <c r="CV457" s="28"/>
      <c r="CW457" s="28"/>
      <c r="CX457" s="28"/>
      <c r="CY457" s="28"/>
      <c r="CZ457" s="28"/>
      <c r="DA457" s="28"/>
    </row>
    <row r="458" spans="1:105" x14ac:dyDescent="0.3">
      <c r="A458" s="28"/>
      <c r="B458" s="38"/>
      <c r="C458" s="36"/>
      <c r="D458" s="37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8"/>
      <c r="CP458" s="28"/>
      <c r="CQ458" s="28"/>
      <c r="CR458" s="28"/>
      <c r="CS458" s="28"/>
      <c r="CT458" s="28"/>
      <c r="CU458" s="28"/>
      <c r="CV458" s="28"/>
      <c r="CW458" s="28"/>
      <c r="CX458" s="28"/>
      <c r="CY458" s="28"/>
      <c r="CZ458" s="28"/>
      <c r="DA458" s="28"/>
    </row>
    <row r="459" spans="1:105" x14ac:dyDescent="0.3">
      <c r="A459" s="28"/>
      <c r="B459" s="38"/>
      <c r="C459" s="36"/>
      <c r="D459" s="37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8"/>
      <c r="CP459" s="28"/>
      <c r="CQ459" s="28"/>
      <c r="CR459" s="28"/>
      <c r="CS459" s="28"/>
      <c r="CT459" s="28"/>
      <c r="CU459" s="28"/>
      <c r="CV459" s="28"/>
      <c r="CW459" s="28"/>
      <c r="CX459" s="28"/>
      <c r="CY459" s="28"/>
      <c r="CZ459" s="28"/>
      <c r="DA459" s="28"/>
    </row>
    <row r="460" spans="1:105" x14ac:dyDescent="0.3">
      <c r="A460" s="28"/>
      <c r="B460" s="38"/>
      <c r="C460" s="36"/>
      <c r="D460" s="37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8"/>
      <c r="CP460" s="28"/>
      <c r="CQ460" s="28"/>
      <c r="CR460" s="28"/>
      <c r="CS460" s="28"/>
      <c r="CT460" s="28"/>
      <c r="CU460" s="28"/>
      <c r="CV460" s="28"/>
      <c r="CW460" s="28"/>
      <c r="CX460" s="28"/>
      <c r="CY460" s="28"/>
      <c r="CZ460" s="28"/>
      <c r="DA460" s="28"/>
    </row>
    <row r="461" spans="1:105" x14ac:dyDescent="0.3">
      <c r="A461" s="28"/>
      <c r="B461" s="38"/>
      <c r="C461" s="36"/>
      <c r="D461" s="37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8"/>
      <c r="CP461" s="28"/>
      <c r="CQ461" s="28"/>
      <c r="CR461" s="28"/>
      <c r="CS461" s="28"/>
      <c r="CT461" s="28"/>
      <c r="CU461" s="28"/>
      <c r="CV461" s="28"/>
      <c r="CW461" s="28"/>
      <c r="CX461" s="28"/>
      <c r="CY461" s="28"/>
      <c r="CZ461" s="28"/>
      <c r="DA461" s="28"/>
    </row>
    <row r="462" spans="1:105" x14ac:dyDescent="0.3">
      <c r="A462" s="28"/>
      <c r="B462" s="38"/>
      <c r="C462" s="36"/>
      <c r="D462" s="37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8"/>
      <c r="CP462" s="28"/>
      <c r="CQ462" s="28"/>
      <c r="CR462" s="28"/>
      <c r="CS462" s="28"/>
      <c r="CT462" s="28"/>
      <c r="CU462" s="28"/>
      <c r="CV462" s="28"/>
      <c r="CW462" s="28"/>
      <c r="CX462" s="28"/>
      <c r="CY462" s="28"/>
      <c r="CZ462" s="28"/>
      <c r="DA462" s="28"/>
    </row>
    <row r="463" spans="1:105" x14ac:dyDescent="0.3">
      <c r="A463" s="28"/>
      <c r="B463" s="38"/>
      <c r="C463" s="36"/>
      <c r="D463" s="37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8"/>
      <c r="CP463" s="28"/>
      <c r="CQ463" s="28"/>
      <c r="CR463" s="28"/>
      <c r="CS463" s="28"/>
      <c r="CT463" s="28"/>
      <c r="CU463" s="28"/>
      <c r="CV463" s="28"/>
      <c r="CW463" s="28"/>
      <c r="CX463" s="28"/>
      <c r="CY463" s="28"/>
      <c r="CZ463" s="28"/>
      <c r="DA463" s="28"/>
    </row>
    <row r="464" spans="1:105" x14ac:dyDescent="0.3">
      <c r="A464" s="28"/>
      <c r="B464" s="38"/>
      <c r="C464" s="36"/>
      <c r="D464" s="37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8"/>
      <c r="CP464" s="28"/>
      <c r="CQ464" s="28"/>
      <c r="CR464" s="28"/>
      <c r="CS464" s="28"/>
      <c r="CT464" s="28"/>
      <c r="CU464" s="28"/>
      <c r="CV464" s="28"/>
      <c r="CW464" s="28"/>
      <c r="CX464" s="28"/>
      <c r="CY464" s="28"/>
      <c r="CZ464" s="28"/>
      <c r="DA464" s="28"/>
    </row>
    <row r="465" spans="1:105" x14ac:dyDescent="0.3">
      <c r="A465" s="28"/>
      <c r="B465" s="38"/>
      <c r="C465" s="36"/>
      <c r="D465" s="37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8"/>
      <c r="CP465" s="28"/>
      <c r="CQ465" s="28"/>
      <c r="CR465" s="28"/>
      <c r="CS465" s="28"/>
      <c r="CT465" s="28"/>
      <c r="CU465" s="28"/>
      <c r="CV465" s="28"/>
      <c r="CW465" s="28"/>
      <c r="CX465" s="28"/>
      <c r="CY465" s="28"/>
      <c r="CZ465" s="28"/>
      <c r="DA465" s="28"/>
    </row>
    <row r="466" spans="1:105" x14ac:dyDescent="0.3">
      <c r="A466" s="28"/>
      <c r="B466" s="38"/>
      <c r="C466" s="36"/>
      <c r="D466" s="37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  <c r="DA466" s="28"/>
    </row>
    <row r="467" spans="1:105" x14ac:dyDescent="0.3">
      <c r="A467" s="28"/>
      <c r="B467" s="38"/>
      <c r="C467" s="36"/>
      <c r="D467" s="37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8"/>
      <c r="CP467" s="28"/>
      <c r="CQ467" s="28"/>
      <c r="CR467" s="28"/>
      <c r="CS467" s="28"/>
      <c r="CT467" s="28"/>
      <c r="CU467" s="28"/>
      <c r="CV467" s="28"/>
      <c r="CW467" s="28"/>
      <c r="CX467" s="28"/>
      <c r="CY467" s="28"/>
      <c r="CZ467" s="28"/>
      <c r="DA467" s="28"/>
    </row>
    <row r="468" spans="1:105" x14ac:dyDescent="0.3">
      <c r="A468" s="28"/>
      <c r="B468" s="38"/>
      <c r="C468" s="36"/>
      <c r="D468" s="37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8"/>
      <c r="CP468" s="28"/>
      <c r="CQ468" s="28"/>
      <c r="CR468" s="28"/>
      <c r="CS468" s="28"/>
      <c r="CT468" s="28"/>
      <c r="CU468" s="28"/>
      <c r="CV468" s="28"/>
      <c r="CW468" s="28"/>
      <c r="CX468" s="28"/>
      <c r="CY468" s="28"/>
      <c r="CZ468" s="28"/>
      <c r="DA468" s="28"/>
    </row>
    <row r="469" spans="1:105" x14ac:dyDescent="0.3">
      <c r="A469" s="28"/>
      <c r="B469" s="38"/>
      <c r="C469" s="36"/>
      <c r="D469" s="37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8"/>
      <c r="CP469" s="28"/>
      <c r="CQ469" s="28"/>
      <c r="CR469" s="28"/>
      <c r="CS469" s="28"/>
      <c r="CT469" s="28"/>
      <c r="CU469" s="28"/>
      <c r="CV469" s="28"/>
      <c r="CW469" s="28"/>
      <c r="CX469" s="28"/>
      <c r="CY469" s="28"/>
      <c r="CZ469" s="28"/>
      <c r="DA469" s="28"/>
    </row>
    <row r="470" spans="1:105" x14ac:dyDescent="0.3">
      <c r="A470" s="28"/>
      <c r="B470" s="38"/>
      <c r="C470" s="36"/>
      <c r="D470" s="37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8"/>
      <c r="CP470" s="28"/>
      <c r="CQ470" s="28"/>
      <c r="CR470" s="28"/>
      <c r="CS470" s="28"/>
      <c r="CT470" s="28"/>
      <c r="CU470" s="28"/>
      <c r="CV470" s="28"/>
      <c r="CW470" s="28"/>
      <c r="CX470" s="28"/>
      <c r="CY470" s="28"/>
      <c r="CZ470" s="28"/>
      <c r="DA470" s="28"/>
    </row>
    <row r="471" spans="1:105" x14ac:dyDescent="0.3">
      <c r="A471" s="28"/>
      <c r="B471" s="38"/>
      <c r="C471" s="36"/>
      <c r="D471" s="37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8"/>
      <c r="CP471" s="28"/>
      <c r="CQ471" s="28"/>
      <c r="CR471" s="28"/>
      <c r="CS471" s="28"/>
      <c r="CT471" s="28"/>
      <c r="CU471" s="28"/>
      <c r="CV471" s="28"/>
      <c r="CW471" s="28"/>
      <c r="CX471" s="28"/>
      <c r="CY471" s="28"/>
      <c r="CZ471" s="28"/>
      <c r="DA471" s="28"/>
    </row>
    <row r="472" spans="1:105" x14ac:dyDescent="0.3">
      <c r="A472" s="28"/>
      <c r="B472" s="38"/>
      <c r="C472" s="36"/>
      <c r="D472" s="37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</row>
    <row r="473" spans="1:105" x14ac:dyDescent="0.3">
      <c r="A473" s="28"/>
      <c r="B473" s="38"/>
      <c r="C473" s="36"/>
      <c r="D473" s="37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</row>
    <row r="474" spans="1:105" x14ac:dyDescent="0.3">
      <c r="A474" s="28"/>
      <c r="B474" s="38"/>
      <c r="C474" s="36"/>
      <c r="D474" s="37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8"/>
      <c r="CP474" s="28"/>
      <c r="CQ474" s="28"/>
      <c r="CR474" s="28"/>
      <c r="CS474" s="28"/>
      <c r="CT474" s="28"/>
      <c r="CU474" s="28"/>
      <c r="CV474" s="28"/>
      <c r="CW474" s="28"/>
      <c r="CX474" s="28"/>
      <c r="CY474" s="28"/>
      <c r="CZ474" s="28"/>
      <c r="DA474" s="28"/>
    </row>
    <row r="475" spans="1:105" x14ac:dyDescent="0.3">
      <c r="A475" s="28"/>
      <c r="B475" s="38"/>
      <c r="C475" s="36"/>
      <c r="D475" s="37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8"/>
      <c r="CP475" s="28"/>
      <c r="CQ475" s="28"/>
      <c r="CR475" s="28"/>
      <c r="CS475" s="28"/>
      <c r="CT475" s="28"/>
      <c r="CU475" s="28"/>
      <c r="CV475" s="28"/>
      <c r="CW475" s="28"/>
      <c r="CX475" s="28"/>
      <c r="CY475" s="28"/>
      <c r="CZ475" s="28"/>
      <c r="DA475" s="28"/>
    </row>
    <row r="476" spans="1:105" x14ac:dyDescent="0.3">
      <c r="A476" s="28"/>
      <c r="B476" s="38"/>
      <c r="C476" s="36"/>
      <c r="D476" s="37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8"/>
      <c r="CP476" s="28"/>
      <c r="CQ476" s="28"/>
      <c r="CR476" s="28"/>
      <c r="CS476" s="28"/>
      <c r="CT476" s="28"/>
      <c r="CU476" s="28"/>
      <c r="CV476" s="28"/>
      <c r="CW476" s="28"/>
      <c r="CX476" s="28"/>
      <c r="CY476" s="28"/>
      <c r="CZ476" s="28"/>
      <c r="DA476" s="28"/>
    </row>
    <row r="477" spans="1:105" x14ac:dyDescent="0.3">
      <c r="A477" s="28"/>
      <c r="B477" s="38"/>
      <c r="C477" s="36"/>
      <c r="D477" s="37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</row>
    <row r="478" spans="1:105" x14ac:dyDescent="0.3">
      <c r="A478" s="28"/>
      <c r="B478" s="38"/>
      <c r="C478" s="36"/>
      <c r="D478" s="37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</row>
    <row r="479" spans="1:105" x14ac:dyDescent="0.3">
      <c r="A479" s="28"/>
      <c r="B479" s="38"/>
      <c r="C479" s="36"/>
      <c r="D479" s="37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8"/>
      <c r="CP479" s="28"/>
      <c r="CQ479" s="28"/>
      <c r="CR479" s="28"/>
      <c r="CS479" s="28"/>
      <c r="CT479" s="28"/>
      <c r="CU479" s="28"/>
      <c r="CV479" s="28"/>
      <c r="CW479" s="28"/>
      <c r="CX479" s="28"/>
      <c r="CY479" s="28"/>
      <c r="CZ479" s="28"/>
      <c r="DA479" s="28"/>
    </row>
    <row r="480" spans="1:105" x14ac:dyDescent="0.3">
      <c r="A480" s="28"/>
      <c r="B480" s="38"/>
      <c r="C480" s="36"/>
      <c r="D480" s="37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8"/>
      <c r="CP480" s="28"/>
      <c r="CQ480" s="28"/>
      <c r="CR480" s="28"/>
      <c r="CS480" s="28"/>
      <c r="CT480" s="28"/>
      <c r="CU480" s="28"/>
      <c r="CV480" s="28"/>
      <c r="CW480" s="28"/>
      <c r="CX480" s="28"/>
      <c r="CY480" s="28"/>
      <c r="CZ480" s="28"/>
      <c r="DA480" s="28"/>
    </row>
    <row r="481" spans="1:105" x14ac:dyDescent="0.3">
      <c r="A481" s="28"/>
      <c r="B481" s="38"/>
      <c r="C481" s="36"/>
      <c r="D481" s="37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8"/>
      <c r="CP481" s="28"/>
      <c r="CQ481" s="28"/>
      <c r="CR481" s="28"/>
      <c r="CS481" s="28"/>
      <c r="CT481" s="28"/>
      <c r="CU481" s="28"/>
      <c r="CV481" s="28"/>
      <c r="CW481" s="28"/>
      <c r="CX481" s="28"/>
      <c r="CY481" s="28"/>
      <c r="CZ481" s="28"/>
      <c r="DA481" s="28"/>
    </row>
    <row r="482" spans="1:105" x14ac:dyDescent="0.3">
      <c r="A482" s="28"/>
      <c r="B482" s="38"/>
      <c r="C482" s="36"/>
      <c r="D482" s="37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  <c r="DA482" s="28"/>
    </row>
    <row r="483" spans="1:105" x14ac:dyDescent="0.3">
      <c r="A483" s="28"/>
      <c r="B483" s="38"/>
      <c r="C483" s="36"/>
      <c r="D483" s="37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  <c r="CO483" s="28"/>
      <c r="CP483" s="28"/>
      <c r="CQ483" s="28"/>
      <c r="CR483" s="28"/>
      <c r="CS483" s="28"/>
      <c r="CT483" s="28"/>
      <c r="CU483" s="28"/>
      <c r="CV483" s="28"/>
      <c r="CW483" s="28"/>
      <c r="CX483" s="28"/>
      <c r="CY483" s="28"/>
      <c r="CZ483" s="28"/>
      <c r="DA483" s="28"/>
    </row>
    <row r="484" spans="1:105" x14ac:dyDescent="0.3">
      <c r="A484" s="28"/>
      <c r="B484" s="38"/>
      <c r="C484" s="36"/>
      <c r="D484" s="37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</row>
    <row r="485" spans="1:105" x14ac:dyDescent="0.3">
      <c r="A485" s="28"/>
      <c r="B485" s="38"/>
      <c r="C485" s="36"/>
      <c r="D485" s="37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CO485" s="28"/>
      <c r="CP485" s="28"/>
      <c r="CQ485" s="28"/>
      <c r="CR485" s="28"/>
      <c r="CS485" s="28"/>
      <c r="CT485" s="28"/>
      <c r="CU485" s="28"/>
      <c r="CV485" s="28"/>
      <c r="CW485" s="28"/>
      <c r="CX485" s="28"/>
      <c r="CY485" s="28"/>
      <c r="CZ485" s="28"/>
      <c r="DA485" s="28"/>
    </row>
    <row r="486" spans="1:105" x14ac:dyDescent="0.3">
      <c r="A486" s="28"/>
      <c r="B486" s="38"/>
      <c r="C486" s="36"/>
      <c r="D486" s="37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8"/>
      <c r="CP486" s="28"/>
      <c r="CQ486" s="28"/>
      <c r="CR486" s="28"/>
      <c r="CS486" s="28"/>
      <c r="CT486" s="28"/>
      <c r="CU486" s="28"/>
      <c r="CV486" s="28"/>
      <c r="CW486" s="28"/>
      <c r="CX486" s="28"/>
      <c r="CY486" s="28"/>
      <c r="CZ486" s="28"/>
      <c r="DA486" s="28"/>
    </row>
    <row r="487" spans="1:105" x14ac:dyDescent="0.3">
      <c r="A487" s="28"/>
      <c r="B487" s="38"/>
      <c r="C487" s="36"/>
      <c r="D487" s="37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  <c r="CO487" s="28"/>
      <c r="CP487" s="28"/>
      <c r="CQ487" s="28"/>
      <c r="CR487" s="28"/>
      <c r="CS487" s="28"/>
      <c r="CT487" s="28"/>
      <c r="CU487" s="28"/>
      <c r="CV487" s="28"/>
      <c r="CW487" s="28"/>
      <c r="CX487" s="28"/>
      <c r="CY487" s="28"/>
      <c r="CZ487" s="28"/>
      <c r="DA487" s="28"/>
    </row>
    <row r="488" spans="1:105" x14ac:dyDescent="0.3">
      <c r="A488" s="28"/>
      <c r="B488" s="38"/>
      <c r="C488" s="36"/>
      <c r="D488" s="37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  <c r="CO488" s="28"/>
      <c r="CP488" s="28"/>
      <c r="CQ488" s="28"/>
      <c r="CR488" s="28"/>
      <c r="CS488" s="28"/>
      <c r="CT488" s="28"/>
      <c r="CU488" s="28"/>
      <c r="CV488" s="28"/>
      <c r="CW488" s="28"/>
      <c r="CX488" s="28"/>
      <c r="CY488" s="28"/>
      <c r="CZ488" s="28"/>
      <c r="DA488" s="28"/>
    </row>
    <row r="489" spans="1:105" x14ac:dyDescent="0.3">
      <c r="A489" s="28"/>
      <c r="B489" s="38"/>
      <c r="C489" s="36"/>
      <c r="D489" s="37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  <c r="CN489" s="28"/>
      <c r="CO489" s="28"/>
      <c r="CP489" s="28"/>
      <c r="CQ489" s="28"/>
      <c r="CR489" s="28"/>
      <c r="CS489" s="28"/>
      <c r="CT489" s="28"/>
      <c r="CU489" s="28"/>
      <c r="CV489" s="28"/>
      <c r="CW489" s="28"/>
      <c r="CX489" s="28"/>
      <c r="CY489" s="28"/>
      <c r="CZ489" s="28"/>
      <c r="DA489" s="28"/>
    </row>
    <row r="490" spans="1:105" x14ac:dyDescent="0.3">
      <c r="A490" s="28"/>
      <c r="B490" s="38"/>
      <c r="C490" s="36"/>
      <c r="D490" s="37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  <c r="CN490" s="28"/>
      <c r="CO490" s="28"/>
      <c r="CP490" s="28"/>
      <c r="CQ490" s="28"/>
      <c r="CR490" s="28"/>
      <c r="CS490" s="28"/>
      <c r="CT490" s="28"/>
      <c r="CU490" s="28"/>
      <c r="CV490" s="28"/>
      <c r="CW490" s="28"/>
      <c r="CX490" s="28"/>
      <c r="CY490" s="28"/>
      <c r="CZ490" s="28"/>
      <c r="DA490" s="28"/>
    </row>
    <row r="491" spans="1:105" x14ac:dyDescent="0.3">
      <c r="A491" s="28"/>
      <c r="B491" s="38"/>
      <c r="C491" s="36"/>
      <c r="D491" s="37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  <c r="CO491" s="28"/>
      <c r="CP491" s="28"/>
      <c r="CQ491" s="28"/>
      <c r="CR491" s="28"/>
      <c r="CS491" s="28"/>
      <c r="CT491" s="28"/>
      <c r="CU491" s="28"/>
      <c r="CV491" s="28"/>
      <c r="CW491" s="28"/>
      <c r="CX491" s="28"/>
      <c r="CY491" s="28"/>
      <c r="CZ491" s="28"/>
      <c r="DA491" s="28"/>
    </row>
    <row r="492" spans="1:105" x14ac:dyDescent="0.3">
      <c r="A492" s="28"/>
      <c r="B492" s="38"/>
      <c r="C492" s="36"/>
      <c r="D492" s="37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  <c r="CO492" s="28"/>
      <c r="CP492" s="28"/>
      <c r="CQ492" s="28"/>
      <c r="CR492" s="28"/>
      <c r="CS492" s="28"/>
      <c r="CT492" s="28"/>
      <c r="CU492" s="28"/>
      <c r="CV492" s="28"/>
      <c r="CW492" s="28"/>
      <c r="CX492" s="28"/>
      <c r="CY492" s="28"/>
      <c r="CZ492" s="28"/>
      <c r="DA492" s="28"/>
    </row>
    <row r="493" spans="1:105" x14ac:dyDescent="0.3">
      <c r="A493" s="28"/>
      <c r="B493" s="38"/>
      <c r="C493" s="36"/>
      <c r="D493" s="37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  <c r="CN493" s="28"/>
      <c r="CO493" s="28"/>
      <c r="CP493" s="28"/>
      <c r="CQ493" s="28"/>
      <c r="CR493" s="28"/>
      <c r="CS493" s="28"/>
      <c r="CT493" s="28"/>
      <c r="CU493" s="28"/>
      <c r="CV493" s="28"/>
      <c r="CW493" s="28"/>
      <c r="CX493" s="28"/>
      <c r="CY493" s="28"/>
      <c r="CZ493" s="28"/>
      <c r="DA493" s="28"/>
    </row>
    <row r="494" spans="1:105" x14ac:dyDescent="0.3">
      <c r="A494" s="28"/>
      <c r="B494" s="38"/>
      <c r="C494" s="36"/>
      <c r="D494" s="37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  <c r="CN494" s="28"/>
      <c r="CO494" s="28"/>
      <c r="CP494" s="28"/>
      <c r="CQ494" s="28"/>
      <c r="CR494" s="28"/>
      <c r="CS494" s="28"/>
      <c r="CT494" s="28"/>
      <c r="CU494" s="28"/>
      <c r="CV494" s="28"/>
      <c r="CW494" s="28"/>
      <c r="CX494" s="28"/>
      <c r="CY494" s="28"/>
      <c r="CZ494" s="28"/>
      <c r="DA494" s="28"/>
    </row>
    <row r="495" spans="1:105" x14ac:dyDescent="0.3">
      <c r="A495" s="28"/>
      <c r="B495" s="38"/>
      <c r="C495" s="36"/>
      <c r="D495" s="37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  <c r="DA495" s="28"/>
    </row>
    <row r="496" spans="1:105" x14ac:dyDescent="0.3">
      <c r="A496" s="28"/>
      <c r="B496" s="38"/>
      <c r="C496" s="36"/>
      <c r="D496" s="37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  <c r="CN496" s="28"/>
      <c r="CO496" s="28"/>
      <c r="CP496" s="28"/>
      <c r="CQ496" s="28"/>
      <c r="CR496" s="28"/>
      <c r="CS496" s="28"/>
      <c r="CT496" s="28"/>
      <c r="CU496" s="28"/>
      <c r="CV496" s="28"/>
      <c r="CW496" s="28"/>
      <c r="CX496" s="28"/>
      <c r="CY496" s="28"/>
      <c r="CZ496" s="28"/>
      <c r="DA496" s="28"/>
    </row>
    <row r="497" spans="1:105" x14ac:dyDescent="0.3">
      <c r="A497" s="28"/>
      <c r="B497" s="38"/>
      <c r="C497" s="36"/>
      <c r="D497" s="37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28"/>
      <c r="CF497" s="28"/>
      <c r="CG497" s="28"/>
      <c r="CH497" s="28"/>
      <c r="CI497" s="28"/>
      <c r="CJ497" s="28"/>
      <c r="CK497" s="28"/>
      <c r="CL497" s="28"/>
      <c r="CM497" s="28"/>
      <c r="CN497" s="28"/>
      <c r="CO497" s="28"/>
      <c r="CP497" s="28"/>
      <c r="CQ497" s="28"/>
      <c r="CR497" s="28"/>
      <c r="CS497" s="28"/>
      <c r="CT497" s="28"/>
      <c r="CU497" s="28"/>
      <c r="CV497" s="28"/>
      <c r="CW497" s="28"/>
      <c r="CX497" s="28"/>
      <c r="CY497" s="28"/>
      <c r="CZ497" s="28"/>
      <c r="DA497" s="28"/>
    </row>
    <row r="498" spans="1:105" x14ac:dyDescent="0.3">
      <c r="A498" s="28"/>
      <c r="B498" s="38"/>
      <c r="C498" s="36"/>
      <c r="D498" s="37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  <c r="CN498" s="28"/>
      <c r="CO498" s="28"/>
      <c r="CP498" s="28"/>
      <c r="CQ498" s="28"/>
      <c r="CR498" s="28"/>
      <c r="CS498" s="28"/>
      <c r="CT498" s="28"/>
      <c r="CU498" s="28"/>
      <c r="CV498" s="28"/>
      <c r="CW498" s="28"/>
      <c r="CX498" s="28"/>
      <c r="CY498" s="28"/>
      <c r="CZ498" s="28"/>
      <c r="DA498" s="28"/>
    </row>
    <row r="499" spans="1:105" x14ac:dyDescent="0.3">
      <c r="A499" s="28"/>
      <c r="B499" s="38"/>
      <c r="C499" s="36"/>
      <c r="D499" s="37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  <c r="CN499" s="28"/>
      <c r="CO499" s="28"/>
      <c r="CP499" s="28"/>
      <c r="CQ499" s="28"/>
      <c r="CR499" s="28"/>
      <c r="CS499" s="28"/>
      <c r="CT499" s="28"/>
      <c r="CU499" s="28"/>
      <c r="CV499" s="28"/>
      <c r="CW499" s="28"/>
      <c r="CX499" s="28"/>
      <c r="CY499" s="28"/>
      <c r="CZ499" s="28"/>
      <c r="DA499" s="28"/>
    </row>
    <row r="500" spans="1:105" x14ac:dyDescent="0.3">
      <c r="A500" s="28"/>
      <c r="B500" s="38"/>
      <c r="C500" s="36"/>
      <c r="D500" s="37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  <c r="CN500" s="28"/>
      <c r="CO500" s="28"/>
      <c r="CP500" s="28"/>
      <c r="CQ500" s="28"/>
      <c r="CR500" s="28"/>
      <c r="CS500" s="28"/>
      <c r="CT500" s="28"/>
      <c r="CU500" s="28"/>
      <c r="CV500" s="28"/>
      <c r="CW500" s="28"/>
      <c r="CX500" s="28"/>
      <c r="CY500" s="28"/>
      <c r="CZ500" s="28"/>
      <c r="DA500" s="28"/>
    </row>
    <row r="501" spans="1:105" x14ac:dyDescent="0.3">
      <c r="A501" s="28"/>
      <c r="B501" s="38"/>
      <c r="C501" s="36"/>
      <c r="D501" s="37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  <c r="CN501" s="28"/>
      <c r="CO501" s="28"/>
      <c r="CP501" s="28"/>
      <c r="CQ501" s="28"/>
      <c r="CR501" s="28"/>
      <c r="CS501" s="28"/>
      <c r="CT501" s="28"/>
      <c r="CU501" s="28"/>
      <c r="CV501" s="28"/>
      <c r="CW501" s="28"/>
      <c r="CX501" s="28"/>
      <c r="CY501" s="28"/>
      <c r="CZ501" s="28"/>
      <c r="DA501" s="28"/>
    </row>
    <row r="502" spans="1:105" x14ac:dyDescent="0.3">
      <c r="A502" s="28"/>
      <c r="B502" s="38"/>
      <c r="C502" s="36"/>
      <c r="D502" s="37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  <c r="CN502" s="28"/>
      <c r="CO502" s="28"/>
      <c r="CP502" s="28"/>
      <c r="CQ502" s="28"/>
      <c r="CR502" s="28"/>
      <c r="CS502" s="28"/>
      <c r="CT502" s="28"/>
      <c r="CU502" s="28"/>
      <c r="CV502" s="28"/>
      <c r="CW502" s="28"/>
      <c r="CX502" s="28"/>
      <c r="CY502" s="28"/>
      <c r="CZ502" s="28"/>
      <c r="DA502" s="28"/>
    </row>
    <row r="503" spans="1:105" x14ac:dyDescent="0.3">
      <c r="A503" s="28"/>
      <c r="B503" s="38"/>
      <c r="C503" s="36"/>
      <c r="D503" s="37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  <c r="CN503" s="28"/>
      <c r="CO503" s="28"/>
      <c r="CP503" s="28"/>
      <c r="CQ503" s="28"/>
      <c r="CR503" s="28"/>
      <c r="CS503" s="28"/>
      <c r="CT503" s="28"/>
      <c r="CU503" s="28"/>
      <c r="CV503" s="28"/>
      <c r="CW503" s="28"/>
      <c r="CX503" s="28"/>
      <c r="CY503" s="28"/>
      <c r="CZ503" s="28"/>
      <c r="DA503" s="28"/>
    </row>
    <row r="504" spans="1:105" x14ac:dyDescent="0.3">
      <c r="A504" s="28"/>
      <c r="B504" s="38"/>
      <c r="C504" s="36"/>
      <c r="D504" s="37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  <c r="CN504" s="28"/>
      <c r="CO504" s="28"/>
      <c r="CP504" s="28"/>
      <c r="CQ504" s="28"/>
      <c r="CR504" s="28"/>
      <c r="CS504" s="28"/>
      <c r="CT504" s="28"/>
      <c r="CU504" s="28"/>
      <c r="CV504" s="28"/>
      <c r="CW504" s="28"/>
      <c r="CX504" s="28"/>
      <c r="CY504" s="28"/>
      <c r="CZ504" s="28"/>
      <c r="DA504" s="28"/>
    </row>
    <row r="505" spans="1:105" x14ac:dyDescent="0.3">
      <c r="A505" s="28"/>
      <c r="B505" s="38"/>
      <c r="C505" s="36"/>
      <c r="D505" s="37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  <c r="CN505" s="28"/>
      <c r="CO505" s="28"/>
      <c r="CP505" s="28"/>
      <c r="CQ505" s="28"/>
      <c r="CR505" s="28"/>
      <c r="CS505" s="28"/>
      <c r="CT505" s="28"/>
      <c r="CU505" s="28"/>
      <c r="CV505" s="28"/>
      <c r="CW505" s="28"/>
      <c r="CX505" s="28"/>
      <c r="CY505" s="28"/>
      <c r="CZ505" s="28"/>
      <c r="DA505" s="28"/>
    </row>
    <row r="506" spans="1:105" x14ac:dyDescent="0.3">
      <c r="A506" s="28"/>
      <c r="B506" s="38"/>
      <c r="C506" s="36"/>
      <c r="D506" s="37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  <c r="CO506" s="28"/>
      <c r="CP506" s="28"/>
      <c r="CQ506" s="28"/>
      <c r="CR506" s="28"/>
      <c r="CS506" s="28"/>
      <c r="CT506" s="28"/>
      <c r="CU506" s="28"/>
      <c r="CV506" s="28"/>
      <c r="CW506" s="28"/>
      <c r="CX506" s="28"/>
      <c r="CY506" s="28"/>
      <c r="CZ506" s="28"/>
      <c r="DA506" s="28"/>
    </row>
    <row r="507" spans="1:105" x14ac:dyDescent="0.3">
      <c r="A507" s="28"/>
      <c r="B507" s="38"/>
      <c r="C507" s="36"/>
      <c r="D507" s="37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  <c r="CN507" s="28"/>
      <c r="CO507" s="28"/>
      <c r="CP507" s="28"/>
      <c r="CQ507" s="28"/>
      <c r="CR507" s="28"/>
      <c r="CS507" s="28"/>
      <c r="CT507" s="28"/>
      <c r="CU507" s="28"/>
      <c r="CV507" s="28"/>
      <c r="CW507" s="28"/>
      <c r="CX507" s="28"/>
      <c r="CY507" s="28"/>
      <c r="CZ507" s="28"/>
      <c r="DA507" s="28"/>
    </row>
    <row r="508" spans="1:105" x14ac:dyDescent="0.3">
      <c r="A508" s="28"/>
      <c r="B508" s="38"/>
      <c r="C508" s="36"/>
      <c r="D508" s="37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28"/>
      <c r="CF508" s="28"/>
      <c r="CG508" s="28"/>
      <c r="CH508" s="28"/>
      <c r="CI508" s="28"/>
      <c r="CJ508" s="28"/>
      <c r="CK508" s="28"/>
      <c r="CL508" s="28"/>
      <c r="CM508" s="28"/>
      <c r="CN508" s="28"/>
      <c r="CO508" s="28"/>
      <c r="CP508" s="28"/>
      <c r="CQ508" s="28"/>
      <c r="CR508" s="28"/>
      <c r="CS508" s="28"/>
      <c r="CT508" s="28"/>
      <c r="CU508" s="28"/>
      <c r="CV508" s="28"/>
      <c r="CW508" s="28"/>
      <c r="CX508" s="28"/>
      <c r="CY508" s="28"/>
      <c r="CZ508" s="28"/>
      <c r="DA508" s="28"/>
    </row>
    <row r="509" spans="1:105" x14ac:dyDescent="0.3">
      <c r="A509" s="28"/>
      <c r="B509" s="38"/>
      <c r="C509" s="36"/>
      <c r="D509" s="37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  <c r="CN509" s="28"/>
      <c r="CO509" s="28"/>
      <c r="CP509" s="28"/>
      <c r="CQ509" s="28"/>
      <c r="CR509" s="28"/>
      <c r="CS509" s="28"/>
      <c r="CT509" s="28"/>
      <c r="CU509" s="28"/>
      <c r="CV509" s="28"/>
      <c r="CW509" s="28"/>
      <c r="CX509" s="28"/>
      <c r="CY509" s="28"/>
      <c r="CZ509" s="28"/>
      <c r="DA509" s="28"/>
    </row>
    <row r="510" spans="1:105" x14ac:dyDescent="0.3">
      <c r="A510" s="28"/>
      <c r="B510" s="38"/>
      <c r="C510" s="36"/>
      <c r="D510" s="37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  <c r="CN510" s="28"/>
      <c r="CO510" s="28"/>
      <c r="CP510" s="28"/>
      <c r="CQ510" s="28"/>
      <c r="CR510" s="28"/>
      <c r="CS510" s="28"/>
      <c r="CT510" s="28"/>
      <c r="CU510" s="28"/>
      <c r="CV510" s="28"/>
      <c r="CW510" s="28"/>
      <c r="CX510" s="28"/>
      <c r="CY510" s="28"/>
      <c r="CZ510" s="28"/>
      <c r="DA510" s="28"/>
    </row>
    <row r="511" spans="1:105" x14ac:dyDescent="0.3">
      <c r="A511" s="28"/>
      <c r="B511" s="38"/>
      <c r="C511" s="36"/>
      <c r="D511" s="37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  <c r="CN511" s="28"/>
      <c r="CO511" s="28"/>
      <c r="CP511" s="28"/>
      <c r="CQ511" s="28"/>
      <c r="CR511" s="28"/>
      <c r="CS511" s="28"/>
      <c r="CT511" s="28"/>
      <c r="CU511" s="28"/>
      <c r="CV511" s="28"/>
      <c r="CW511" s="28"/>
      <c r="CX511" s="28"/>
      <c r="CY511" s="28"/>
      <c r="CZ511" s="28"/>
      <c r="DA511" s="28"/>
    </row>
    <row r="512" spans="1:105" x14ac:dyDescent="0.3">
      <c r="A512" s="28"/>
      <c r="B512" s="38"/>
      <c r="C512" s="36"/>
      <c r="D512" s="37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  <c r="CO512" s="28"/>
      <c r="CP512" s="28"/>
      <c r="CQ512" s="28"/>
      <c r="CR512" s="28"/>
      <c r="CS512" s="28"/>
      <c r="CT512" s="28"/>
      <c r="CU512" s="28"/>
      <c r="CV512" s="28"/>
      <c r="CW512" s="28"/>
      <c r="CX512" s="28"/>
      <c r="CY512" s="28"/>
      <c r="CZ512" s="28"/>
      <c r="DA512" s="28"/>
    </row>
    <row r="513" spans="1:105" x14ac:dyDescent="0.3">
      <c r="A513" s="28"/>
      <c r="B513" s="38"/>
      <c r="C513" s="36"/>
      <c r="D513" s="37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  <c r="CO513" s="28"/>
      <c r="CP513" s="28"/>
      <c r="CQ513" s="28"/>
      <c r="CR513" s="28"/>
      <c r="CS513" s="28"/>
      <c r="CT513" s="28"/>
      <c r="CU513" s="28"/>
      <c r="CV513" s="28"/>
      <c r="CW513" s="28"/>
      <c r="CX513" s="28"/>
      <c r="CY513" s="28"/>
      <c r="CZ513" s="28"/>
      <c r="DA513" s="28"/>
    </row>
    <row r="514" spans="1:105" x14ac:dyDescent="0.3">
      <c r="A514" s="28"/>
      <c r="B514" s="38"/>
      <c r="C514" s="36"/>
      <c r="D514" s="37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  <c r="CO514" s="28"/>
      <c r="CP514" s="28"/>
      <c r="CQ514" s="28"/>
      <c r="CR514" s="28"/>
      <c r="CS514" s="28"/>
      <c r="CT514" s="28"/>
      <c r="CU514" s="28"/>
      <c r="CV514" s="28"/>
      <c r="CW514" s="28"/>
      <c r="CX514" s="28"/>
      <c r="CY514" s="28"/>
      <c r="CZ514" s="28"/>
      <c r="DA514" s="28"/>
    </row>
    <row r="515" spans="1:105" x14ac:dyDescent="0.3">
      <c r="A515" s="28"/>
      <c r="B515" s="38"/>
      <c r="C515" s="36"/>
      <c r="D515" s="37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  <c r="CS515" s="28"/>
      <c r="CT515" s="28"/>
      <c r="CU515" s="28"/>
      <c r="CV515" s="28"/>
      <c r="CW515" s="28"/>
      <c r="CX515" s="28"/>
      <c r="CY515" s="28"/>
      <c r="CZ515" s="28"/>
      <c r="DA515" s="28"/>
    </row>
    <row r="516" spans="1:105" x14ac:dyDescent="0.3">
      <c r="A516" s="28"/>
      <c r="B516" s="38"/>
      <c r="C516" s="36"/>
      <c r="D516" s="37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  <c r="CO516" s="28"/>
      <c r="CP516" s="28"/>
      <c r="CQ516" s="28"/>
      <c r="CR516" s="28"/>
      <c r="CS516" s="28"/>
      <c r="CT516" s="28"/>
      <c r="CU516" s="28"/>
      <c r="CV516" s="28"/>
      <c r="CW516" s="28"/>
      <c r="CX516" s="28"/>
      <c r="CY516" s="28"/>
      <c r="CZ516" s="28"/>
      <c r="DA516" s="28"/>
    </row>
    <row r="517" spans="1:105" x14ac:dyDescent="0.3">
      <c r="A517" s="28"/>
      <c r="B517" s="38"/>
      <c r="C517" s="36"/>
      <c r="D517" s="37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  <c r="CS517" s="28"/>
      <c r="CT517" s="28"/>
      <c r="CU517" s="28"/>
      <c r="CV517" s="28"/>
      <c r="CW517" s="28"/>
      <c r="CX517" s="28"/>
      <c r="CY517" s="28"/>
      <c r="CZ517" s="28"/>
      <c r="DA517" s="28"/>
    </row>
    <row r="518" spans="1:105" x14ac:dyDescent="0.3">
      <c r="A518" s="28"/>
      <c r="B518" s="38"/>
      <c r="C518" s="36"/>
      <c r="D518" s="37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  <c r="CO518" s="28"/>
      <c r="CP518" s="28"/>
      <c r="CQ518" s="28"/>
      <c r="CR518" s="28"/>
      <c r="CS518" s="28"/>
      <c r="CT518" s="28"/>
      <c r="CU518" s="28"/>
      <c r="CV518" s="28"/>
      <c r="CW518" s="28"/>
      <c r="CX518" s="28"/>
      <c r="CY518" s="28"/>
      <c r="CZ518" s="28"/>
      <c r="DA518" s="28"/>
    </row>
    <row r="519" spans="1:105" x14ac:dyDescent="0.3">
      <c r="A519" s="28"/>
      <c r="B519" s="38"/>
      <c r="C519" s="36"/>
      <c r="D519" s="37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  <c r="CO519" s="28"/>
      <c r="CP519" s="28"/>
      <c r="CQ519" s="28"/>
      <c r="CR519" s="28"/>
      <c r="CS519" s="28"/>
      <c r="CT519" s="28"/>
      <c r="CU519" s="28"/>
      <c r="CV519" s="28"/>
      <c r="CW519" s="28"/>
      <c r="CX519" s="28"/>
      <c r="CY519" s="28"/>
      <c r="CZ519" s="28"/>
      <c r="DA519" s="28"/>
    </row>
    <row r="520" spans="1:105" x14ac:dyDescent="0.3">
      <c r="A520" s="28"/>
      <c r="B520" s="38"/>
      <c r="C520" s="36"/>
      <c r="D520" s="37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  <c r="CO520" s="28"/>
      <c r="CP520" s="28"/>
      <c r="CQ520" s="28"/>
      <c r="CR520" s="28"/>
      <c r="CS520" s="28"/>
      <c r="CT520" s="28"/>
      <c r="CU520" s="28"/>
      <c r="CV520" s="28"/>
      <c r="CW520" s="28"/>
      <c r="CX520" s="28"/>
      <c r="CY520" s="28"/>
      <c r="CZ520" s="28"/>
      <c r="DA520" s="28"/>
    </row>
    <row r="521" spans="1:105" x14ac:dyDescent="0.3">
      <c r="A521" s="28"/>
      <c r="B521" s="38"/>
      <c r="C521" s="36"/>
      <c r="D521" s="37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  <c r="CO521" s="28"/>
      <c r="CP521" s="28"/>
      <c r="CQ521" s="28"/>
      <c r="CR521" s="28"/>
      <c r="CS521" s="28"/>
      <c r="CT521" s="28"/>
      <c r="CU521" s="28"/>
      <c r="CV521" s="28"/>
      <c r="CW521" s="28"/>
      <c r="CX521" s="28"/>
      <c r="CY521" s="28"/>
      <c r="CZ521" s="28"/>
      <c r="DA521" s="28"/>
    </row>
    <row r="522" spans="1:105" x14ac:dyDescent="0.3">
      <c r="A522" s="28"/>
      <c r="B522" s="38"/>
      <c r="C522" s="36"/>
      <c r="D522" s="37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  <c r="CO522" s="28"/>
      <c r="CP522" s="28"/>
      <c r="CQ522" s="28"/>
      <c r="CR522" s="28"/>
      <c r="CS522" s="28"/>
      <c r="CT522" s="28"/>
      <c r="CU522" s="28"/>
      <c r="CV522" s="28"/>
      <c r="CW522" s="28"/>
      <c r="CX522" s="28"/>
      <c r="CY522" s="28"/>
      <c r="CZ522" s="28"/>
      <c r="DA522" s="28"/>
    </row>
    <row r="523" spans="1:105" x14ac:dyDescent="0.3">
      <c r="A523" s="28"/>
      <c r="B523" s="38"/>
      <c r="C523" s="36"/>
      <c r="D523" s="37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  <c r="CO523" s="28"/>
      <c r="CP523" s="28"/>
      <c r="CQ523" s="28"/>
      <c r="CR523" s="28"/>
      <c r="CS523" s="28"/>
      <c r="CT523" s="28"/>
      <c r="CU523" s="28"/>
      <c r="CV523" s="28"/>
      <c r="CW523" s="28"/>
      <c r="CX523" s="28"/>
      <c r="CY523" s="28"/>
      <c r="CZ523" s="28"/>
      <c r="DA523" s="28"/>
    </row>
    <row r="524" spans="1:105" x14ac:dyDescent="0.3">
      <c r="A524" s="28"/>
      <c r="B524" s="38"/>
      <c r="C524" s="36"/>
      <c r="D524" s="37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  <c r="CN524" s="28"/>
      <c r="CO524" s="28"/>
      <c r="CP524" s="28"/>
      <c r="CQ524" s="28"/>
      <c r="CR524" s="28"/>
      <c r="CS524" s="28"/>
      <c r="CT524" s="28"/>
      <c r="CU524" s="28"/>
      <c r="CV524" s="28"/>
      <c r="CW524" s="28"/>
      <c r="CX524" s="28"/>
      <c r="CY524" s="28"/>
      <c r="CZ524" s="28"/>
      <c r="DA524" s="28"/>
    </row>
    <row r="525" spans="1:105" x14ac:dyDescent="0.3">
      <c r="A525" s="28"/>
      <c r="B525" s="38"/>
      <c r="C525" s="36"/>
      <c r="D525" s="37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  <c r="CN525" s="28"/>
      <c r="CO525" s="28"/>
      <c r="CP525" s="28"/>
      <c r="CQ525" s="28"/>
      <c r="CR525" s="28"/>
      <c r="CS525" s="28"/>
      <c r="CT525" s="28"/>
      <c r="CU525" s="28"/>
      <c r="CV525" s="28"/>
      <c r="CW525" s="28"/>
      <c r="CX525" s="28"/>
      <c r="CY525" s="28"/>
      <c r="CZ525" s="28"/>
      <c r="DA525" s="28"/>
    </row>
    <row r="526" spans="1:105" x14ac:dyDescent="0.3">
      <c r="A526" s="28"/>
      <c r="B526" s="38"/>
      <c r="C526" s="36"/>
      <c r="D526" s="37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  <c r="CN526" s="28"/>
      <c r="CO526" s="28"/>
      <c r="CP526" s="28"/>
      <c r="CQ526" s="28"/>
      <c r="CR526" s="28"/>
      <c r="CS526" s="28"/>
      <c r="CT526" s="28"/>
      <c r="CU526" s="28"/>
      <c r="CV526" s="28"/>
      <c r="CW526" s="28"/>
      <c r="CX526" s="28"/>
      <c r="CY526" s="28"/>
      <c r="CZ526" s="28"/>
      <c r="DA526" s="28"/>
    </row>
    <row r="527" spans="1:105" x14ac:dyDescent="0.3">
      <c r="A527" s="28"/>
      <c r="B527" s="38"/>
      <c r="C527" s="36"/>
      <c r="D527" s="37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  <c r="CS527" s="28"/>
      <c r="CT527" s="28"/>
      <c r="CU527" s="28"/>
      <c r="CV527" s="28"/>
      <c r="CW527" s="28"/>
      <c r="CX527" s="28"/>
      <c r="CY527" s="28"/>
      <c r="CZ527" s="28"/>
      <c r="DA527" s="28"/>
    </row>
    <row r="528" spans="1:105" x14ac:dyDescent="0.3">
      <c r="A528" s="28"/>
      <c r="B528" s="38"/>
      <c r="C528" s="36"/>
      <c r="D528" s="37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  <c r="CN528" s="28"/>
      <c r="CO528" s="28"/>
      <c r="CP528" s="28"/>
      <c r="CQ528" s="28"/>
      <c r="CR528" s="28"/>
      <c r="CS528" s="28"/>
      <c r="CT528" s="28"/>
      <c r="CU528" s="28"/>
      <c r="CV528" s="28"/>
      <c r="CW528" s="28"/>
      <c r="CX528" s="28"/>
      <c r="CY528" s="28"/>
      <c r="CZ528" s="28"/>
      <c r="DA528" s="28"/>
    </row>
    <row r="529" spans="1:105" x14ac:dyDescent="0.3">
      <c r="A529" s="28"/>
      <c r="B529" s="38"/>
      <c r="C529" s="36"/>
      <c r="D529" s="37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  <c r="CN529" s="28"/>
      <c r="CO529" s="28"/>
      <c r="CP529" s="28"/>
      <c r="CQ529" s="28"/>
      <c r="CR529" s="28"/>
      <c r="CS529" s="28"/>
      <c r="CT529" s="28"/>
      <c r="CU529" s="28"/>
      <c r="CV529" s="28"/>
      <c r="CW529" s="28"/>
      <c r="CX529" s="28"/>
      <c r="CY529" s="28"/>
      <c r="CZ529" s="28"/>
      <c r="DA529" s="28"/>
    </row>
    <row r="530" spans="1:105" x14ac:dyDescent="0.3">
      <c r="A530" s="28"/>
      <c r="B530" s="38"/>
      <c r="C530" s="36"/>
      <c r="D530" s="37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  <c r="CN530" s="28"/>
      <c r="CO530" s="28"/>
      <c r="CP530" s="28"/>
      <c r="CQ530" s="28"/>
      <c r="CR530" s="28"/>
      <c r="CS530" s="28"/>
      <c r="CT530" s="28"/>
      <c r="CU530" s="28"/>
      <c r="CV530" s="28"/>
      <c r="CW530" s="28"/>
      <c r="CX530" s="28"/>
      <c r="CY530" s="28"/>
      <c r="CZ530" s="28"/>
      <c r="DA530" s="28"/>
    </row>
    <row r="531" spans="1:105" x14ac:dyDescent="0.3">
      <c r="A531" s="28"/>
      <c r="B531" s="38"/>
      <c r="C531" s="36"/>
      <c r="D531" s="37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  <c r="CO531" s="28"/>
      <c r="CP531" s="28"/>
      <c r="CQ531" s="28"/>
      <c r="CR531" s="28"/>
      <c r="CS531" s="28"/>
      <c r="CT531" s="28"/>
      <c r="CU531" s="28"/>
      <c r="CV531" s="28"/>
      <c r="CW531" s="28"/>
      <c r="CX531" s="28"/>
      <c r="CY531" s="28"/>
      <c r="CZ531" s="28"/>
      <c r="DA531" s="28"/>
    </row>
    <row r="532" spans="1:105" x14ac:dyDescent="0.3">
      <c r="A532" s="28"/>
      <c r="B532" s="38"/>
      <c r="C532" s="36"/>
      <c r="D532" s="37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  <c r="CS532" s="28"/>
      <c r="CT532" s="28"/>
      <c r="CU532" s="28"/>
      <c r="CV532" s="28"/>
      <c r="CW532" s="28"/>
      <c r="CX532" s="28"/>
      <c r="CY532" s="28"/>
      <c r="CZ532" s="28"/>
      <c r="DA532" s="28"/>
    </row>
    <row r="533" spans="1:105" x14ac:dyDescent="0.3">
      <c r="A533" s="28"/>
      <c r="B533" s="38"/>
      <c r="C533" s="36"/>
      <c r="D533" s="37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  <c r="CN533" s="28"/>
      <c r="CO533" s="28"/>
      <c r="CP533" s="28"/>
      <c r="CQ533" s="28"/>
      <c r="CR533" s="28"/>
      <c r="CS533" s="28"/>
      <c r="CT533" s="28"/>
      <c r="CU533" s="28"/>
      <c r="CV533" s="28"/>
      <c r="CW533" s="28"/>
      <c r="CX533" s="28"/>
      <c r="CY533" s="28"/>
      <c r="CZ533" s="28"/>
      <c r="DA533" s="28"/>
    </row>
    <row r="534" spans="1:105" x14ac:dyDescent="0.3">
      <c r="A534" s="28"/>
      <c r="B534" s="38"/>
      <c r="C534" s="36"/>
      <c r="D534" s="37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  <c r="CS534" s="28"/>
      <c r="CT534" s="28"/>
      <c r="CU534" s="28"/>
      <c r="CV534" s="28"/>
      <c r="CW534" s="28"/>
      <c r="CX534" s="28"/>
      <c r="CY534" s="28"/>
      <c r="CZ534" s="28"/>
      <c r="DA534" s="28"/>
    </row>
    <row r="535" spans="1:105" x14ac:dyDescent="0.3">
      <c r="A535" s="28"/>
      <c r="B535" s="38"/>
      <c r="C535" s="36"/>
      <c r="D535" s="37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  <c r="CN535" s="28"/>
      <c r="CO535" s="28"/>
      <c r="CP535" s="28"/>
      <c r="CQ535" s="28"/>
      <c r="CR535" s="28"/>
      <c r="CS535" s="28"/>
      <c r="CT535" s="28"/>
      <c r="CU535" s="28"/>
      <c r="CV535" s="28"/>
      <c r="CW535" s="28"/>
      <c r="CX535" s="28"/>
      <c r="CY535" s="28"/>
      <c r="CZ535" s="28"/>
      <c r="DA535" s="28"/>
    </row>
    <row r="536" spans="1:105" x14ac:dyDescent="0.3">
      <c r="A536" s="28"/>
      <c r="B536" s="38"/>
      <c r="C536" s="36"/>
      <c r="D536" s="37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  <c r="CN536" s="28"/>
      <c r="CO536" s="28"/>
      <c r="CP536" s="28"/>
      <c r="CQ536" s="28"/>
      <c r="CR536" s="28"/>
      <c r="CS536" s="28"/>
      <c r="CT536" s="28"/>
      <c r="CU536" s="28"/>
      <c r="CV536" s="28"/>
      <c r="CW536" s="28"/>
      <c r="CX536" s="28"/>
      <c r="CY536" s="28"/>
      <c r="CZ536" s="28"/>
      <c r="DA536" s="28"/>
    </row>
    <row r="537" spans="1:105" x14ac:dyDescent="0.3">
      <c r="A537" s="28"/>
      <c r="B537" s="38"/>
      <c r="C537" s="36"/>
      <c r="D537" s="37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  <c r="CN537" s="28"/>
      <c r="CO537" s="28"/>
      <c r="CP537" s="28"/>
      <c r="CQ537" s="28"/>
      <c r="CR537" s="28"/>
      <c r="CS537" s="28"/>
      <c r="CT537" s="28"/>
      <c r="CU537" s="28"/>
      <c r="CV537" s="28"/>
      <c r="CW537" s="28"/>
      <c r="CX537" s="28"/>
      <c r="CY537" s="28"/>
      <c r="CZ537" s="28"/>
      <c r="DA537" s="28"/>
    </row>
    <row r="538" spans="1:105" x14ac:dyDescent="0.3">
      <c r="A538" s="28"/>
      <c r="B538" s="38"/>
      <c r="C538" s="36"/>
      <c r="D538" s="37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  <c r="CN538" s="28"/>
      <c r="CO538" s="28"/>
      <c r="CP538" s="28"/>
      <c r="CQ538" s="28"/>
      <c r="CR538" s="28"/>
      <c r="CS538" s="28"/>
      <c r="CT538" s="28"/>
      <c r="CU538" s="28"/>
      <c r="CV538" s="28"/>
      <c r="CW538" s="28"/>
      <c r="CX538" s="28"/>
      <c r="CY538" s="28"/>
      <c r="CZ538" s="28"/>
      <c r="DA538" s="28"/>
    </row>
    <row r="539" spans="1:105" x14ac:dyDescent="0.3">
      <c r="A539" s="28"/>
      <c r="B539" s="38"/>
      <c r="C539" s="36"/>
      <c r="D539" s="37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  <c r="CN539" s="28"/>
      <c r="CO539" s="28"/>
      <c r="CP539" s="28"/>
      <c r="CQ539" s="28"/>
      <c r="CR539" s="28"/>
      <c r="CS539" s="28"/>
      <c r="CT539" s="28"/>
      <c r="CU539" s="28"/>
      <c r="CV539" s="28"/>
      <c r="CW539" s="28"/>
      <c r="CX539" s="28"/>
      <c r="CY539" s="28"/>
      <c r="CZ539" s="28"/>
      <c r="DA539" s="28"/>
    </row>
    <row r="540" spans="1:105" x14ac:dyDescent="0.3">
      <c r="A540" s="28"/>
      <c r="B540" s="38"/>
      <c r="C540" s="36"/>
      <c r="D540" s="37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  <c r="CJ540" s="28"/>
      <c r="CK540" s="28"/>
      <c r="CL540" s="28"/>
      <c r="CM540" s="28"/>
      <c r="CN540" s="28"/>
      <c r="CO540" s="28"/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  <c r="DA540" s="28"/>
    </row>
    <row r="541" spans="1:105" x14ac:dyDescent="0.3">
      <c r="A541" s="28"/>
      <c r="B541" s="38"/>
      <c r="C541" s="36"/>
      <c r="D541" s="37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28"/>
      <c r="CF541" s="28"/>
      <c r="CG541" s="28"/>
      <c r="CH541" s="28"/>
      <c r="CI541" s="28"/>
      <c r="CJ541" s="28"/>
      <c r="CK541" s="28"/>
      <c r="CL541" s="28"/>
      <c r="CM541" s="28"/>
      <c r="CN541" s="28"/>
      <c r="CO541" s="28"/>
      <c r="CP541" s="28"/>
      <c r="CQ541" s="28"/>
      <c r="CR541" s="28"/>
      <c r="CS541" s="28"/>
      <c r="CT541" s="28"/>
      <c r="CU541" s="28"/>
      <c r="CV541" s="28"/>
      <c r="CW541" s="28"/>
      <c r="CX541" s="28"/>
      <c r="CY541" s="28"/>
      <c r="CZ541" s="28"/>
      <c r="DA541" s="28"/>
    </row>
    <row r="542" spans="1:105" x14ac:dyDescent="0.3">
      <c r="A542" s="28"/>
      <c r="B542" s="38"/>
      <c r="C542" s="36"/>
      <c r="D542" s="37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28"/>
      <c r="CF542" s="28"/>
      <c r="CG542" s="28"/>
      <c r="CH542" s="28"/>
      <c r="CI542" s="28"/>
      <c r="CJ542" s="28"/>
      <c r="CK542" s="28"/>
      <c r="CL542" s="28"/>
      <c r="CM542" s="28"/>
      <c r="CN542" s="28"/>
      <c r="CO542" s="28"/>
      <c r="CP542" s="28"/>
      <c r="CQ542" s="28"/>
      <c r="CR542" s="28"/>
      <c r="CS542" s="28"/>
      <c r="CT542" s="28"/>
      <c r="CU542" s="28"/>
      <c r="CV542" s="28"/>
      <c r="CW542" s="28"/>
      <c r="CX542" s="28"/>
      <c r="CY542" s="28"/>
      <c r="CZ542" s="28"/>
      <c r="DA542" s="28"/>
    </row>
    <row r="543" spans="1:105" x14ac:dyDescent="0.3">
      <c r="A543" s="28"/>
      <c r="B543" s="38"/>
      <c r="C543" s="36"/>
      <c r="D543" s="37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</row>
    <row r="544" spans="1:105" x14ac:dyDescent="0.3">
      <c r="A544" s="28"/>
      <c r="B544" s="38"/>
      <c r="C544" s="36"/>
      <c r="D544" s="37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</row>
    <row r="545" spans="1:105" x14ac:dyDescent="0.3">
      <c r="A545" s="28"/>
      <c r="B545" s="38"/>
      <c r="C545" s="36"/>
      <c r="D545" s="37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  <c r="CS545" s="28"/>
      <c r="CT545" s="28"/>
      <c r="CU545" s="28"/>
      <c r="CV545" s="28"/>
      <c r="CW545" s="28"/>
      <c r="CX545" s="28"/>
      <c r="CY545" s="28"/>
      <c r="CZ545" s="28"/>
      <c r="DA545" s="28"/>
    </row>
    <row r="546" spans="1:105" x14ac:dyDescent="0.3">
      <c r="A546" s="28"/>
      <c r="B546" s="38"/>
      <c r="C546" s="36"/>
      <c r="D546" s="37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  <c r="CO546" s="28"/>
      <c r="CP546" s="28"/>
      <c r="CQ546" s="28"/>
      <c r="CR546" s="28"/>
      <c r="CS546" s="28"/>
      <c r="CT546" s="28"/>
      <c r="CU546" s="28"/>
      <c r="CV546" s="28"/>
      <c r="CW546" s="28"/>
      <c r="CX546" s="28"/>
      <c r="CY546" s="28"/>
      <c r="CZ546" s="28"/>
      <c r="DA546" s="28"/>
    </row>
    <row r="547" spans="1:105" x14ac:dyDescent="0.3">
      <c r="A547" s="28"/>
      <c r="B547" s="38"/>
      <c r="C547" s="36"/>
      <c r="D547" s="37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8"/>
      <c r="CQ547" s="28"/>
      <c r="CR547" s="28"/>
      <c r="CS547" s="28"/>
      <c r="CT547" s="28"/>
      <c r="CU547" s="28"/>
      <c r="CV547" s="28"/>
      <c r="CW547" s="28"/>
      <c r="CX547" s="28"/>
      <c r="CY547" s="28"/>
      <c r="CZ547" s="28"/>
      <c r="DA547" s="28"/>
    </row>
    <row r="548" spans="1:105" x14ac:dyDescent="0.3">
      <c r="A548" s="28"/>
      <c r="B548" s="38"/>
      <c r="C548" s="36"/>
      <c r="D548" s="37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</row>
    <row r="549" spans="1:105" x14ac:dyDescent="0.3">
      <c r="A549" s="28"/>
      <c r="B549" s="38"/>
      <c r="C549" s="36"/>
      <c r="D549" s="37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  <c r="CS549" s="28"/>
      <c r="CT549" s="28"/>
      <c r="CU549" s="28"/>
      <c r="CV549" s="28"/>
      <c r="CW549" s="28"/>
      <c r="CX549" s="28"/>
      <c r="CY549" s="28"/>
      <c r="CZ549" s="28"/>
      <c r="DA549" s="28"/>
    </row>
    <row r="550" spans="1:105" x14ac:dyDescent="0.3">
      <c r="A550" s="28"/>
      <c r="B550" s="38"/>
      <c r="C550" s="36"/>
      <c r="D550" s="37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  <c r="CO550" s="28"/>
      <c r="CP550" s="28"/>
      <c r="CQ550" s="28"/>
      <c r="CR550" s="28"/>
      <c r="CS550" s="28"/>
      <c r="CT550" s="28"/>
      <c r="CU550" s="28"/>
      <c r="CV550" s="28"/>
      <c r="CW550" s="28"/>
      <c r="CX550" s="28"/>
      <c r="CY550" s="28"/>
      <c r="CZ550" s="28"/>
      <c r="DA550" s="28"/>
    </row>
    <row r="551" spans="1:105" x14ac:dyDescent="0.3">
      <c r="A551" s="28"/>
      <c r="B551" s="38"/>
      <c r="C551" s="36"/>
      <c r="D551" s="37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CO551" s="28"/>
      <c r="CP551" s="28"/>
      <c r="CQ551" s="28"/>
      <c r="CR551" s="28"/>
      <c r="CS551" s="28"/>
      <c r="CT551" s="28"/>
      <c r="CU551" s="28"/>
      <c r="CV551" s="28"/>
      <c r="CW551" s="28"/>
      <c r="CX551" s="28"/>
      <c r="CY551" s="28"/>
      <c r="CZ551" s="28"/>
      <c r="DA551" s="28"/>
    </row>
    <row r="552" spans="1:105" x14ac:dyDescent="0.3">
      <c r="A552" s="28"/>
      <c r="B552" s="38"/>
      <c r="C552" s="36"/>
      <c r="D552" s="37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  <c r="CQ552" s="28"/>
      <c r="CR552" s="28"/>
      <c r="CS552" s="28"/>
      <c r="CT552" s="28"/>
      <c r="CU552" s="28"/>
      <c r="CV552" s="28"/>
      <c r="CW552" s="28"/>
      <c r="CX552" s="28"/>
      <c r="CY552" s="28"/>
      <c r="CZ552" s="28"/>
      <c r="DA552" s="28"/>
    </row>
    <row r="553" spans="1:105" x14ac:dyDescent="0.3">
      <c r="A553" s="28"/>
      <c r="B553" s="38"/>
      <c r="C553" s="36"/>
      <c r="D553" s="37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  <c r="CO553" s="28"/>
      <c r="CP553" s="28"/>
      <c r="CQ553" s="28"/>
      <c r="CR553" s="28"/>
      <c r="CS553" s="28"/>
      <c r="CT553" s="28"/>
      <c r="CU553" s="28"/>
      <c r="CV553" s="28"/>
      <c r="CW553" s="28"/>
      <c r="CX553" s="28"/>
      <c r="CY553" s="28"/>
      <c r="CZ553" s="28"/>
      <c r="DA553" s="28"/>
    </row>
    <row r="554" spans="1:105" x14ac:dyDescent="0.3">
      <c r="A554" s="28"/>
      <c r="B554" s="38"/>
      <c r="C554" s="36"/>
      <c r="D554" s="37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  <c r="CN554" s="28"/>
      <c r="CO554" s="28"/>
      <c r="CP554" s="28"/>
      <c r="CQ554" s="28"/>
      <c r="CR554" s="28"/>
      <c r="CS554" s="28"/>
      <c r="CT554" s="28"/>
      <c r="CU554" s="28"/>
      <c r="CV554" s="28"/>
      <c r="CW554" s="28"/>
      <c r="CX554" s="28"/>
      <c r="CY554" s="28"/>
      <c r="CZ554" s="28"/>
      <c r="DA554" s="28"/>
    </row>
    <row r="555" spans="1:105" x14ac:dyDescent="0.3">
      <c r="A555" s="28"/>
      <c r="B555" s="38"/>
      <c r="C555" s="36"/>
      <c r="D555" s="37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</row>
    <row r="556" spans="1:105" x14ac:dyDescent="0.3">
      <c r="A556" s="28"/>
      <c r="B556" s="38"/>
      <c r="C556" s="36"/>
      <c r="D556" s="37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  <c r="CQ556" s="28"/>
      <c r="CR556" s="28"/>
      <c r="CS556" s="28"/>
      <c r="CT556" s="28"/>
      <c r="CU556" s="28"/>
      <c r="CV556" s="28"/>
      <c r="CW556" s="28"/>
      <c r="CX556" s="28"/>
      <c r="CY556" s="28"/>
      <c r="CZ556" s="28"/>
      <c r="DA556" s="28"/>
    </row>
    <row r="557" spans="1:105" x14ac:dyDescent="0.3">
      <c r="A557" s="28"/>
      <c r="B557" s="38"/>
      <c r="C557" s="36"/>
      <c r="D557" s="37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  <c r="CN557" s="28"/>
      <c r="CO557" s="28"/>
      <c r="CP557" s="28"/>
      <c r="CQ557" s="28"/>
      <c r="CR557" s="28"/>
      <c r="CS557" s="28"/>
      <c r="CT557" s="28"/>
      <c r="CU557" s="28"/>
      <c r="CV557" s="28"/>
      <c r="CW557" s="28"/>
      <c r="CX557" s="28"/>
      <c r="CY557" s="28"/>
      <c r="CZ557" s="28"/>
      <c r="DA557" s="28"/>
    </row>
    <row r="558" spans="1:105" x14ac:dyDescent="0.3">
      <c r="A558" s="28"/>
      <c r="B558" s="38"/>
      <c r="C558" s="36"/>
      <c r="D558" s="37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  <c r="CO558" s="28"/>
      <c r="CP558" s="28"/>
      <c r="CQ558" s="28"/>
      <c r="CR558" s="28"/>
      <c r="CS558" s="28"/>
      <c r="CT558" s="28"/>
      <c r="CU558" s="28"/>
      <c r="CV558" s="28"/>
      <c r="CW558" s="28"/>
      <c r="CX558" s="28"/>
      <c r="CY558" s="28"/>
      <c r="CZ558" s="28"/>
      <c r="DA558" s="28"/>
    </row>
    <row r="559" spans="1:105" x14ac:dyDescent="0.3">
      <c r="A559" s="28"/>
      <c r="B559" s="38"/>
      <c r="C559" s="36"/>
      <c r="D559" s="37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  <c r="CO559" s="28"/>
      <c r="CP559" s="28"/>
      <c r="CQ559" s="28"/>
      <c r="CR559" s="28"/>
      <c r="CS559" s="28"/>
      <c r="CT559" s="28"/>
      <c r="CU559" s="28"/>
      <c r="CV559" s="28"/>
      <c r="CW559" s="28"/>
      <c r="CX559" s="28"/>
      <c r="CY559" s="28"/>
      <c r="CZ559" s="28"/>
      <c r="DA559" s="28"/>
    </row>
    <row r="560" spans="1:105" x14ac:dyDescent="0.3">
      <c r="A560" s="28"/>
      <c r="B560" s="38"/>
      <c r="C560" s="36"/>
      <c r="D560" s="37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  <c r="CN560" s="28"/>
      <c r="CO560" s="28"/>
      <c r="CP560" s="28"/>
      <c r="CQ560" s="28"/>
      <c r="CR560" s="28"/>
      <c r="CS560" s="28"/>
      <c r="CT560" s="28"/>
      <c r="CU560" s="28"/>
      <c r="CV560" s="28"/>
      <c r="CW560" s="28"/>
      <c r="CX560" s="28"/>
      <c r="CY560" s="28"/>
      <c r="CZ560" s="28"/>
      <c r="DA560" s="28"/>
    </row>
    <row r="561" spans="1:105" x14ac:dyDescent="0.3">
      <c r="A561" s="28"/>
      <c r="B561" s="38"/>
      <c r="C561" s="36"/>
      <c r="D561" s="37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  <c r="CN561" s="28"/>
      <c r="CO561" s="28"/>
      <c r="CP561" s="28"/>
      <c r="CQ561" s="28"/>
      <c r="CR561" s="28"/>
      <c r="CS561" s="28"/>
      <c r="CT561" s="28"/>
      <c r="CU561" s="28"/>
      <c r="CV561" s="28"/>
      <c r="CW561" s="28"/>
      <c r="CX561" s="28"/>
      <c r="CY561" s="28"/>
      <c r="CZ561" s="28"/>
      <c r="DA561" s="28"/>
    </row>
    <row r="562" spans="1:105" x14ac:dyDescent="0.3">
      <c r="A562" s="28"/>
      <c r="B562" s="38"/>
      <c r="C562" s="36"/>
      <c r="D562" s="37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  <c r="CO562" s="28"/>
      <c r="CP562" s="28"/>
      <c r="CQ562" s="28"/>
      <c r="CR562" s="28"/>
      <c r="CS562" s="28"/>
      <c r="CT562" s="28"/>
      <c r="CU562" s="28"/>
      <c r="CV562" s="28"/>
      <c r="CW562" s="28"/>
      <c r="CX562" s="28"/>
      <c r="CY562" s="28"/>
      <c r="CZ562" s="28"/>
      <c r="DA562" s="28"/>
    </row>
    <row r="563" spans="1:105" x14ac:dyDescent="0.3">
      <c r="A563" s="28"/>
      <c r="B563" s="38"/>
      <c r="C563" s="36"/>
      <c r="D563" s="37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  <c r="CN563" s="28"/>
      <c r="CO563" s="28"/>
      <c r="CP563" s="28"/>
      <c r="CQ563" s="28"/>
      <c r="CR563" s="28"/>
      <c r="CS563" s="28"/>
      <c r="CT563" s="28"/>
      <c r="CU563" s="28"/>
      <c r="CV563" s="28"/>
      <c r="CW563" s="28"/>
      <c r="CX563" s="28"/>
      <c r="CY563" s="28"/>
      <c r="CZ563" s="28"/>
      <c r="DA563" s="28"/>
    </row>
    <row r="564" spans="1:105" x14ac:dyDescent="0.3">
      <c r="A564" s="28"/>
      <c r="B564" s="38"/>
      <c r="C564" s="36"/>
      <c r="D564" s="37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  <c r="CS564" s="28"/>
      <c r="CT564" s="28"/>
      <c r="CU564" s="28"/>
      <c r="CV564" s="28"/>
      <c r="CW564" s="28"/>
      <c r="CX564" s="28"/>
      <c r="CY564" s="28"/>
      <c r="CZ564" s="28"/>
      <c r="DA564" s="28"/>
    </row>
    <row r="565" spans="1:105" x14ac:dyDescent="0.3">
      <c r="A565" s="28"/>
      <c r="B565" s="38"/>
      <c r="C565" s="36"/>
      <c r="D565" s="37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  <c r="CN565" s="28"/>
      <c r="CO565" s="28"/>
      <c r="CP565" s="28"/>
      <c r="CQ565" s="28"/>
      <c r="CR565" s="28"/>
      <c r="CS565" s="28"/>
      <c r="CT565" s="28"/>
      <c r="CU565" s="28"/>
      <c r="CV565" s="28"/>
      <c r="CW565" s="28"/>
      <c r="CX565" s="28"/>
      <c r="CY565" s="28"/>
      <c r="CZ565" s="28"/>
      <c r="DA565" s="28"/>
    </row>
    <row r="566" spans="1:105" x14ac:dyDescent="0.3">
      <c r="A566" s="28"/>
      <c r="B566" s="38"/>
      <c r="C566" s="36"/>
      <c r="D566" s="37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  <c r="CN566" s="28"/>
      <c r="CO566" s="28"/>
      <c r="CP566" s="28"/>
      <c r="CQ566" s="28"/>
      <c r="CR566" s="28"/>
      <c r="CS566" s="28"/>
      <c r="CT566" s="28"/>
      <c r="CU566" s="28"/>
      <c r="CV566" s="28"/>
      <c r="CW566" s="28"/>
      <c r="CX566" s="28"/>
      <c r="CY566" s="28"/>
      <c r="CZ566" s="28"/>
      <c r="DA566" s="28"/>
    </row>
    <row r="567" spans="1:105" x14ac:dyDescent="0.3">
      <c r="A567" s="28"/>
      <c r="B567" s="38"/>
      <c r="C567" s="36"/>
      <c r="D567" s="37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  <c r="CN567" s="28"/>
      <c r="CO567" s="28"/>
      <c r="CP567" s="28"/>
      <c r="CQ567" s="28"/>
      <c r="CR567" s="28"/>
      <c r="CS567" s="28"/>
      <c r="CT567" s="28"/>
      <c r="CU567" s="28"/>
      <c r="CV567" s="28"/>
      <c r="CW567" s="28"/>
      <c r="CX567" s="28"/>
      <c r="CY567" s="28"/>
      <c r="CZ567" s="28"/>
      <c r="DA567" s="28"/>
    </row>
    <row r="568" spans="1:105" x14ac:dyDescent="0.3">
      <c r="A568" s="28"/>
      <c r="B568" s="38"/>
      <c r="C568" s="36"/>
      <c r="D568" s="37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  <c r="CN568" s="28"/>
      <c r="CO568" s="28"/>
      <c r="CP568" s="28"/>
      <c r="CQ568" s="28"/>
      <c r="CR568" s="28"/>
      <c r="CS568" s="28"/>
      <c r="CT568" s="28"/>
      <c r="CU568" s="28"/>
      <c r="CV568" s="28"/>
      <c r="CW568" s="28"/>
      <c r="CX568" s="28"/>
      <c r="CY568" s="28"/>
      <c r="CZ568" s="28"/>
      <c r="DA568" s="28"/>
    </row>
    <row r="569" spans="1:105" x14ac:dyDescent="0.3">
      <c r="A569" s="28"/>
      <c r="B569" s="38"/>
      <c r="C569" s="36"/>
      <c r="D569" s="37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  <c r="CN569" s="28"/>
      <c r="CO569" s="28"/>
      <c r="CP569" s="28"/>
      <c r="CQ569" s="28"/>
      <c r="CR569" s="28"/>
      <c r="CS569" s="28"/>
      <c r="CT569" s="28"/>
      <c r="CU569" s="28"/>
      <c r="CV569" s="28"/>
      <c r="CW569" s="28"/>
      <c r="CX569" s="28"/>
      <c r="CY569" s="28"/>
      <c r="CZ569" s="28"/>
      <c r="DA569" s="28"/>
    </row>
    <row r="570" spans="1:105" x14ac:dyDescent="0.3">
      <c r="A570" s="28"/>
      <c r="B570" s="38"/>
      <c r="C570" s="36"/>
      <c r="D570" s="37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  <c r="CN570" s="28"/>
      <c r="CO570" s="28"/>
      <c r="CP570" s="28"/>
      <c r="CQ570" s="28"/>
      <c r="CR570" s="28"/>
      <c r="CS570" s="28"/>
      <c r="CT570" s="28"/>
      <c r="CU570" s="28"/>
      <c r="CV570" s="28"/>
      <c r="CW570" s="28"/>
      <c r="CX570" s="28"/>
      <c r="CY570" s="28"/>
      <c r="CZ570" s="28"/>
      <c r="DA570" s="28"/>
    </row>
    <row r="571" spans="1:105" x14ac:dyDescent="0.3">
      <c r="A571" s="28"/>
      <c r="B571" s="38"/>
      <c r="C571" s="36"/>
      <c r="D571" s="37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  <c r="CN571" s="28"/>
      <c r="CO571" s="28"/>
      <c r="CP571" s="28"/>
      <c r="CQ571" s="28"/>
      <c r="CR571" s="28"/>
      <c r="CS571" s="28"/>
      <c r="CT571" s="28"/>
      <c r="CU571" s="28"/>
      <c r="CV571" s="28"/>
      <c r="CW571" s="28"/>
      <c r="CX571" s="28"/>
      <c r="CY571" s="28"/>
      <c r="CZ571" s="28"/>
      <c r="DA571" s="28"/>
    </row>
    <row r="572" spans="1:105" x14ac:dyDescent="0.3">
      <c r="A572" s="28"/>
      <c r="B572" s="38"/>
      <c r="C572" s="36"/>
      <c r="D572" s="37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  <c r="CO572" s="28"/>
      <c r="CP572" s="28"/>
      <c r="CQ572" s="28"/>
      <c r="CR572" s="28"/>
      <c r="CS572" s="28"/>
      <c r="CT572" s="28"/>
      <c r="CU572" s="28"/>
      <c r="CV572" s="28"/>
      <c r="CW572" s="28"/>
      <c r="CX572" s="28"/>
      <c r="CY572" s="28"/>
      <c r="CZ572" s="28"/>
      <c r="DA572" s="28"/>
    </row>
    <row r="573" spans="1:105" x14ac:dyDescent="0.3">
      <c r="A573" s="28"/>
      <c r="B573" s="38"/>
      <c r="C573" s="36"/>
      <c r="D573" s="37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  <c r="CO573" s="28"/>
      <c r="CP573" s="28"/>
      <c r="CQ573" s="28"/>
      <c r="CR573" s="28"/>
      <c r="CS573" s="28"/>
      <c r="CT573" s="28"/>
      <c r="CU573" s="28"/>
      <c r="CV573" s="28"/>
      <c r="CW573" s="28"/>
      <c r="CX573" s="28"/>
      <c r="CY573" s="28"/>
      <c r="CZ573" s="28"/>
      <c r="DA573" s="28"/>
    </row>
    <row r="574" spans="1:105" x14ac:dyDescent="0.3">
      <c r="A574" s="28"/>
      <c r="B574" s="38"/>
      <c r="C574" s="36"/>
      <c r="D574" s="37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  <c r="CN574" s="28"/>
      <c r="CO574" s="28"/>
      <c r="CP574" s="28"/>
      <c r="CQ574" s="28"/>
      <c r="CR574" s="28"/>
      <c r="CS574" s="28"/>
      <c r="CT574" s="28"/>
      <c r="CU574" s="28"/>
      <c r="CV574" s="28"/>
      <c r="CW574" s="28"/>
      <c r="CX574" s="28"/>
      <c r="CY574" s="28"/>
      <c r="CZ574" s="28"/>
      <c r="DA574" s="28"/>
    </row>
    <row r="575" spans="1:105" x14ac:dyDescent="0.3">
      <c r="A575" s="28"/>
      <c r="B575" s="38"/>
      <c r="C575" s="36"/>
      <c r="D575" s="37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  <c r="CO575" s="28"/>
      <c r="CP575" s="28"/>
      <c r="CQ575" s="28"/>
      <c r="CR575" s="28"/>
      <c r="CS575" s="28"/>
      <c r="CT575" s="28"/>
      <c r="CU575" s="28"/>
      <c r="CV575" s="28"/>
      <c r="CW575" s="28"/>
      <c r="CX575" s="28"/>
      <c r="CY575" s="28"/>
      <c r="CZ575" s="28"/>
      <c r="DA575" s="28"/>
    </row>
    <row r="576" spans="1:105" x14ac:dyDescent="0.3">
      <c r="A576" s="28"/>
      <c r="B576" s="38"/>
      <c r="C576" s="36"/>
      <c r="D576" s="37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  <c r="CZ576" s="28"/>
      <c r="DA576" s="28"/>
    </row>
    <row r="577" spans="1:105" x14ac:dyDescent="0.3">
      <c r="A577" s="28"/>
      <c r="B577" s="38"/>
      <c r="C577" s="36"/>
      <c r="D577" s="37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  <c r="CS577" s="28"/>
      <c r="CT577" s="28"/>
      <c r="CU577" s="28"/>
      <c r="CV577" s="28"/>
      <c r="CW577" s="28"/>
      <c r="CX577" s="28"/>
      <c r="CY577" s="28"/>
      <c r="CZ577" s="28"/>
      <c r="DA577" s="28"/>
    </row>
    <row r="578" spans="1:105" x14ac:dyDescent="0.3">
      <c r="A578" s="28"/>
      <c r="B578" s="38"/>
      <c r="C578" s="36"/>
      <c r="D578" s="37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  <c r="CN578" s="28"/>
      <c r="CO578" s="28"/>
      <c r="CP578" s="28"/>
      <c r="CQ578" s="28"/>
      <c r="CR578" s="28"/>
      <c r="CS578" s="28"/>
      <c r="CT578" s="28"/>
      <c r="CU578" s="28"/>
      <c r="CV578" s="28"/>
      <c r="CW578" s="28"/>
      <c r="CX578" s="28"/>
      <c r="CY578" s="28"/>
      <c r="CZ578" s="28"/>
      <c r="DA578" s="28"/>
    </row>
    <row r="579" spans="1:105" x14ac:dyDescent="0.3">
      <c r="A579" s="28"/>
      <c r="B579" s="38"/>
      <c r="C579" s="36"/>
      <c r="D579" s="37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  <c r="CN579" s="28"/>
      <c r="CO579" s="28"/>
      <c r="CP579" s="28"/>
      <c r="CQ579" s="28"/>
      <c r="CR579" s="28"/>
      <c r="CS579" s="28"/>
      <c r="CT579" s="28"/>
      <c r="CU579" s="28"/>
      <c r="CV579" s="28"/>
      <c r="CW579" s="28"/>
      <c r="CX579" s="28"/>
      <c r="CY579" s="28"/>
      <c r="CZ579" s="28"/>
      <c r="DA579" s="28"/>
    </row>
    <row r="580" spans="1:105" x14ac:dyDescent="0.3">
      <c r="A580" s="28"/>
      <c r="B580" s="38"/>
      <c r="C580" s="36"/>
      <c r="D580" s="37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  <c r="CQ580" s="28"/>
      <c r="CR580" s="28"/>
      <c r="CS580" s="28"/>
      <c r="CT580" s="28"/>
      <c r="CU580" s="28"/>
      <c r="CV580" s="28"/>
      <c r="CW580" s="28"/>
      <c r="CX580" s="28"/>
      <c r="CY580" s="28"/>
      <c r="CZ580" s="28"/>
      <c r="DA580" s="28"/>
    </row>
    <row r="581" spans="1:105" x14ac:dyDescent="0.3">
      <c r="A581" s="28"/>
      <c r="B581" s="38"/>
      <c r="C581" s="36"/>
      <c r="D581" s="37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  <c r="CN581" s="28"/>
      <c r="CO581" s="28"/>
      <c r="CP581" s="28"/>
      <c r="CQ581" s="28"/>
      <c r="CR581" s="28"/>
      <c r="CS581" s="28"/>
      <c r="CT581" s="28"/>
      <c r="CU581" s="28"/>
      <c r="CV581" s="28"/>
      <c r="CW581" s="28"/>
      <c r="CX581" s="28"/>
      <c r="CY581" s="28"/>
      <c r="CZ581" s="28"/>
      <c r="DA581" s="28"/>
    </row>
    <row r="582" spans="1:105" x14ac:dyDescent="0.3">
      <c r="A582" s="28"/>
      <c r="B582" s="38"/>
      <c r="C582" s="36"/>
      <c r="D582" s="37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  <c r="CN582" s="28"/>
      <c r="CO582" s="28"/>
      <c r="CP582" s="28"/>
      <c r="CQ582" s="28"/>
      <c r="CR582" s="28"/>
      <c r="CS582" s="28"/>
      <c r="CT582" s="28"/>
      <c r="CU582" s="28"/>
      <c r="CV582" s="28"/>
      <c r="CW582" s="28"/>
      <c r="CX582" s="28"/>
      <c r="CY582" s="28"/>
      <c r="CZ582" s="28"/>
      <c r="DA582" s="28"/>
    </row>
    <row r="583" spans="1:105" x14ac:dyDescent="0.3">
      <c r="A583" s="28"/>
      <c r="B583" s="38"/>
      <c r="C583" s="36"/>
      <c r="D583" s="37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  <c r="CN583" s="28"/>
      <c r="CO583" s="28"/>
      <c r="CP583" s="28"/>
      <c r="CQ583" s="28"/>
      <c r="CR583" s="28"/>
      <c r="CS583" s="28"/>
      <c r="CT583" s="28"/>
      <c r="CU583" s="28"/>
      <c r="CV583" s="28"/>
      <c r="CW583" s="28"/>
      <c r="CX583" s="28"/>
      <c r="CY583" s="28"/>
      <c r="CZ583" s="28"/>
      <c r="DA583" s="28"/>
    </row>
    <row r="584" spans="1:105" x14ac:dyDescent="0.3">
      <c r="A584" s="28"/>
      <c r="B584" s="38"/>
      <c r="C584" s="36"/>
      <c r="D584" s="37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  <c r="CS584" s="28"/>
      <c r="CT584" s="28"/>
      <c r="CU584" s="28"/>
      <c r="CV584" s="28"/>
      <c r="CW584" s="28"/>
      <c r="CX584" s="28"/>
      <c r="CY584" s="28"/>
      <c r="CZ584" s="28"/>
      <c r="DA584" s="28"/>
    </row>
    <row r="585" spans="1:105" x14ac:dyDescent="0.3">
      <c r="A585" s="28"/>
      <c r="B585" s="38"/>
      <c r="C585" s="36"/>
      <c r="D585" s="37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  <c r="CS585" s="28"/>
      <c r="CT585" s="28"/>
      <c r="CU585" s="28"/>
      <c r="CV585" s="28"/>
      <c r="CW585" s="28"/>
      <c r="CX585" s="28"/>
      <c r="CY585" s="28"/>
      <c r="CZ585" s="28"/>
      <c r="DA585" s="28"/>
    </row>
    <row r="586" spans="1:105" x14ac:dyDescent="0.3">
      <c r="A586" s="28"/>
      <c r="B586" s="38"/>
      <c r="C586" s="36"/>
      <c r="D586" s="37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  <c r="CN586" s="28"/>
      <c r="CO586" s="28"/>
      <c r="CP586" s="28"/>
      <c r="CQ586" s="28"/>
      <c r="CR586" s="28"/>
      <c r="CS586" s="28"/>
      <c r="CT586" s="28"/>
      <c r="CU586" s="28"/>
      <c r="CV586" s="28"/>
      <c r="CW586" s="28"/>
      <c r="CX586" s="28"/>
      <c r="CY586" s="28"/>
      <c r="CZ586" s="28"/>
      <c r="DA586" s="28"/>
    </row>
    <row r="587" spans="1:105" x14ac:dyDescent="0.3">
      <c r="A587" s="28"/>
      <c r="B587" s="38"/>
      <c r="C587" s="36"/>
      <c r="D587" s="37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  <c r="CN587" s="28"/>
      <c r="CO587" s="28"/>
      <c r="CP587" s="28"/>
      <c r="CQ587" s="28"/>
      <c r="CR587" s="28"/>
      <c r="CS587" s="28"/>
      <c r="CT587" s="28"/>
      <c r="CU587" s="28"/>
      <c r="CV587" s="28"/>
      <c r="CW587" s="28"/>
      <c r="CX587" s="28"/>
      <c r="CY587" s="28"/>
      <c r="CZ587" s="28"/>
      <c r="DA587" s="28"/>
    </row>
    <row r="588" spans="1:105" x14ac:dyDescent="0.3">
      <c r="A588" s="28"/>
      <c r="B588" s="38"/>
      <c r="C588" s="36"/>
      <c r="D588" s="37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  <c r="CN588" s="28"/>
      <c r="CO588" s="28"/>
      <c r="CP588" s="28"/>
      <c r="CQ588" s="28"/>
      <c r="CR588" s="28"/>
      <c r="CS588" s="28"/>
      <c r="CT588" s="28"/>
      <c r="CU588" s="28"/>
      <c r="CV588" s="28"/>
      <c r="CW588" s="28"/>
      <c r="CX588" s="28"/>
      <c r="CY588" s="28"/>
      <c r="CZ588" s="28"/>
      <c r="DA588" s="28"/>
    </row>
    <row r="589" spans="1:105" x14ac:dyDescent="0.3">
      <c r="A589" s="28"/>
      <c r="B589" s="38"/>
      <c r="C589" s="36"/>
      <c r="D589" s="37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  <c r="CN589" s="28"/>
      <c r="CO589" s="28"/>
      <c r="CP589" s="28"/>
      <c r="CQ589" s="28"/>
      <c r="CR589" s="28"/>
      <c r="CS589" s="28"/>
      <c r="CT589" s="28"/>
      <c r="CU589" s="28"/>
      <c r="CV589" s="28"/>
      <c r="CW589" s="28"/>
      <c r="CX589" s="28"/>
      <c r="CY589" s="28"/>
      <c r="CZ589" s="28"/>
      <c r="DA589" s="28"/>
    </row>
    <row r="590" spans="1:105" x14ac:dyDescent="0.3">
      <c r="A590" s="28"/>
      <c r="B590" s="38"/>
      <c r="C590" s="36"/>
      <c r="D590" s="37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  <c r="CO590" s="28"/>
      <c r="CP590" s="28"/>
      <c r="CQ590" s="28"/>
      <c r="CR590" s="28"/>
      <c r="CS590" s="28"/>
      <c r="CT590" s="28"/>
      <c r="CU590" s="28"/>
      <c r="CV590" s="28"/>
      <c r="CW590" s="28"/>
      <c r="CX590" s="28"/>
      <c r="CY590" s="28"/>
      <c r="CZ590" s="28"/>
      <c r="DA590" s="28"/>
    </row>
    <row r="591" spans="1:105" x14ac:dyDescent="0.3">
      <c r="A591" s="28"/>
      <c r="B591" s="38"/>
      <c r="C591" s="36"/>
      <c r="D591" s="37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  <c r="CN591" s="28"/>
      <c r="CO591" s="28"/>
      <c r="CP591" s="28"/>
      <c r="CQ591" s="28"/>
      <c r="CR591" s="28"/>
      <c r="CS591" s="28"/>
      <c r="CT591" s="28"/>
      <c r="CU591" s="28"/>
      <c r="CV591" s="28"/>
      <c r="CW591" s="28"/>
      <c r="CX591" s="28"/>
      <c r="CY591" s="28"/>
      <c r="CZ591" s="28"/>
      <c r="DA591" s="28"/>
    </row>
    <row r="592" spans="1:105" x14ac:dyDescent="0.3">
      <c r="A592" s="28"/>
      <c r="B592" s="38"/>
      <c r="C592" s="36"/>
      <c r="D592" s="37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  <c r="CN592" s="28"/>
      <c r="CO592" s="28"/>
      <c r="CP592" s="28"/>
      <c r="CQ592" s="28"/>
      <c r="CR592" s="28"/>
      <c r="CS592" s="28"/>
      <c r="CT592" s="28"/>
      <c r="CU592" s="28"/>
      <c r="CV592" s="28"/>
      <c r="CW592" s="28"/>
      <c r="CX592" s="28"/>
      <c r="CY592" s="28"/>
      <c r="CZ592" s="28"/>
      <c r="DA592" s="28"/>
    </row>
    <row r="593" spans="1:105" x14ac:dyDescent="0.3">
      <c r="A593" s="28"/>
      <c r="B593" s="38"/>
      <c r="C593" s="36"/>
      <c r="D593" s="37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  <c r="CN593" s="28"/>
      <c r="CO593" s="28"/>
      <c r="CP593" s="28"/>
      <c r="CQ593" s="28"/>
      <c r="CR593" s="28"/>
      <c r="CS593" s="28"/>
      <c r="CT593" s="28"/>
      <c r="CU593" s="28"/>
      <c r="CV593" s="28"/>
      <c r="CW593" s="28"/>
      <c r="CX593" s="28"/>
      <c r="CY593" s="28"/>
      <c r="CZ593" s="28"/>
      <c r="DA593" s="28"/>
    </row>
    <row r="594" spans="1:105" x14ac:dyDescent="0.3">
      <c r="A594" s="28"/>
      <c r="B594" s="38"/>
      <c r="C594" s="36"/>
      <c r="D594" s="37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  <c r="CN594" s="28"/>
      <c r="CO594" s="28"/>
      <c r="CP594" s="28"/>
      <c r="CQ594" s="28"/>
      <c r="CR594" s="28"/>
      <c r="CS594" s="28"/>
      <c r="CT594" s="28"/>
      <c r="CU594" s="28"/>
      <c r="CV594" s="28"/>
      <c r="CW594" s="28"/>
      <c r="CX594" s="28"/>
      <c r="CY594" s="28"/>
      <c r="CZ594" s="28"/>
      <c r="DA594" s="28"/>
    </row>
    <row r="595" spans="1:105" x14ac:dyDescent="0.3">
      <c r="A595" s="28"/>
      <c r="B595" s="38"/>
      <c r="C595" s="36"/>
      <c r="D595" s="37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  <c r="CS595" s="28"/>
      <c r="CT595" s="28"/>
      <c r="CU595" s="28"/>
      <c r="CV595" s="28"/>
      <c r="CW595" s="28"/>
      <c r="CX595" s="28"/>
      <c r="CY595" s="28"/>
      <c r="CZ595" s="28"/>
      <c r="DA595" s="28"/>
    </row>
    <row r="596" spans="1:105" x14ac:dyDescent="0.3">
      <c r="A596" s="28"/>
      <c r="B596" s="38"/>
      <c r="C596" s="36"/>
      <c r="D596" s="37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  <c r="CS596" s="28"/>
      <c r="CT596" s="28"/>
      <c r="CU596" s="28"/>
      <c r="CV596" s="28"/>
      <c r="CW596" s="28"/>
      <c r="CX596" s="28"/>
      <c r="CY596" s="28"/>
      <c r="CZ596" s="28"/>
      <c r="DA596" s="28"/>
    </row>
    <row r="597" spans="1:105" x14ac:dyDescent="0.3">
      <c r="A597" s="28"/>
      <c r="B597" s="38"/>
      <c r="C597" s="36"/>
      <c r="D597" s="37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  <c r="CN597" s="28"/>
      <c r="CO597" s="28"/>
      <c r="CP597" s="28"/>
      <c r="CQ597" s="28"/>
      <c r="CR597" s="28"/>
      <c r="CS597" s="28"/>
      <c r="CT597" s="28"/>
      <c r="CU597" s="28"/>
      <c r="CV597" s="28"/>
      <c r="CW597" s="28"/>
      <c r="CX597" s="28"/>
      <c r="CY597" s="28"/>
      <c r="CZ597" s="28"/>
      <c r="DA597" s="28"/>
    </row>
    <row r="598" spans="1:105" x14ac:dyDescent="0.3">
      <c r="A598" s="28"/>
      <c r="B598" s="38"/>
      <c r="C598" s="36"/>
      <c r="D598" s="37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  <c r="CS598" s="28"/>
      <c r="CT598" s="28"/>
      <c r="CU598" s="28"/>
      <c r="CV598" s="28"/>
      <c r="CW598" s="28"/>
      <c r="CX598" s="28"/>
      <c r="CY598" s="28"/>
      <c r="CZ598" s="28"/>
      <c r="DA598" s="28"/>
    </row>
    <row r="599" spans="1:105" x14ac:dyDescent="0.3">
      <c r="A599" s="28"/>
      <c r="B599" s="38"/>
      <c r="C599" s="36"/>
      <c r="D599" s="37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  <c r="CN599" s="28"/>
      <c r="CO599" s="28"/>
      <c r="CP599" s="28"/>
      <c r="CQ599" s="28"/>
      <c r="CR599" s="28"/>
      <c r="CS599" s="28"/>
      <c r="CT599" s="28"/>
      <c r="CU599" s="28"/>
      <c r="CV599" s="28"/>
      <c r="CW599" s="28"/>
      <c r="CX599" s="28"/>
      <c r="CY599" s="28"/>
      <c r="CZ599" s="28"/>
      <c r="DA599" s="28"/>
    </row>
    <row r="600" spans="1:105" x14ac:dyDescent="0.3">
      <c r="A600" s="28"/>
      <c r="B600" s="38"/>
      <c r="C600" s="36"/>
      <c r="D600" s="37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  <c r="CN600" s="28"/>
      <c r="CO600" s="28"/>
      <c r="CP600" s="28"/>
      <c r="CQ600" s="28"/>
      <c r="CR600" s="28"/>
      <c r="CS600" s="28"/>
      <c r="CT600" s="28"/>
      <c r="CU600" s="28"/>
      <c r="CV600" s="28"/>
      <c r="CW600" s="28"/>
      <c r="CX600" s="28"/>
      <c r="CY600" s="28"/>
      <c r="CZ600" s="28"/>
      <c r="DA600" s="28"/>
    </row>
    <row r="601" spans="1:105" x14ac:dyDescent="0.3">
      <c r="A601" s="28"/>
      <c r="B601" s="38"/>
      <c r="C601" s="36"/>
      <c r="D601" s="37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  <c r="CN601" s="28"/>
      <c r="CO601" s="28"/>
      <c r="CP601" s="28"/>
      <c r="CQ601" s="28"/>
      <c r="CR601" s="28"/>
      <c r="CS601" s="28"/>
      <c r="CT601" s="28"/>
      <c r="CU601" s="28"/>
      <c r="CV601" s="28"/>
      <c r="CW601" s="28"/>
      <c r="CX601" s="28"/>
      <c r="CY601" s="28"/>
      <c r="CZ601" s="28"/>
      <c r="DA601" s="28"/>
    </row>
    <row r="602" spans="1:105" x14ac:dyDescent="0.3">
      <c r="A602" s="28"/>
      <c r="B602" s="38"/>
      <c r="C602" s="36"/>
      <c r="D602" s="37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  <c r="CN602" s="28"/>
      <c r="CO602" s="28"/>
      <c r="CP602" s="28"/>
      <c r="CQ602" s="28"/>
      <c r="CR602" s="28"/>
      <c r="CS602" s="28"/>
      <c r="CT602" s="28"/>
      <c r="CU602" s="28"/>
      <c r="CV602" s="28"/>
      <c r="CW602" s="28"/>
      <c r="CX602" s="28"/>
      <c r="CY602" s="28"/>
      <c r="CZ602" s="28"/>
      <c r="DA602" s="28"/>
    </row>
    <row r="603" spans="1:105" x14ac:dyDescent="0.3">
      <c r="A603" s="28"/>
      <c r="B603" s="38"/>
      <c r="C603" s="36"/>
      <c r="D603" s="37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  <c r="CN603" s="28"/>
      <c r="CO603" s="28"/>
      <c r="CP603" s="28"/>
      <c r="CQ603" s="28"/>
      <c r="CR603" s="28"/>
      <c r="CS603" s="28"/>
      <c r="CT603" s="28"/>
      <c r="CU603" s="28"/>
      <c r="CV603" s="28"/>
      <c r="CW603" s="28"/>
      <c r="CX603" s="28"/>
      <c r="CY603" s="28"/>
      <c r="CZ603" s="28"/>
      <c r="DA603" s="28"/>
    </row>
    <row r="604" spans="1:105" x14ac:dyDescent="0.3">
      <c r="A604" s="28"/>
      <c r="B604" s="38"/>
      <c r="C604" s="36"/>
      <c r="D604" s="37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  <c r="CO604" s="28"/>
      <c r="CP604" s="28"/>
      <c r="CQ604" s="28"/>
      <c r="CR604" s="28"/>
      <c r="CS604" s="28"/>
      <c r="CT604" s="28"/>
      <c r="CU604" s="28"/>
      <c r="CV604" s="28"/>
      <c r="CW604" s="28"/>
      <c r="CX604" s="28"/>
      <c r="CY604" s="28"/>
      <c r="CZ604" s="28"/>
      <c r="DA604" s="28"/>
    </row>
    <row r="605" spans="1:105" x14ac:dyDescent="0.3">
      <c r="A605" s="28"/>
      <c r="B605" s="38"/>
      <c r="C605" s="36"/>
      <c r="D605" s="37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  <c r="CN605" s="28"/>
      <c r="CO605" s="28"/>
      <c r="CP605" s="28"/>
      <c r="CQ605" s="28"/>
      <c r="CR605" s="28"/>
      <c r="CS605" s="28"/>
      <c r="CT605" s="28"/>
      <c r="CU605" s="28"/>
      <c r="CV605" s="28"/>
      <c r="CW605" s="28"/>
      <c r="CX605" s="28"/>
      <c r="CY605" s="28"/>
      <c r="CZ605" s="28"/>
      <c r="DA605" s="28"/>
    </row>
    <row r="606" spans="1:105" x14ac:dyDescent="0.3">
      <c r="A606" s="28"/>
      <c r="B606" s="38"/>
      <c r="C606" s="36"/>
      <c r="D606" s="37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  <c r="CS606" s="28"/>
      <c r="CT606" s="28"/>
      <c r="CU606" s="28"/>
      <c r="CV606" s="28"/>
      <c r="CW606" s="28"/>
      <c r="CX606" s="28"/>
      <c r="CY606" s="28"/>
      <c r="CZ606" s="28"/>
      <c r="DA606" s="28"/>
    </row>
    <row r="607" spans="1:105" x14ac:dyDescent="0.3">
      <c r="A607" s="28"/>
      <c r="B607" s="38"/>
      <c r="C607" s="36"/>
      <c r="D607" s="37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  <c r="CS607" s="28"/>
      <c r="CT607" s="28"/>
      <c r="CU607" s="28"/>
      <c r="CV607" s="28"/>
      <c r="CW607" s="28"/>
      <c r="CX607" s="28"/>
      <c r="CY607" s="28"/>
      <c r="CZ607" s="28"/>
      <c r="DA607" s="28"/>
    </row>
    <row r="608" spans="1:105" x14ac:dyDescent="0.3">
      <c r="A608" s="28"/>
      <c r="B608" s="38"/>
      <c r="C608" s="36"/>
      <c r="D608" s="37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  <c r="CN608" s="28"/>
      <c r="CO608" s="28"/>
      <c r="CP608" s="28"/>
      <c r="CQ608" s="28"/>
      <c r="CR608" s="28"/>
      <c r="CS608" s="28"/>
      <c r="CT608" s="28"/>
      <c r="CU608" s="28"/>
      <c r="CV608" s="28"/>
      <c r="CW608" s="28"/>
      <c r="CX608" s="28"/>
      <c r="CY608" s="28"/>
      <c r="CZ608" s="28"/>
      <c r="DA608" s="28"/>
    </row>
    <row r="609" spans="1:105" x14ac:dyDescent="0.3">
      <c r="A609" s="28"/>
      <c r="B609" s="38"/>
      <c r="C609" s="36"/>
      <c r="D609" s="37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  <c r="CN609" s="28"/>
      <c r="CO609" s="28"/>
      <c r="CP609" s="28"/>
      <c r="CQ609" s="28"/>
      <c r="CR609" s="28"/>
      <c r="CS609" s="28"/>
      <c r="CT609" s="28"/>
      <c r="CU609" s="28"/>
      <c r="CV609" s="28"/>
      <c r="CW609" s="28"/>
      <c r="CX609" s="28"/>
      <c r="CY609" s="28"/>
      <c r="CZ609" s="28"/>
      <c r="DA609" s="28"/>
    </row>
    <row r="610" spans="1:105" x14ac:dyDescent="0.3">
      <c r="A610" s="28"/>
      <c r="B610" s="38"/>
      <c r="C610" s="36"/>
      <c r="D610" s="37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28"/>
      <c r="CF610" s="28"/>
      <c r="CG610" s="28"/>
      <c r="CH610" s="28"/>
      <c r="CI610" s="28"/>
      <c r="CJ610" s="28"/>
      <c r="CK610" s="28"/>
      <c r="CL610" s="28"/>
      <c r="CM610" s="28"/>
      <c r="CN610" s="28"/>
      <c r="CO610" s="28"/>
      <c r="CP610" s="28"/>
      <c r="CQ610" s="28"/>
      <c r="CR610" s="28"/>
      <c r="CS610" s="28"/>
      <c r="CT610" s="28"/>
      <c r="CU610" s="28"/>
      <c r="CV610" s="28"/>
      <c r="CW610" s="28"/>
      <c r="CX610" s="28"/>
      <c r="CY610" s="28"/>
      <c r="CZ610" s="28"/>
      <c r="DA610" s="28"/>
    </row>
    <row r="611" spans="1:105" x14ac:dyDescent="0.3">
      <c r="A611" s="28"/>
      <c r="B611" s="38"/>
      <c r="C611" s="36"/>
      <c r="D611" s="37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  <c r="CN611" s="28"/>
      <c r="CO611" s="28"/>
      <c r="CP611" s="28"/>
      <c r="CQ611" s="28"/>
      <c r="CR611" s="28"/>
      <c r="CS611" s="28"/>
      <c r="CT611" s="28"/>
      <c r="CU611" s="28"/>
      <c r="CV611" s="28"/>
      <c r="CW611" s="28"/>
      <c r="CX611" s="28"/>
      <c r="CY611" s="28"/>
      <c r="CZ611" s="28"/>
      <c r="DA611" s="28"/>
    </row>
    <row r="612" spans="1:105" x14ac:dyDescent="0.3">
      <c r="A612" s="28"/>
      <c r="B612" s="38"/>
      <c r="C612" s="36"/>
      <c r="D612" s="37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  <c r="CN612" s="28"/>
      <c r="CO612" s="28"/>
      <c r="CP612" s="28"/>
      <c r="CQ612" s="28"/>
      <c r="CR612" s="28"/>
      <c r="CS612" s="28"/>
      <c r="CT612" s="28"/>
      <c r="CU612" s="28"/>
      <c r="CV612" s="28"/>
      <c r="CW612" s="28"/>
      <c r="CX612" s="28"/>
      <c r="CY612" s="28"/>
      <c r="CZ612" s="28"/>
      <c r="DA612" s="28"/>
    </row>
    <row r="613" spans="1:105" x14ac:dyDescent="0.3">
      <c r="A613" s="28"/>
      <c r="B613" s="38"/>
      <c r="C613" s="36"/>
      <c r="D613" s="37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  <c r="CN613" s="28"/>
      <c r="CO613" s="28"/>
      <c r="CP613" s="28"/>
      <c r="CQ613" s="28"/>
      <c r="CR613" s="28"/>
      <c r="CS613" s="28"/>
      <c r="CT613" s="28"/>
      <c r="CU613" s="28"/>
      <c r="CV613" s="28"/>
      <c r="CW613" s="28"/>
      <c r="CX613" s="28"/>
      <c r="CY613" s="28"/>
      <c r="CZ613" s="28"/>
      <c r="DA613" s="28"/>
    </row>
    <row r="614" spans="1:105" x14ac:dyDescent="0.3">
      <c r="A614" s="28"/>
      <c r="B614" s="38"/>
      <c r="C614" s="36"/>
      <c r="D614" s="37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  <c r="CN614" s="28"/>
      <c r="CO614" s="28"/>
      <c r="CP614" s="28"/>
      <c r="CQ614" s="28"/>
      <c r="CR614" s="28"/>
      <c r="CS614" s="28"/>
      <c r="CT614" s="28"/>
      <c r="CU614" s="28"/>
      <c r="CV614" s="28"/>
      <c r="CW614" s="28"/>
      <c r="CX614" s="28"/>
      <c r="CY614" s="28"/>
      <c r="CZ614" s="28"/>
      <c r="DA614" s="28"/>
    </row>
    <row r="615" spans="1:105" x14ac:dyDescent="0.3">
      <c r="A615" s="28"/>
      <c r="B615" s="38"/>
      <c r="C615" s="36"/>
      <c r="D615" s="37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  <c r="CS615" s="28"/>
      <c r="CT615" s="28"/>
      <c r="CU615" s="28"/>
      <c r="CV615" s="28"/>
      <c r="CW615" s="28"/>
      <c r="CX615" s="28"/>
      <c r="CY615" s="28"/>
      <c r="CZ615" s="28"/>
      <c r="DA615" s="28"/>
    </row>
    <row r="616" spans="1:105" x14ac:dyDescent="0.3">
      <c r="A616" s="28"/>
      <c r="B616" s="38"/>
      <c r="C616" s="36"/>
      <c r="D616" s="37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  <c r="CN616" s="28"/>
      <c r="CO616" s="28"/>
      <c r="CP616" s="28"/>
      <c r="CQ616" s="28"/>
      <c r="CR616" s="28"/>
      <c r="CS616" s="28"/>
      <c r="CT616" s="28"/>
      <c r="CU616" s="28"/>
      <c r="CV616" s="28"/>
      <c r="CW616" s="28"/>
      <c r="CX616" s="28"/>
      <c r="CY616" s="28"/>
      <c r="CZ616" s="28"/>
      <c r="DA616" s="28"/>
    </row>
    <row r="617" spans="1:105" x14ac:dyDescent="0.3">
      <c r="A617" s="28"/>
      <c r="B617" s="38"/>
      <c r="C617" s="36"/>
      <c r="D617" s="37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  <c r="DA617" s="28"/>
    </row>
    <row r="618" spans="1:105" x14ac:dyDescent="0.3">
      <c r="A618" s="28"/>
      <c r="B618" s="38"/>
      <c r="C618" s="36"/>
      <c r="D618" s="37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  <c r="CO618" s="28"/>
      <c r="CP618" s="28"/>
      <c r="CQ618" s="28"/>
      <c r="CR618" s="28"/>
      <c r="CS618" s="28"/>
      <c r="CT618" s="28"/>
      <c r="CU618" s="28"/>
      <c r="CV618" s="28"/>
      <c r="CW618" s="28"/>
      <c r="CX618" s="28"/>
      <c r="CY618" s="28"/>
      <c r="CZ618" s="28"/>
      <c r="DA618" s="28"/>
    </row>
    <row r="619" spans="1:105" x14ac:dyDescent="0.3">
      <c r="A619" s="28"/>
      <c r="B619" s="38"/>
      <c r="C619" s="36"/>
      <c r="D619" s="37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  <c r="CN619" s="28"/>
      <c r="CO619" s="28"/>
      <c r="CP619" s="28"/>
      <c r="CQ619" s="28"/>
      <c r="CR619" s="28"/>
      <c r="CS619" s="28"/>
      <c r="CT619" s="28"/>
      <c r="CU619" s="28"/>
      <c r="CV619" s="28"/>
      <c r="CW619" s="28"/>
      <c r="CX619" s="28"/>
      <c r="CY619" s="28"/>
      <c r="CZ619" s="28"/>
      <c r="DA619" s="28"/>
    </row>
    <row r="620" spans="1:105" x14ac:dyDescent="0.3">
      <c r="A620" s="28"/>
      <c r="B620" s="38"/>
      <c r="C620" s="36"/>
      <c r="D620" s="37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  <c r="CS620" s="28"/>
      <c r="CT620" s="28"/>
      <c r="CU620" s="28"/>
      <c r="CV620" s="28"/>
      <c r="CW620" s="28"/>
      <c r="CX620" s="28"/>
      <c r="CY620" s="28"/>
      <c r="CZ620" s="28"/>
      <c r="DA620" s="28"/>
    </row>
    <row r="621" spans="1:105" x14ac:dyDescent="0.3">
      <c r="A621" s="28"/>
      <c r="B621" s="38"/>
      <c r="C621" s="36"/>
      <c r="D621" s="37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  <c r="CN621" s="28"/>
      <c r="CO621" s="28"/>
      <c r="CP621" s="28"/>
      <c r="CQ621" s="28"/>
      <c r="CR621" s="28"/>
      <c r="CS621" s="28"/>
      <c r="CT621" s="28"/>
      <c r="CU621" s="28"/>
      <c r="CV621" s="28"/>
      <c r="CW621" s="28"/>
      <c r="CX621" s="28"/>
      <c r="CY621" s="28"/>
      <c r="CZ621" s="28"/>
      <c r="DA621" s="28"/>
    </row>
    <row r="622" spans="1:105" x14ac:dyDescent="0.3">
      <c r="A622" s="28"/>
      <c r="B622" s="38"/>
      <c r="C622" s="36"/>
      <c r="D622" s="37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28"/>
      <c r="CF622" s="28"/>
      <c r="CG622" s="28"/>
      <c r="CH622" s="28"/>
      <c r="CI622" s="28"/>
      <c r="CJ622" s="28"/>
      <c r="CK622" s="28"/>
      <c r="CL622" s="28"/>
      <c r="CM622" s="28"/>
      <c r="CN622" s="28"/>
      <c r="CO622" s="28"/>
      <c r="CP622" s="28"/>
      <c r="CQ622" s="28"/>
      <c r="CR622" s="28"/>
      <c r="CS622" s="28"/>
      <c r="CT622" s="28"/>
      <c r="CU622" s="28"/>
      <c r="CV622" s="28"/>
      <c r="CW622" s="28"/>
      <c r="CX622" s="28"/>
      <c r="CY622" s="28"/>
      <c r="CZ622" s="28"/>
      <c r="DA622" s="28"/>
    </row>
    <row r="623" spans="1:105" x14ac:dyDescent="0.3">
      <c r="A623" s="28"/>
      <c r="B623" s="38"/>
      <c r="C623" s="36"/>
      <c r="D623" s="37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  <c r="CN623" s="28"/>
      <c r="CO623" s="28"/>
      <c r="CP623" s="28"/>
      <c r="CQ623" s="28"/>
      <c r="CR623" s="28"/>
      <c r="CS623" s="28"/>
      <c r="CT623" s="28"/>
      <c r="CU623" s="28"/>
      <c r="CV623" s="28"/>
      <c r="CW623" s="28"/>
      <c r="CX623" s="28"/>
      <c r="CY623" s="28"/>
      <c r="CZ623" s="28"/>
      <c r="DA623" s="28"/>
    </row>
    <row r="624" spans="1:105" x14ac:dyDescent="0.3">
      <c r="A624" s="28"/>
      <c r="B624" s="38"/>
      <c r="C624" s="36"/>
      <c r="D624" s="37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  <c r="CN624" s="28"/>
      <c r="CO624" s="28"/>
      <c r="CP624" s="28"/>
      <c r="CQ624" s="28"/>
      <c r="CR624" s="28"/>
      <c r="CS624" s="28"/>
      <c r="CT624" s="28"/>
      <c r="CU624" s="28"/>
      <c r="CV624" s="28"/>
      <c r="CW624" s="28"/>
      <c r="CX624" s="28"/>
      <c r="CY624" s="28"/>
      <c r="CZ624" s="28"/>
      <c r="DA624" s="28"/>
    </row>
    <row r="625" spans="1:105" x14ac:dyDescent="0.3">
      <c r="A625" s="28"/>
      <c r="B625" s="38"/>
      <c r="C625" s="36"/>
      <c r="D625" s="37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  <c r="CO625" s="28"/>
      <c r="CP625" s="28"/>
      <c r="CQ625" s="28"/>
      <c r="CR625" s="28"/>
      <c r="CS625" s="28"/>
      <c r="CT625" s="28"/>
      <c r="CU625" s="28"/>
      <c r="CV625" s="28"/>
      <c r="CW625" s="28"/>
      <c r="CX625" s="28"/>
      <c r="CY625" s="28"/>
      <c r="CZ625" s="28"/>
      <c r="DA625" s="28"/>
    </row>
    <row r="626" spans="1:105" x14ac:dyDescent="0.3">
      <c r="A626" s="28"/>
      <c r="B626" s="38"/>
      <c r="C626" s="36"/>
      <c r="D626" s="37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  <c r="CO626" s="28"/>
      <c r="CP626" s="28"/>
      <c r="CQ626" s="28"/>
      <c r="CR626" s="28"/>
      <c r="CS626" s="28"/>
      <c r="CT626" s="28"/>
      <c r="CU626" s="28"/>
      <c r="CV626" s="28"/>
      <c r="CW626" s="28"/>
      <c r="CX626" s="28"/>
      <c r="CY626" s="28"/>
      <c r="CZ626" s="28"/>
      <c r="DA626" s="28"/>
    </row>
    <row r="627" spans="1:105" x14ac:dyDescent="0.3">
      <c r="A627" s="28"/>
      <c r="B627" s="38"/>
      <c r="C627" s="36"/>
      <c r="D627" s="37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  <c r="CO627" s="28"/>
      <c r="CP627" s="28"/>
      <c r="CQ627" s="28"/>
      <c r="CR627" s="28"/>
      <c r="CS627" s="28"/>
      <c r="CT627" s="28"/>
      <c r="CU627" s="28"/>
      <c r="CV627" s="28"/>
      <c r="CW627" s="28"/>
      <c r="CX627" s="28"/>
      <c r="CY627" s="28"/>
      <c r="CZ627" s="28"/>
      <c r="DA627" s="28"/>
    </row>
    <row r="628" spans="1:105" x14ac:dyDescent="0.3">
      <c r="A628" s="28"/>
      <c r="B628" s="38"/>
      <c r="C628" s="36"/>
      <c r="D628" s="37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</row>
    <row r="629" spans="1:105" x14ac:dyDescent="0.3">
      <c r="A629" s="28"/>
      <c r="B629" s="38"/>
      <c r="C629" s="36"/>
      <c r="D629" s="37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28"/>
      <c r="CF629" s="28"/>
      <c r="CG629" s="28"/>
      <c r="CH629" s="28"/>
      <c r="CI629" s="28"/>
      <c r="CJ629" s="28"/>
      <c r="CK629" s="28"/>
      <c r="CL629" s="28"/>
      <c r="CM629" s="28"/>
      <c r="CN629" s="28"/>
      <c r="CO629" s="28"/>
      <c r="CP629" s="28"/>
      <c r="CQ629" s="28"/>
      <c r="CR629" s="28"/>
      <c r="CS629" s="28"/>
      <c r="CT629" s="28"/>
      <c r="CU629" s="28"/>
      <c r="CV629" s="28"/>
      <c r="CW629" s="28"/>
      <c r="CX629" s="28"/>
      <c r="CY629" s="28"/>
      <c r="CZ629" s="28"/>
      <c r="DA629" s="28"/>
    </row>
    <row r="630" spans="1:105" x14ac:dyDescent="0.3">
      <c r="A630" s="28"/>
      <c r="B630" s="38"/>
      <c r="C630" s="36"/>
      <c r="D630" s="37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28"/>
      <c r="CF630" s="28"/>
      <c r="CG630" s="28"/>
      <c r="CH630" s="28"/>
      <c r="CI630" s="28"/>
      <c r="CJ630" s="28"/>
      <c r="CK630" s="28"/>
      <c r="CL630" s="28"/>
      <c r="CM630" s="28"/>
      <c r="CN630" s="28"/>
      <c r="CO630" s="28"/>
      <c r="CP630" s="28"/>
      <c r="CQ630" s="28"/>
      <c r="CR630" s="28"/>
      <c r="CS630" s="28"/>
      <c r="CT630" s="28"/>
      <c r="CU630" s="28"/>
      <c r="CV630" s="28"/>
      <c r="CW630" s="28"/>
      <c r="CX630" s="28"/>
      <c r="CY630" s="28"/>
      <c r="CZ630" s="28"/>
      <c r="DA630" s="28"/>
    </row>
    <row r="631" spans="1:105" x14ac:dyDescent="0.3">
      <c r="A631" s="28"/>
      <c r="B631" s="38"/>
      <c r="C631" s="36"/>
      <c r="D631" s="37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  <c r="CN631" s="28"/>
      <c r="CO631" s="28"/>
      <c r="CP631" s="28"/>
      <c r="CQ631" s="28"/>
      <c r="CR631" s="28"/>
      <c r="CS631" s="28"/>
      <c r="CT631" s="28"/>
      <c r="CU631" s="28"/>
      <c r="CV631" s="28"/>
      <c r="CW631" s="28"/>
      <c r="CX631" s="28"/>
      <c r="CY631" s="28"/>
      <c r="CZ631" s="28"/>
      <c r="DA631" s="28"/>
    </row>
    <row r="632" spans="1:105" x14ac:dyDescent="0.3">
      <c r="A632" s="28"/>
      <c r="B632" s="38"/>
      <c r="C632" s="36"/>
      <c r="D632" s="37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  <c r="CO632" s="28"/>
      <c r="CP632" s="28"/>
      <c r="CQ632" s="28"/>
      <c r="CR632" s="28"/>
      <c r="CS632" s="28"/>
      <c r="CT632" s="28"/>
      <c r="CU632" s="28"/>
      <c r="CV632" s="28"/>
      <c r="CW632" s="28"/>
      <c r="CX632" s="28"/>
      <c r="CY632" s="28"/>
      <c r="CZ632" s="28"/>
      <c r="DA632" s="28"/>
    </row>
    <row r="633" spans="1:105" x14ac:dyDescent="0.3">
      <c r="A633" s="28"/>
      <c r="B633" s="38"/>
      <c r="C633" s="36"/>
      <c r="D633" s="37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  <c r="CS633" s="28"/>
      <c r="CT633" s="28"/>
      <c r="CU633" s="28"/>
      <c r="CV633" s="28"/>
      <c r="CW633" s="28"/>
      <c r="CX633" s="28"/>
      <c r="CY633" s="28"/>
      <c r="CZ633" s="28"/>
      <c r="DA633" s="28"/>
    </row>
    <row r="634" spans="1:105" x14ac:dyDescent="0.3">
      <c r="A634" s="28"/>
      <c r="B634" s="38"/>
      <c r="C634" s="36"/>
      <c r="D634" s="37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  <c r="CS634" s="28"/>
      <c r="CT634" s="28"/>
      <c r="CU634" s="28"/>
      <c r="CV634" s="28"/>
      <c r="CW634" s="28"/>
      <c r="CX634" s="28"/>
      <c r="CY634" s="28"/>
      <c r="CZ634" s="28"/>
      <c r="DA634" s="28"/>
    </row>
    <row r="635" spans="1:105" x14ac:dyDescent="0.3">
      <c r="A635" s="28"/>
      <c r="B635" s="38"/>
      <c r="C635" s="36"/>
      <c r="D635" s="37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  <c r="CS635" s="28"/>
      <c r="CT635" s="28"/>
      <c r="CU635" s="28"/>
      <c r="CV635" s="28"/>
      <c r="CW635" s="28"/>
      <c r="CX635" s="28"/>
      <c r="CY635" s="28"/>
      <c r="CZ635" s="28"/>
      <c r="DA635" s="28"/>
    </row>
    <row r="636" spans="1:105" x14ac:dyDescent="0.3">
      <c r="A636" s="28"/>
      <c r="B636" s="38"/>
      <c r="C636" s="36"/>
      <c r="D636" s="37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28"/>
      <c r="CF636" s="28"/>
      <c r="CG636" s="28"/>
      <c r="CH636" s="28"/>
      <c r="CI636" s="28"/>
      <c r="CJ636" s="28"/>
      <c r="CK636" s="28"/>
      <c r="CL636" s="28"/>
      <c r="CM636" s="28"/>
      <c r="CN636" s="28"/>
      <c r="CO636" s="28"/>
      <c r="CP636" s="28"/>
      <c r="CQ636" s="28"/>
      <c r="CR636" s="28"/>
      <c r="CS636" s="28"/>
      <c r="CT636" s="28"/>
      <c r="CU636" s="28"/>
      <c r="CV636" s="28"/>
      <c r="CW636" s="28"/>
      <c r="CX636" s="28"/>
      <c r="CY636" s="28"/>
      <c r="CZ636" s="28"/>
      <c r="DA636" s="28"/>
    </row>
    <row r="637" spans="1:105" x14ac:dyDescent="0.3">
      <c r="A637" s="28"/>
      <c r="B637" s="38"/>
      <c r="C637" s="36"/>
      <c r="D637" s="37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28"/>
      <c r="CF637" s="28"/>
      <c r="CG637" s="28"/>
      <c r="CH637" s="28"/>
      <c r="CI637" s="28"/>
      <c r="CJ637" s="28"/>
      <c r="CK637" s="28"/>
      <c r="CL637" s="28"/>
      <c r="CM637" s="28"/>
      <c r="CN637" s="28"/>
      <c r="CO637" s="28"/>
      <c r="CP637" s="28"/>
      <c r="CQ637" s="28"/>
      <c r="CR637" s="28"/>
      <c r="CS637" s="28"/>
      <c r="CT637" s="28"/>
      <c r="CU637" s="28"/>
      <c r="CV637" s="28"/>
      <c r="CW637" s="28"/>
      <c r="CX637" s="28"/>
      <c r="CY637" s="28"/>
      <c r="CZ637" s="28"/>
      <c r="DA637" s="28"/>
    </row>
    <row r="638" spans="1:105" x14ac:dyDescent="0.3">
      <c r="A638" s="28"/>
      <c r="B638" s="38"/>
      <c r="C638" s="36"/>
      <c r="D638" s="37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28"/>
      <c r="CF638" s="28"/>
      <c r="CG638" s="28"/>
      <c r="CH638" s="28"/>
      <c r="CI638" s="28"/>
      <c r="CJ638" s="28"/>
      <c r="CK638" s="28"/>
      <c r="CL638" s="28"/>
      <c r="CM638" s="28"/>
      <c r="CN638" s="28"/>
      <c r="CO638" s="28"/>
      <c r="CP638" s="28"/>
      <c r="CQ638" s="28"/>
      <c r="CR638" s="28"/>
      <c r="CS638" s="28"/>
      <c r="CT638" s="28"/>
      <c r="CU638" s="28"/>
      <c r="CV638" s="28"/>
      <c r="CW638" s="28"/>
      <c r="CX638" s="28"/>
      <c r="CY638" s="28"/>
      <c r="CZ638" s="28"/>
      <c r="DA638" s="28"/>
    </row>
    <row r="639" spans="1:105" x14ac:dyDescent="0.3">
      <c r="A639" s="28"/>
      <c r="B639" s="38"/>
      <c r="C639" s="36"/>
      <c r="D639" s="37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  <c r="CO639" s="28"/>
      <c r="CP639" s="28"/>
      <c r="CQ639" s="28"/>
      <c r="CR639" s="28"/>
      <c r="CS639" s="28"/>
      <c r="CT639" s="28"/>
      <c r="CU639" s="28"/>
      <c r="CV639" s="28"/>
      <c r="CW639" s="28"/>
      <c r="CX639" s="28"/>
      <c r="CY639" s="28"/>
      <c r="CZ639" s="28"/>
      <c r="DA639" s="28"/>
    </row>
    <row r="640" spans="1:105" x14ac:dyDescent="0.3">
      <c r="A640" s="28"/>
      <c r="B640" s="38"/>
      <c r="C640" s="36"/>
      <c r="D640" s="37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  <c r="CN640" s="28"/>
      <c r="CO640" s="28"/>
      <c r="CP640" s="28"/>
      <c r="CQ640" s="28"/>
      <c r="CR640" s="28"/>
      <c r="CS640" s="28"/>
      <c r="CT640" s="28"/>
      <c r="CU640" s="28"/>
      <c r="CV640" s="28"/>
      <c r="CW640" s="28"/>
      <c r="CX640" s="28"/>
      <c r="CY640" s="28"/>
      <c r="CZ640" s="28"/>
      <c r="DA640" s="28"/>
    </row>
    <row r="641" spans="1:105" x14ac:dyDescent="0.3">
      <c r="A641" s="28"/>
      <c r="B641" s="38"/>
      <c r="C641" s="36"/>
      <c r="D641" s="37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  <c r="CO641" s="28"/>
      <c r="CP641" s="28"/>
      <c r="CQ641" s="28"/>
      <c r="CR641" s="28"/>
      <c r="CS641" s="28"/>
      <c r="CT641" s="28"/>
      <c r="CU641" s="28"/>
      <c r="CV641" s="28"/>
      <c r="CW641" s="28"/>
      <c r="CX641" s="28"/>
      <c r="CY641" s="28"/>
      <c r="CZ641" s="28"/>
      <c r="DA641" s="28"/>
    </row>
    <row r="642" spans="1:105" x14ac:dyDescent="0.3">
      <c r="A642" s="28"/>
      <c r="B642" s="38"/>
      <c r="C642" s="36"/>
      <c r="D642" s="37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  <c r="CO642" s="28"/>
      <c r="CP642" s="28"/>
      <c r="CQ642" s="28"/>
      <c r="CR642" s="28"/>
      <c r="CS642" s="28"/>
      <c r="CT642" s="28"/>
      <c r="CU642" s="28"/>
      <c r="CV642" s="28"/>
      <c r="CW642" s="28"/>
      <c r="CX642" s="28"/>
      <c r="CY642" s="28"/>
      <c r="CZ642" s="28"/>
      <c r="DA642" s="28"/>
    </row>
    <row r="643" spans="1:105" x14ac:dyDescent="0.3">
      <c r="A643" s="28"/>
      <c r="B643" s="38"/>
      <c r="C643" s="36"/>
      <c r="D643" s="37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  <c r="CO643" s="28"/>
      <c r="CP643" s="28"/>
      <c r="CQ643" s="28"/>
      <c r="CR643" s="28"/>
      <c r="CS643" s="28"/>
      <c r="CT643" s="28"/>
      <c r="CU643" s="28"/>
      <c r="CV643" s="28"/>
      <c r="CW643" s="28"/>
      <c r="CX643" s="28"/>
      <c r="CY643" s="28"/>
      <c r="CZ643" s="28"/>
      <c r="DA643" s="28"/>
    </row>
    <row r="644" spans="1:105" x14ac:dyDescent="0.3">
      <c r="A644" s="28"/>
      <c r="B644" s="38"/>
      <c r="C644" s="36"/>
      <c r="D644" s="37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  <c r="DA644" s="28"/>
    </row>
    <row r="645" spans="1:105" x14ac:dyDescent="0.3">
      <c r="A645" s="28"/>
      <c r="B645" s="38"/>
      <c r="C645" s="36"/>
      <c r="D645" s="37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  <c r="CO645" s="28"/>
      <c r="CP645" s="28"/>
      <c r="CQ645" s="28"/>
      <c r="CR645" s="28"/>
      <c r="CS645" s="28"/>
      <c r="CT645" s="28"/>
      <c r="CU645" s="28"/>
      <c r="CV645" s="28"/>
      <c r="CW645" s="28"/>
      <c r="CX645" s="28"/>
      <c r="CY645" s="28"/>
      <c r="CZ645" s="28"/>
      <c r="DA645" s="28"/>
    </row>
    <row r="646" spans="1:105" x14ac:dyDescent="0.3">
      <c r="A646" s="28"/>
      <c r="B646" s="38"/>
      <c r="C646" s="36"/>
      <c r="D646" s="37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  <c r="CS646" s="28"/>
      <c r="CT646" s="28"/>
      <c r="CU646" s="28"/>
      <c r="CV646" s="28"/>
      <c r="CW646" s="28"/>
      <c r="CX646" s="28"/>
      <c r="CY646" s="28"/>
      <c r="CZ646" s="28"/>
      <c r="DA646" s="28"/>
    </row>
    <row r="647" spans="1:105" x14ac:dyDescent="0.3">
      <c r="A647" s="28"/>
      <c r="B647" s="38"/>
      <c r="C647" s="36"/>
      <c r="D647" s="37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  <c r="CO647" s="28"/>
      <c r="CP647" s="28"/>
      <c r="CQ647" s="28"/>
      <c r="CR647" s="28"/>
      <c r="CS647" s="28"/>
      <c r="CT647" s="28"/>
      <c r="CU647" s="28"/>
      <c r="CV647" s="28"/>
      <c r="CW647" s="28"/>
      <c r="CX647" s="28"/>
      <c r="CY647" s="28"/>
      <c r="CZ647" s="28"/>
      <c r="DA647" s="28"/>
    </row>
    <row r="648" spans="1:105" x14ac:dyDescent="0.3">
      <c r="A648" s="28"/>
      <c r="B648" s="38"/>
      <c r="C648" s="36"/>
      <c r="D648" s="37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  <c r="CO648" s="28"/>
      <c r="CP648" s="28"/>
      <c r="CQ648" s="28"/>
      <c r="CR648" s="28"/>
      <c r="CS648" s="28"/>
      <c r="CT648" s="28"/>
      <c r="CU648" s="28"/>
      <c r="CV648" s="28"/>
      <c r="CW648" s="28"/>
      <c r="CX648" s="28"/>
      <c r="CY648" s="28"/>
      <c r="CZ648" s="28"/>
      <c r="DA648" s="28"/>
    </row>
    <row r="649" spans="1:105" x14ac:dyDescent="0.3">
      <c r="A649" s="28"/>
      <c r="B649" s="38"/>
      <c r="C649" s="36"/>
      <c r="D649" s="37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  <c r="CN649" s="28"/>
      <c r="CO649" s="28"/>
      <c r="CP649" s="28"/>
      <c r="CQ649" s="28"/>
      <c r="CR649" s="28"/>
      <c r="CS649" s="28"/>
      <c r="CT649" s="28"/>
      <c r="CU649" s="28"/>
      <c r="CV649" s="28"/>
      <c r="CW649" s="28"/>
      <c r="CX649" s="28"/>
      <c r="CY649" s="28"/>
      <c r="CZ649" s="28"/>
      <c r="DA649" s="28"/>
    </row>
    <row r="650" spans="1:105" x14ac:dyDescent="0.3">
      <c r="A650" s="28"/>
      <c r="B650" s="38"/>
      <c r="C650" s="36"/>
      <c r="D650" s="37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  <c r="CS650" s="28"/>
      <c r="CT650" s="28"/>
      <c r="CU650" s="28"/>
      <c r="CV650" s="28"/>
      <c r="CW650" s="28"/>
      <c r="CX650" s="28"/>
      <c r="CY650" s="28"/>
      <c r="CZ650" s="28"/>
      <c r="DA650" s="28"/>
    </row>
    <row r="651" spans="1:105" x14ac:dyDescent="0.3">
      <c r="A651" s="28"/>
      <c r="B651" s="38"/>
      <c r="C651" s="36"/>
      <c r="D651" s="37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  <c r="CS651" s="28"/>
      <c r="CT651" s="28"/>
      <c r="CU651" s="28"/>
      <c r="CV651" s="28"/>
      <c r="CW651" s="28"/>
      <c r="CX651" s="28"/>
      <c r="CY651" s="28"/>
      <c r="CZ651" s="28"/>
      <c r="DA651" s="28"/>
    </row>
    <row r="652" spans="1:105" x14ac:dyDescent="0.3">
      <c r="A652" s="28"/>
      <c r="B652" s="38"/>
      <c r="C652" s="36"/>
      <c r="D652" s="37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  <c r="CS652" s="28"/>
      <c r="CT652" s="28"/>
      <c r="CU652" s="28"/>
      <c r="CV652" s="28"/>
      <c r="CW652" s="28"/>
      <c r="CX652" s="28"/>
      <c r="CY652" s="28"/>
      <c r="CZ652" s="28"/>
      <c r="DA652" s="28"/>
    </row>
    <row r="653" spans="1:105" x14ac:dyDescent="0.3">
      <c r="A653" s="28"/>
      <c r="B653" s="38"/>
      <c r="C653" s="36"/>
      <c r="D653" s="37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  <c r="CS653" s="28"/>
      <c r="CT653" s="28"/>
      <c r="CU653" s="28"/>
      <c r="CV653" s="28"/>
      <c r="CW653" s="28"/>
      <c r="CX653" s="28"/>
      <c r="CY653" s="28"/>
      <c r="CZ653" s="28"/>
      <c r="DA653" s="28"/>
    </row>
    <row r="654" spans="1:105" x14ac:dyDescent="0.3">
      <c r="A654" s="28"/>
      <c r="B654" s="38"/>
      <c r="C654" s="36"/>
      <c r="D654" s="37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  <c r="CS654" s="28"/>
      <c r="CT654" s="28"/>
      <c r="CU654" s="28"/>
      <c r="CV654" s="28"/>
      <c r="CW654" s="28"/>
      <c r="CX654" s="28"/>
      <c r="CY654" s="28"/>
      <c r="CZ654" s="28"/>
      <c r="DA654" s="28"/>
    </row>
    <row r="655" spans="1:105" x14ac:dyDescent="0.3">
      <c r="A655" s="28"/>
      <c r="B655" s="38"/>
      <c r="C655" s="36"/>
      <c r="D655" s="37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  <c r="CS655" s="28"/>
      <c r="CT655" s="28"/>
      <c r="CU655" s="28"/>
      <c r="CV655" s="28"/>
      <c r="CW655" s="28"/>
      <c r="CX655" s="28"/>
      <c r="CY655" s="28"/>
      <c r="CZ655" s="28"/>
      <c r="DA655" s="28"/>
    </row>
    <row r="656" spans="1:105" x14ac:dyDescent="0.3">
      <c r="A656" s="28"/>
      <c r="B656" s="38"/>
      <c r="C656" s="36"/>
      <c r="D656" s="37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  <c r="CO656" s="28"/>
      <c r="CP656" s="28"/>
      <c r="CQ656" s="28"/>
      <c r="CR656" s="28"/>
      <c r="CS656" s="28"/>
      <c r="CT656" s="28"/>
      <c r="CU656" s="28"/>
      <c r="CV656" s="28"/>
      <c r="CW656" s="28"/>
      <c r="CX656" s="28"/>
      <c r="CY656" s="28"/>
      <c r="CZ656" s="28"/>
      <c r="DA656" s="28"/>
    </row>
    <row r="657" spans="1:105" x14ac:dyDescent="0.3">
      <c r="A657" s="28"/>
      <c r="B657" s="38"/>
      <c r="C657" s="36"/>
      <c r="D657" s="37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28"/>
      <c r="CF657" s="28"/>
      <c r="CG657" s="28"/>
      <c r="CH657" s="28"/>
      <c r="CI657" s="28"/>
      <c r="CJ657" s="28"/>
      <c r="CK657" s="28"/>
      <c r="CL657" s="28"/>
      <c r="CM657" s="28"/>
      <c r="CN657" s="28"/>
      <c r="CO657" s="28"/>
      <c r="CP657" s="28"/>
      <c r="CQ657" s="28"/>
      <c r="CR657" s="28"/>
      <c r="CS657" s="28"/>
      <c r="CT657" s="28"/>
      <c r="CU657" s="28"/>
      <c r="CV657" s="28"/>
      <c r="CW657" s="28"/>
      <c r="CX657" s="28"/>
      <c r="CY657" s="28"/>
      <c r="CZ657" s="28"/>
      <c r="DA657" s="28"/>
    </row>
    <row r="658" spans="1:105" x14ac:dyDescent="0.3">
      <c r="A658" s="28"/>
      <c r="B658" s="38"/>
      <c r="C658" s="36"/>
      <c r="D658" s="37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  <c r="CO658" s="28"/>
      <c r="CP658" s="28"/>
      <c r="CQ658" s="28"/>
      <c r="CR658" s="28"/>
      <c r="CS658" s="28"/>
      <c r="CT658" s="28"/>
      <c r="CU658" s="28"/>
      <c r="CV658" s="28"/>
      <c r="CW658" s="28"/>
      <c r="CX658" s="28"/>
      <c r="CY658" s="28"/>
      <c r="CZ658" s="28"/>
      <c r="DA658" s="28"/>
    </row>
    <row r="659" spans="1:105" x14ac:dyDescent="0.3">
      <c r="A659" s="28"/>
      <c r="B659" s="38"/>
      <c r="C659" s="36"/>
      <c r="D659" s="37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  <c r="CN659" s="28"/>
      <c r="CO659" s="28"/>
      <c r="CP659" s="28"/>
      <c r="CQ659" s="28"/>
      <c r="CR659" s="28"/>
      <c r="CS659" s="28"/>
      <c r="CT659" s="28"/>
      <c r="CU659" s="28"/>
      <c r="CV659" s="28"/>
      <c r="CW659" s="28"/>
      <c r="CX659" s="28"/>
      <c r="CY659" s="28"/>
      <c r="CZ659" s="28"/>
      <c r="DA659" s="28"/>
    </row>
    <row r="660" spans="1:105" x14ac:dyDescent="0.3">
      <c r="A660" s="28"/>
      <c r="B660" s="38"/>
      <c r="C660" s="36"/>
      <c r="D660" s="37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</row>
    <row r="661" spans="1:105" x14ac:dyDescent="0.3">
      <c r="A661" s="28"/>
      <c r="B661" s="38"/>
      <c r="C661" s="36"/>
      <c r="D661" s="37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  <c r="CN661" s="28"/>
      <c r="CO661" s="28"/>
      <c r="CP661" s="28"/>
      <c r="CQ661" s="28"/>
      <c r="CR661" s="28"/>
      <c r="CS661" s="28"/>
      <c r="CT661" s="28"/>
      <c r="CU661" s="28"/>
      <c r="CV661" s="28"/>
      <c r="CW661" s="28"/>
      <c r="CX661" s="28"/>
      <c r="CY661" s="28"/>
      <c r="CZ661" s="28"/>
      <c r="DA661" s="28"/>
    </row>
    <row r="662" spans="1:105" x14ac:dyDescent="0.3">
      <c r="A662" s="28"/>
      <c r="B662" s="38"/>
      <c r="C662" s="36"/>
      <c r="D662" s="37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  <c r="CN662" s="28"/>
      <c r="CO662" s="28"/>
      <c r="CP662" s="28"/>
      <c r="CQ662" s="28"/>
      <c r="CR662" s="28"/>
      <c r="CS662" s="28"/>
      <c r="CT662" s="28"/>
      <c r="CU662" s="28"/>
      <c r="CV662" s="28"/>
      <c r="CW662" s="28"/>
      <c r="CX662" s="28"/>
      <c r="CY662" s="28"/>
      <c r="CZ662" s="28"/>
      <c r="DA662" s="28"/>
    </row>
    <row r="663" spans="1:105" x14ac:dyDescent="0.3">
      <c r="A663" s="28"/>
      <c r="B663" s="38"/>
      <c r="C663" s="36"/>
      <c r="D663" s="37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  <c r="CN663" s="28"/>
      <c r="CO663" s="28"/>
      <c r="CP663" s="28"/>
      <c r="CQ663" s="28"/>
      <c r="CR663" s="28"/>
      <c r="CS663" s="28"/>
      <c r="CT663" s="28"/>
      <c r="CU663" s="28"/>
      <c r="CV663" s="28"/>
      <c r="CW663" s="28"/>
      <c r="CX663" s="28"/>
      <c r="CY663" s="28"/>
      <c r="CZ663" s="28"/>
      <c r="DA663" s="28"/>
    </row>
    <row r="664" spans="1:105" x14ac:dyDescent="0.3">
      <c r="A664" s="28"/>
      <c r="B664" s="38"/>
      <c r="C664" s="36"/>
      <c r="D664" s="37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28"/>
      <c r="CF664" s="28"/>
      <c r="CG664" s="28"/>
      <c r="CH664" s="28"/>
      <c r="CI664" s="28"/>
      <c r="CJ664" s="28"/>
      <c r="CK664" s="28"/>
      <c r="CL664" s="28"/>
      <c r="CM664" s="28"/>
      <c r="CN664" s="28"/>
      <c r="CO664" s="28"/>
      <c r="CP664" s="28"/>
      <c r="CQ664" s="28"/>
      <c r="CR664" s="28"/>
      <c r="CS664" s="28"/>
      <c r="CT664" s="28"/>
      <c r="CU664" s="28"/>
      <c r="CV664" s="28"/>
      <c r="CW664" s="28"/>
      <c r="CX664" s="28"/>
      <c r="CY664" s="28"/>
      <c r="CZ664" s="28"/>
      <c r="DA664" s="28"/>
    </row>
    <row r="665" spans="1:105" x14ac:dyDescent="0.3">
      <c r="A665" s="28"/>
      <c r="B665" s="38"/>
      <c r="C665" s="36"/>
      <c r="D665" s="37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28"/>
      <c r="CF665" s="28"/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  <c r="DA665" s="28"/>
    </row>
    <row r="666" spans="1:105" x14ac:dyDescent="0.3">
      <c r="A666" s="28"/>
      <c r="B666" s="38"/>
      <c r="C666" s="36"/>
      <c r="D666" s="37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28"/>
      <c r="CF666" s="28"/>
      <c r="CG666" s="28"/>
      <c r="CH666" s="28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  <c r="CS666" s="28"/>
      <c r="CT666" s="28"/>
      <c r="CU666" s="28"/>
      <c r="CV666" s="28"/>
      <c r="CW666" s="28"/>
      <c r="CX666" s="28"/>
      <c r="CY666" s="28"/>
      <c r="CZ666" s="28"/>
      <c r="DA666" s="28"/>
    </row>
    <row r="667" spans="1:105" x14ac:dyDescent="0.3">
      <c r="A667" s="28"/>
      <c r="B667" s="38"/>
      <c r="C667" s="36"/>
      <c r="D667" s="37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28"/>
      <c r="CF667" s="28"/>
      <c r="CG667" s="28"/>
      <c r="CH667" s="28"/>
      <c r="CI667" s="28"/>
      <c r="CJ667" s="28"/>
      <c r="CK667" s="28"/>
      <c r="CL667" s="28"/>
      <c r="CM667" s="28"/>
      <c r="CN667" s="28"/>
      <c r="CO667" s="28"/>
      <c r="CP667" s="28"/>
      <c r="CQ667" s="28"/>
      <c r="CR667" s="28"/>
      <c r="CS667" s="28"/>
      <c r="CT667" s="28"/>
      <c r="CU667" s="28"/>
      <c r="CV667" s="28"/>
      <c r="CW667" s="28"/>
      <c r="CX667" s="28"/>
      <c r="CY667" s="28"/>
      <c r="CZ667" s="28"/>
      <c r="DA667" s="28"/>
    </row>
    <row r="668" spans="1:105" x14ac:dyDescent="0.3">
      <c r="A668" s="28"/>
      <c r="B668" s="38"/>
      <c r="C668" s="36"/>
      <c r="D668" s="37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28"/>
      <c r="CF668" s="28"/>
      <c r="CG668" s="28"/>
      <c r="CH668" s="28"/>
      <c r="CI668" s="28"/>
      <c r="CJ668" s="28"/>
      <c r="CK668" s="28"/>
      <c r="CL668" s="28"/>
      <c r="CM668" s="28"/>
      <c r="CN668" s="28"/>
      <c r="CO668" s="28"/>
      <c r="CP668" s="28"/>
      <c r="CQ668" s="28"/>
      <c r="CR668" s="28"/>
      <c r="CS668" s="28"/>
      <c r="CT668" s="28"/>
      <c r="CU668" s="28"/>
      <c r="CV668" s="28"/>
      <c r="CW668" s="28"/>
      <c r="CX668" s="28"/>
      <c r="CY668" s="28"/>
      <c r="CZ668" s="28"/>
      <c r="DA668" s="28"/>
    </row>
    <row r="669" spans="1:105" x14ac:dyDescent="0.3">
      <c r="A669" s="28"/>
      <c r="B669" s="38"/>
      <c r="C669" s="36"/>
      <c r="D669" s="37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28"/>
      <c r="CF669" s="28"/>
      <c r="CG669" s="28"/>
      <c r="CH669" s="28"/>
      <c r="CI669" s="28"/>
      <c r="CJ669" s="28"/>
      <c r="CK669" s="28"/>
      <c r="CL669" s="28"/>
      <c r="CM669" s="28"/>
      <c r="CN669" s="28"/>
      <c r="CO669" s="28"/>
      <c r="CP669" s="28"/>
      <c r="CQ669" s="28"/>
      <c r="CR669" s="28"/>
      <c r="CS669" s="28"/>
      <c r="CT669" s="28"/>
      <c r="CU669" s="28"/>
      <c r="CV669" s="28"/>
      <c r="CW669" s="28"/>
      <c r="CX669" s="28"/>
      <c r="CY669" s="28"/>
      <c r="CZ669" s="28"/>
      <c r="DA669" s="28"/>
    </row>
    <row r="670" spans="1:105" x14ac:dyDescent="0.3">
      <c r="A670" s="28"/>
      <c r="B670" s="38"/>
      <c r="C670" s="36"/>
      <c r="D670" s="37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28"/>
      <c r="CF670" s="28"/>
      <c r="CG670" s="28"/>
      <c r="CH670" s="28"/>
      <c r="CI670" s="28"/>
      <c r="CJ670" s="28"/>
      <c r="CK670" s="28"/>
      <c r="CL670" s="28"/>
      <c r="CM670" s="28"/>
      <c r="CN670" s="28"/>
      <c r="CO670" s="28"/>
      <c r="CP670" s="28"/>
      <c r="CQ670" s="28"/>
      <c r="CR670" s="28"/>
      <c r="CS670" s="28"/>
      <c r="CT670" s="28"/>
      <c r="CU670" s="28"/>
      <c r="CV670" s="28"/>
      <c r="CW670" s="28"/>
      <c r="CX670" s="28"/>
      <c r="CY670" s="28"/>
      <c r="CZ670" s="28"/>
      <c r="DA670" s="28"/>
    </row>
    <row r="671" spans="1:105" x14ac:dyDescent="0.3">
      <c r="A671" s="28"/>
      <c r="B671" s="38"/>
      <c r="C671" s="36"/>
      <c r="D671" s="37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28"/>
      <c r="CF671" s="28"/>
      <c r="CG671" s="28"/>
      <c r="CH671" s="28"/>
      <c r="CI671" s="28"/>
      <c r="CJ671" s="28"/>
      <c r="CK671" s="28"/>
      <c r="CL671" s="28"/>
      <c r="CM671" s="28"/>
      <c r="CN671" s="28"/>
      <c r="CO671" s="28"/>
      <c r="CP671" s="28"/>
      <c r="CQ671" s="28"/>
      <c r="CR671" s="28"/>
      <c r="CS671" s="28"/>
      <c r="CT671" s="28"/>
      <c r="CU671" s="28"/>
      <c r="CV671" s="28"/>
      <c r="CW671" s="28"/>
      <c r="CX671" s="28"/>
      <c r="CY671" s="28"/>
      <c r="CZ671" s="28"/>
      <c r="DA671" s="28"/>
    </row>
    <row r="672" spans="1:105" x14ac:dyDescent="0.3">
      <c r="A672" s="28"/>
      <c r="B672" s="38"/>
      <c r="C672" s="36"/>
      <c r="D672" s="37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  <c r="CN672" s="28"/>
      <c r="CO672" s="28"/>
      <c r="CP672" s="28"/>
      <c r="CQ672" s="28"/>
      <c r="CR672" s="28"/>
      <c r="CS672" s="28"/>
      <c r="CT672" s="28"/>
      <c r="CU672" s="28"/>
      <c r="CV672" s="28"/>
      <c r="CW672" s="28"/>
      <c r="CX672" s="28"/>
      <c r="CY672" s="28"/>
      <c r="CZ672" s="28"/>
      <c r="DA672" s="28"/>
    </row>
    <row r="673" spans="1:105" x14ac:dyDescent="0.3">
      <c r="A673" s="28"/>
      <c r="B673" s="38"/>
      <c r="C673" s="36"/>
      <c r="D673" s="37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  <c r="CN673" s="28"/>
      <c r="CO673" s="28"/>
      <c r="CP673" s="28"/>
      <c r="CQ673" s="28"/>
      <c r="CR673" s="28"/>
      <c r="CS673" s="28"/>
      <c r="CT673" s="28"/>
      <c r="CU673" s="28"/>
      <c r="CV673" s="28"/>
      <c r="CW673" s="28"/>
      <c r="CX673" s="28"/>
      <c r="CY673" s="28"/>
      <c r="CZ673" s="28"/>
      <c r="DA673" s="28"/>
    </row>
    <row r="674" spans="1:105" x14ac:dyDescent="0.3">
      <c r="A674" s="28"/>
      <c r="B674" s="38"/>
      <c r="C674" s="36"/>
      <c r="D674" s="37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</row>
    <row r="675" spans="1:105" x14ac:dyDescent="0.3">
      <c r="A675" s="28"/>
      <c r="B675" s="38"/>
      <c r="C675" s="36"/>
      <c r="D675" s="37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  <c r="CN675" s="28"/>
      <c r="CO675" s="28"/>
      <c r="CP675" s="28"/>
      <c r="CQ675" s="28"/>
      <c r="CR675" s="28"/>
      <c r="CS675" s="28"/>
      <c r="CT675" s="28"/>
      <c r="CU675" s="28"/>
      <c r="CV675" s="28"/>
      <c r="CW675" s="28"/>
      <c r="CX675" s="28"/>
      <c r="CY675" s="28"/>
      <c r="CZ675" s="28"/>
      <c r="DA675" s="28"/>
    </row>
    <row r="676" spans="1:105" x14ac:dyDescent="0.3">
      <c r="A676" s="28"/>
      <c r="B676" s="38"/>
      <c r="C676" s="36"/>
      <c r="D676" s="37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  <c r="CN676" s="28"/>
      <c r="CO676" s="28"/>
      <c r="CP676" s="28"/>
      <c r="CQ676" s="28"/>
      <c r="CR676" s="28"/>
      <c r="CS676" s="28"/>
      <c r="CT676" s="28"/>
      <c r="CU676" s="28"/>
      <c r="CV676" s="28"/>
      <c r="CW676" s="28"/>
      <c r="CX676" s="28"/>
      <c r="CY676" s="28"/>
      <c r="CZ676" s="28"/>
      <c r="DA676" s="28"/>
    </row>
    <row r="677" spans="1:105" x14ac:dyDescent="0.3">
      <c r="A677" s="28"/>
      <c r="B677" s="38"/>
      <c r="C677" s="36"/>
      <c r="D677" s="37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  <c r="CN677" s="28"/>
      <c r="CO677" s="28"/>
      <c r="CP677" s="28"/>
      <c r="CQ677" s="28"/>
      <c r="CR677" s="28"/>
      <c r="CS677" s="28"/>
      <c r="CT677" s="28"/>
      <c r="CU677" s="28"/>
      <c r="CV677" s="28"/>
      <c r="CW677" s="28"/>
      <c r="CX677" s="28"/>
      <c r="CY677" s="28"/>
      <c r="CZ677" s="28"/>
      <c r="DA677" s="28"/>
    </row>
  </sheetData>
  <mergeCells count="5">
    <mergeCell ref="B1:D1"/>
    <mergeCell ref="B5:B6"/>
    <mergeCell ref="C5:C6"/>
    <mergeCell ref="A2:L2"/>
    <mergeCell ref="A3:L3"/>
  </mergeCells>
  <hyperlinks>
    <hyperlink ref="A3" r:id="rId1" xr:uid="{00000000-0004-0000-0500-000000000000}"/>
  </hyperlinks>
  <pageMargins left="0.75" right="0.75" top="1" bottom="1" header="0" footer="0"/>
  <pageSetup paperSize="9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DE83539B-4E4F-4BD0-900B-ABC4AFC044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BE939-4E97-4313-9067-7BD11C147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85D266-2BDB-4F03-9AAB-6F3F03FE377E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Listas</vt:lpstr>
      <vt:lpstr>PRECIOS ABR24</vt:lpstr>
      <vt:lpstr>MSRV6 </vt:lpstr>
      <vt:lpstr>MO Petroleros</vt:lpstr>
      <vt:lpstr>MO Camioneros.</vt:lpstr>
      <vt:lpstr>Base Centralizada de Indices</vt:lpstr>
      <vt:lpstr>DOLAR</vt:lpstr>
      <vt:lpstr>COMBUSTIBLE</vt:lpstr>
      <vt:lpstr>IPIM-Nivel General</vt:lpstr>
      <vt:lpstr>ACARA</vt:lpstr>
      <vt:lpstr>INSTRUCTIVO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2024-05-31T15:02:21Z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